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Lucas\TA_results_final_6\"/>
    </mc:Choice>
  </mc:AlternateContent>
  <xr:revisionPtr revIDLastSave="0" documentId="8_{90EBF267-9A37-4CBC-AD5D-1C7D9AB35DE8}" xr6:coauthVersionLast="47" xr6:coauthVersionMax="47" xr10:uidLastSave="{00000000-0000-0000-0000-000000000000}"/>
  <bookViews>
    <workbookView xWindow="1788" yWindow="-17388" windowWidth="30936" windowHeight="16776" activeTab="1" xr2:uid="{FF64AF30-3015-1142-92FA-2A2ED079457A}"/>
  </bookViews>
  <sheets>
    <sheet name="Variable_List" sheetId="2" r:id="rId1"/>
    <sheet name="SPS1" sheetId="1" r:id="rId2"/>
    <sheet name="check" sheetId="4" r:id="rId3"/>
  </sheets>
  <externalReferences>
    <externalReference r:id="rId4"/>
  </externalReferences>
  <definedNames>
    <definedName name="_xlnm._FilterDatabase" localSheetId="1" hidden="1">'SPS1'!$B$1:$L$1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113" i="1" l="1"/>
  <c r="P2113" i="1"/>
  <c r="O2113" i="1"/>
  <c r="N2113" i="1"/>
  <c r="M2113" i="1"/>
  <c r="L2113" i="1"/>
  <c r="K2113" i="1"/>
  <c r="J2113" i="1"/>
  <c r="I2113" i="1"/>
  <c r="H2113" i="1"/>
  <c r="G2113" i="1"/>
  <c r="F2113" i="1"/>
  <c r="Q2112" i="1"/>
  <c r="P2112" i="1"/>
  <c r="O2112" i="1"/>
  <c r="N2112" i="1"/>
  <c r="M2112" i="1"/>
  <c r="L2112" i="1"/>
  <c r="K2112" i="1"/>
  <c r="J2112" i="1"/>
  <c r="I2112" i="1"/>
  <c r="H2112" i="1"/>
  <c r="G2112" i="1"/>
  <c r="F2112" i="1"/>
  <c r="Q2111" i="1"/>
  <c r="P2111" i="1"/>
  <c r="O2111" i="1"/>
  <c r="N2111" i="1"/>
  <c r="M2111" i="1"/>
  <c r="L2111" i="1"/>
  <c r="K2111" i="1"/>
  <c r="J2111" i="1"/>
  <c r="I2111" i="1"/>
  <c r="H2111" i="1"/>
  <c r="G2111" i="1"/>
  <c r="F2111" i="1"/>
  <c r="Q2110" i="1"/>
  <c r="P2110" i="1"/>
  <c r="O2110" i="1"/>
  <c r="N2110" i="1"/>
  <c r="M2110" i="1"/>
  <c r="L2110" i="1"/>
  <c r="K2110" i="1"/>
  <c r="J2110" i="1"/>
  <c r="I2110" i="1"/>
  <c r="H2110" i="1"/>
  <c r="G2110" i="1"/>
  <c r="F2110" i="1"/>
  <c r="Q2109" i="1"/>
  <c r="P2109" i="1"/>
  <c r="O2109" i="1"/>
  <c r="N2109" i="1"/>
  <c r="M2109" i="1"/>
  <c r="L2109" i="1"/>
  <c r="K2109" i="1"/>
  <c r="J2109" i="1"/>
  <c r="I2109" i="1"/>
  <c r="H2109" i="1"/>
  <c r="G2109" i="1"/>
  <c r="F2109" i="1"/>
  <c r="Q2108" i="1"/>
  <c r="P2108" i="1"/>
  <c r="O2108" i="1"/>
  <c r="N2108" i="1"/>
  <c r="M2108" i="1"/>
  <c r="L2108" i="1"/>
  <c r="K2108" i="1"/>
  <c r="J2108" i="1"/>
  <c r="I2108" i="1"/>
  <c r="H2108" i="1"/>
  <c r="G2108" i="1"/>
  <c r="F2108" i="1"/>
  <c r="Q2107" i="1"/>
  <c r="P2107" i="1"/>
  <c r="O2107" i="1"/>
  <c r="N2107" i="1"/>
  <c r="M2107" i="1"/>
  <c r="L2107" i="1"/>
  <c r="K2107" i="1"/>
  <c r="J2107" i="1"/>
  <c r="I2107" i="1"/>
  <c r="H2107" i="1"/>
  <c r="G2107" i="1"/>
  <c r="F2107" i="1"/>
  <c r="Q2105" i="1"/>
  <c r="P2105" i="1"/>
  <c r="O2105" i="1"/>
  <c r="N2105" i="1"/>
  <c r="M2105" i="1"/>
  <c r="L2105" i="1"/>
  <c r="K2105" i="1"/>
  <c r="J2105" i="1"/>
  <c r="I2105" i="1"/>
  <c r="H2105" i="1"/>
  <c r="G2105" i="1"/>
  <c r="F2105" i="1"/>
  <c r="Q2104" i="1"/>
  <c r="P2104" i="1"/>
  <c r="O2104" i="1"/>
  <c r="N2104" i="1"/>
  <c r="M2104" i="1"/>
  <c r="L2104" i="1"/>
  <c r="K2104" i="1"/>
  <c r="J2104" i="1"/>
  <c r="I2104" i="1"/>
  <c r="H2104" i="1"/>
  <c r="G2104" i="1"/>
  <c r="F2104" i="1"/>
  <c r="Q2103" i="1"/>
  <c r="P2103" i="1"/>
  <c r="O2103" i="1"/>
  <c r="N2103" i="1"/>
  <c r="M2103" i="1"/>
  <c r="L2103" i="1"/>
  <c r="K2103" i="1"/>
  <c r="J2103" i="1"/>
  <c r="I2103" i="1"/>
  <c r="H2103" i="1"/>
  <c r="G2103" i="1"/>
  <c r="F2103" i="1"/>
  <c r="Q2100" i="1"/>
  <c r="P2100" i="1"/>
  <c r="O2100" i="1"/>
  <c r="N2100" i="1"/>
  <c r="M2100" i="1"/>
  <c r="L2100" i="1"/>
  <c r="K2100" i="1"/>
  <c r="J2100" i="1"/>
  <c r="I2100" i="1"/>
  <c r="H2100" i="1"/>
  <c r="G2100" i="1"/>
  <c r="F2100" i="1"/>
  <c r="Q2099" i="1"/>
  <c r="P2099" i="1"/>
  <c r="O2099" i="1"/>
  <c r="N2099" i="1"/>
  <c r="M2099" i="1"/>
  <c r="L2099" i="1"/>
  <c r="K2099" i="1"/>
  <c r="J2099" i="1"/>
  <c r="I2099" i="1"/>
  <c r="H2099" i="1"/>
  <c r="G2099" i="1"/>
  <c r="F2099" i="1"/>
  <c r="Q2098" i="1"/>
  <c r="P2098" i="1"/>
  <c r="O2098" i="1"/>
  <c r="N2098" i="1"/>
  <c r="M2098" i="1"/>
  <c r="L2098" i="1"/>
  <c r="K2098" i="1"/>
  <c r="J2098" i="1"/>
  <c r="I2098" i="1"/>
  <c r="H2098" i="1"/>
  <c r="G2098" i="1"/>
  <c r="F2098" i="1"/>
  <c r="Q2097" i="1"/>
  <c r="P2097" i="1"/>
  <c r="O2097" i="1"/>
  <c r="N2097" i="1"/>
  <c r="M2097" i="1"/>
  <c r="L2097" i="1"/>
  <c r="K2097" i="1"/>
  <c r="J2097" i="1"/>
  <c r="I2097" i="1"/>
  <c r="H2097" i="1"/>
  <c r="G2097" i="1"/>
  <c r="F2097" i="1"/>
  <c r="Q2096" i="1"/>
  <c r="P2096" i="1"/>
  <c r="O2096" i="1"/>
  <c r="N2096" i="1"/>
  <c r="M2096" i="1"/>
  <c r="L2096" i="1"/>
  <c r="K2096" i="1"/>
  <c r="J2096" i="1"/>
  <c r="I2096" i="1"/>
  <c r="H2096" i="1"/>
  <c r="G2096" i="1"/>
  <c r="F2096" i="1"/>
  <c r="Q2095" i="1"/>
  <c r="P2095" i="1"/>
  <c r="O2095" i="1"/>
  <c r="N2095" i="1"/>
  <c r="M2095" i="1"/>
  <c r="L2095" i="1"/>
  <c r="K2095" i="1"/>
  <c r="J2095" i="1"/>
  <c r="I2095" i="1"/>
  <c r="H2095" i="1"/>
  <c r="G2095" i="1"/>
  <c r="F2095" i="1"/>
  <c r="Q2093" i="1"/>
  <c r="P2093" i="1"/>
  <c r="O2093" i="1"/>
  <c r="N2093" i="1"/>
  <c r="M2093" i="1"/>
  <c r="L2093" i="1"/>
  <c r="K2093" i="1"/>
  <c r="J2093" i="1"/>
  <c r="I2093" i="1"/>
  <c r="H2093" i="1"/>
  <c r="G2093" i="1"/>
  <c r="F2093" i="1"/>
  <c r="Q2091" i="1"/>
  <c r="P2091" i="1"/>
  <c r="O2091" i="1"/>
  <c r="N2091" i="1"/>
  <c r="M2091" i="1"/>
  <c r="L2091" i="1"/>
  <c r="K2091" i="1"/>
  <c r="J2091" i="1"/>
  <c r="I2091" i="1"/>
  <c r="H2091" i="1"/>
  <c r="G2091" i="1"/>
  <c r="F2091" i="1"/>
  <c r="Q2090" i="1"/>
  <c r="P2090" i="1"/>
  <c r="O2090" i="1"/>
  <c r="N2090" i="1"/>
  <c r="M2090" i="1"/>
  <c r="L2090" i="1"/>
  <c r="K2090" i="1"/>
  <c r="J2090" i="1"/>
  <c r="I2090" i="1"/>
  <c r="H2090" i="1"/>
  <c r="G2090" i="1"/>
  <c r="F2090" i="1"/>
  <c r="Q2089" i="1"/>
  <c r="P2089" i="1"/>
  <c r="O2089" i="1"/>
  <c r="N2089" i="1"/>
  <c r="M2089" i="1"/>
  <c r="L2089" i="1"/>
  <c r="K2089" i="1"/>
  <c r="J2089" i="1"/>
  <c r="I2089" i="1"/>
  <c r="H2089" i="1"/>
  <c r="G2089" i="1"/>
  <c r="F2089" i="1"/>
  <c r="Q2088" i="1"/>
  <c r="P2088" i="1"/>
  <c r="O2088" i="1"/>
  <c r="N2088" i="1"/>
  <c r="M2088" i="1"/>
  <c r="L2088" i="1"/>
  <c r="K2088" i="1"/>
  <c r="J2088" i="1"/>
  <c r="I2088" i="1"/>
  <c r="H2088" i="1"/>
  <c r="G2088" i="1"/>
  <c r="F2088" i="1"/>
  <c r="Q2087" i="1"/>
  <c r="P2087" i="1"/>
  <c r="O2087" i="1"/>
  <c r="N2087" i="1"/>
  <c r="M2087" i="1"/>
  <c r="L2087" i="1"/>
  <c r="K2087" i="1"/>
  <c r="J2087" i="1"/>
  <c r="I2087" i="1"/>
  <c r="H2087" i="1"/>
  <c r="G2087" i="1"/>
  <c r="F2087" i="1"/>
  <c r="Q2086" i="1"/>
  <c r="P2086" i="1"/>
  <c r="O2086" i="1"/>
  <c r="N2086" i="1"/>
  <c r="M2086" i="1"/>
  <c r="L2086" i="1"/>
  <c r="K2086" i="1"/>
  <c r="J2086" i="1"/>
  <c r="I2086" i="1"/>
  <c r="H2086" i="1"/>
  <c r="G2086" i="1"/>
  <c r="F2086" i="1"/>
  <c r="Q2085" i="1"/>
  <c r="P2085" i="1"/>
  <c r="O2085" i="1"/>
  <c r="N2085" i="1"/>
  <c r="M2085" i="1"/>
  <c r="L2085" i="1"/>
  <c r="K2085" i="1"/>
  <c r="J2085" i="1"/>
  <c r="I2085" i="1"/>
  <c r="H2085" i="1"/>
  <c r="G2085" i="1"/>
  <c r="F2085" i="1"/>
  <c r="Q2083" i="1"/>
  <c r="P2083" i="1"/>
  <c r="O2083" i="1"/>
  <c r="N2083" i="1"/>
  <c r="M2083" i="1"/>
  <c r="L2083" i="1"/>
  <c r="K2083" i="1"/>
  <c r="J2083" i="1"/>
  <c r="I2083" i="1"/>
  <c r="H2083" i="1"/>
  <c r="G2083" i="1"/>
  <c r="F2083" i="1"/>
  <c r="Q2082" i="1"/>
  <c r="P2082" i="1"/>
  <c r="O2082" i="1"/>
  <c r="N2082" i="1"/>
  <c r="M2082" i="1"/>
  <c r="L2082" i="1"/>
  <c r="K2082" i="1"/>
  <c r="J2082" i="1"/>
  <c r="I2082" i="1"/>
  <c r="H2082" i="1"/>
  <c r="G2082" i="1"/>
  <c r="F2082" i="1"/>
  <c r="Q2081" i="1"/>
  <c r="P2081" i="1"/>
  <c r="O2081" i="1"/>
  <c r="N2081" i="1"/>
  <c r="M2081" i="1"/>
  <c r="L2081" i="1"/>
  <c r="K2081" i="1"/>
  <c r="J2081" i="1"/>
  <c r="I2081" i="1"/>
  <c r="H2081" i="1"/>
  <c r="G2081" i="1"/>
  <c r="F2081" i="1"/>
  <c r="Q2080" i="1"/>
  <c r="P2080" i="1"/>
  <c r="O2080" i="1"/>
  <c r="N2080" i="1"/>
  <c r="M2080" i="1"/>
  <c r="L2080" i="1"/>
  <c r="K2080" i="1"/>
  <c r="J2080" i="1"/>
  <c r="I2080" i="1"/>
  <c r="H2080" i="1"/>
  <c r="G2080" i="1"/>
  <c r="F2080" i="1"/>
  <c r="Q2079" i="1"/>
  <c r="P2079" i="1"/>
  <c r="O2079" i="1"/>
  <c r="N2079" i="1"/>
  <c r="M2079" i="1"/>
  <c r="L2079" i="1"/>
  <c r="K2079" i="1"/>
  <c r="J2079" i="1"/>
  <c r="I2079" i="1"/>
  <c r="H2079" i="1"/>
  <c r="G2079" i="1"/>
  <c r="F2079" i="1"/>
  <c r="Q2078" i="1"/>
  <c r="P2078" i="1"/>
  <c r="O2078" i="1"/>
  <c r="N2078" i="1"/>
  <c r="M2078" i="1"/>
  <c r="L2078" i="1"/>
  <c r="K2078" i="1"/>
  <c r="J2078" i="1"/>
  <c r="I2078" i="1"/>
  <c r="H2078" i="1"/>
  <c r="G2078" i="1"/>
  <c r="F2078" i="1"/>
  <c r="Q2076" i="1"/>
  <c r="P2076" i="1"/>
  <c r="O2076" i="1"/>
  <c r="N2076" i="1"/>
  <c r="M2076" i="1"/>
  <c r="L2076" i="1"/>
  <c r="K2076" i="1"/>
  <c r="J2076" i="1"/>
  <c r="I2076" i="1"/>
  <c r="H2076" i="1"/>
  <c r="G2076" i="1"/>
  <c r="F2076" i="1"/>
  <c r="Q2075" i="1"/>
  <c r="P2075" i="1"/>
  <c r="O2075" i="1"/>
  <c r="N2075" i="1"/>
  <c r="M2075" i="1"/>
  <c r="L2075" i="1"/>
  <c r="K2075" i="1"/>
  <c r="J2075" i="1"/>
  <c r="I2075" i="1"/>
  <c r="H2075" i="1"/>
  <c r="G2075" i="1"/>
  <c r="F2075" i="1"/>
  <c r="Q2074" i="1"/>
  <c r="P2074" i="1"/>
  <c r="O2074" i="1"/>
  <c r="N2074" i="1"/>
  <c r="M2074" i="1"/>
  <c r="L2074" i="1"/>
  <c r="K2074" i="1"/>
  <c r="J2074" i="1"/>
  <c r="I2074" i="1"/>
  <c r="H2074" i="1"/>
  <c r="G2074" i="1"/>
  <c r="F2074" i="1"/>
  <c r="Q2073" i="1"/>
  <c r="P2073" i="1"/>
  <c r="O2073" i="1"/>
  <c r="N2073" i="1"/>
  <c r="M2073" i="1"/>
  <c r="L2073" i="1"/>
  <c r="K2073" i="1"/>
  <c r="J2073" i="1"/>
  <c r="I2073" i="1"/>
  <c r="H2073" i="1"/>
  <c r="G2073" i="1"/>
  <c r="F2073" i="1"/>
  <c r="Q2072" i="1"/>
  <c r="P2072" i="1"/>
  <c r="O2072" i="1"/>
  <c r="N2072" i="1"/>
  <c r="M2072" i="1"/>
  <c r="L2072" i="1"/>
  <c r="K2072" i="1"/>
  <c r="J2072" i="1"/>
  <c r="I2072" i="1"/>
  <c r="H2072" i="1"/>
  <c r="G2072" i="1"/>
  <c r="F2072" i="1"/>
  <c r="Q2071" i="1"/>
  <c r="P2071" i="1"/>
  <c r="O2071" i="1"/>
  <c r="N2071" i="1"/>
  <c r="M2071" i="1"/>
  <c r="L2071" i="1"/>
  <c r="K2071" i="1"/>
  <c r="J2071" i="1"/>
  <c r="I2071" i="1"/>
  <c r="H2071" i="1"/>
  <c r="G2071" i="1"/>
  <c r="F2071" i="1"/>
  <c r="Q2070" i="1"/>
  <c r="P2070" i="1"/>
  <c r="O2070" i="1"/>
  <c r="N2070" i="1"/>
  <c r="M2070" i="1"/>
  <c r="L2070" i="1"/>
  <c r="K2070" i="1"/>
  <c r="J2070" i="1"/>
  <c r="I2070" i="1"/>
  <c r="H2070" i="1"/>
  <c r="G2070" i="1"/>
  <c r="F2070" i="1"/>
  <c r="Q2069" i="1"/>
  <c r="P2069" i="1"/>
  <c r="O2069" i="1"/>
  <c r="N2069" i="1"/>
  <c r="M2069" i="1"/>
  <c r="L2069" i="1"/>
  <c r="K2069" i="1"/>
  <c r="J2069" i="1"/>
  <c r="I2069" i="1"/>
  <c r="H2069" i="1"/>
  <c r="G2069" i="1"/>
  <c r="F2069" i="1"/>
  <c r="Q2068" i="1"/>
  <c r="P2068" i="1"/>
  <c r="O2068" i="1"/>
  <c r="N2068" i="1"/>
  <c r="M2068" i="1"/>
  <c r="L2068" i="1"/>
  <c r="K2068" i="1"/>
  <c r="J2068" i="1"/>
  <c r="I2068" i="1"/>
  <c r="H2068" i="1"/>
  <c r="G2068" i="1"/>
  <c r="F2068" i="1"/>
  <c r="Q2067" i="1"/>
  <c r="P2067" i="1"/>
  <c r="O2067" i="1"/>
  <c r="N2067" i="1"/>
  <c r="M2067" i="1"/>
  <c r="L2067" i="1"/>
  <c r="K2067" i="1"/>
  <c r="J2067" i="1"/>
  <c r="I2067" i="1"/>
  <c r="H2067" i="1"/>
  <c r="G2067" i="1"/>
  <c r="F2067" i="1"/>
  <c r="Q2066" i="1"/>
  <c r="P2066" i="1"/>
  <c r="O2066" i="1"/>
  <c r="N2066" i="1"/>
  <c r="M2066" i="1"/>
  <c r="L2066" i="1"/>
  <c r="K2066" i="1"/>
  <c r="J2066" i="1"/>
  <c r="I2066" i="1"/>
  <c r="H2066" i="1"/>
  <c r="G2066" i="1"/>
  <c r="F2066" i="1"/>
  <c r="Q2065" i="1"/>
  <c r="P2065" i="1"/>
  <c r="O2065" i="1"/>
  <c r="N2065" i="1"/>
  <c r="M2065" i="1"/>
  <c r="L2065" i="1"/>
  <c r="K2065" i="1"/>
  <c r="J2065" i="1"/>
  <c r="I2065" i="1"/>
  <c r="H2065" i="1"/>
  <c r="G2065" i="1"/>
  <c r="F2065" i="1"/>
  <c r="Q2064" i="1"/>
  <c r="P2064" i="1"/>
  <c r="O2064" i="1"/>
  <c r="N2064" i="1"/>
  <c r="M2064" i="1"/>
  <c r="L2064" i="1"/>
  <c r="K2064" i="1"/>
  <c r="J2064" i="1"/>
  <c r="I2064" i="1"/>
  <c r="H2064" i="1"/>
  <c r="G2064" i="1"/>
  <c r="F2064" i="1"/>
  <c r="Q2063" i="1"/>
  <c r="P2063" i="1"/>
  <c r="O2063" i="1"/>
  <c r="N2063" i="1"/>
  <c r="M2063" i="1"/>
  <c r="L2063" i="1"/>
  <c r="K2063" i="1"/>
  <c r="J2063" i="1"/>
  <c r="I2063" i="1"/>
  <c r="H2063" i="1"/>
  <c r="G2063" i="1"/>
  <c r="F2063" i="1"/>
  <c r="Q2062" i="1"/>
  <c r="P2062" i="1"/>
  <c r="O2062" i="1"/>
  <c r="N2062" i="1"/>
  <c r="M2062" i="1"/>
  <c r="L2062" i="1"/>
  <c r="K2062" i="1"/>
  <c r="J2062" i="1"/>
  <c r="I2062" i="1"/>
  <c r="H2062" i="1"/>
  <c r="G2062" i="1"/>
  <c r="F2062" i="1"/>
  <c r="Q2060" i="1"/>
  <c r="P2060" i="1"/>
  <c r="O2060" i="1"/>
  <c r="N2060" i="1"/>
  <c r="M2060" i="1"/>
  <c r="L2060" i="1"/>
  <c r="K2060" i="1"/>
  <c r="J2060" i="1"/>
  <c r="I2060" i="1"/>
  <c r="H2060" i="1"/>
  <c r="G2060" i="1"/>
  <c r="F2060" i="1"/>
  <c r="Q2059" i="1"/>
  <c r="P2059" i="1"/>
  <c r="O2059" i="1"/>
  <c r="N2059" i="1"/>
  <c r="M2059" i="1"/>
  <c r="L2059" i="1"/>
  <c r="K2059" i="1"/>
  <c r="J2059" i="1"/>
  <c r="I2059" i="1"/>
  <c r="H2059" i="1"/>
  <c r="G2059" i="1"/>
  <c r="F2059" i="1"/>
  <c r="Q2058" i="1"/>
  <c r="P2058" i="1"/>
  <c r="O2058" i="1"/>
  <c r="N2058" i="1"/>
  <c r="M2058" i="1"/>
  <c r="L2058" i="1"/>
  <c r="K2058" i="1"/>
  <c r="J2058" i="1"/>
  <c r="I2058" i="1"/>
  <c r="H2058" i="1"/>
  <c r="G2058" i="1"/>
  <c r="F2058" i="1"/>
  <c r="Q2056" i="1"/>
  <c r="P2056" i="1"/>
  <c r="O2056" i="1"/>
  <c r="N2056" i="1"/>
  <c r="M2056" i="1"/>
  <c r="L2056" i="1"/>
  <c r="K2056" i="1"/>
  <c r="J2056" i="1"/>
  <c r="I2056" i="1"/>
  <c r="H2056" i="1"/>
  <c r="G2056" i="1"/>
  <c r="F2056" i="1"/>
  <c r="Q2055" i="1"/>
  <c r="P2055" i="1"/>
  <c r="O2055" i="1"/>
  <c r="N2055" i="1"/>
  <c r="M2055" i="1"/>
  <c r="L2055" i="1"/>
  <c r="K2055" i="1"/>
  <c r="J2055" i="1"/>
  <c r="I2055" i="1"/>
  <c r="H2055" i="1"/>
  <c r="G2055" i="1"/>
  <c r="F2055" i="1"/>
  <c r="Q2054" i="1"/>
  <c r="P2054" i="1"/>
  <c r="O2054" i="1"/>
  <c r="N2054" i="1"/>
  <c r="M2054" i="1"/>
  <c r="L2054" i="1"/>
  <c r="K2054" i="1"/>
  <c r="J2054" i="1"/>
  <c r="I2054" i="1"/>
  <c r="H2054" i="1"/>
  <c r="G2054" i="1"/>
  <c r="F2054" i="1"/>
  <c r="Q2052" i="1"/>
  <c r="P2052" i="1"/>
  <c r="O2052" i="1"/>
  <c r="N2052" i="1"/>
  <c r="M2052" i="1"/>
  <c r="L2052" i="1"/>
  <c r="K2052" i="1"/>
  <c r="J2052" i="1"/>
  <c r="I2052" i="1"/>
  <c r="H2052" i="1"/>
  <c r="G2052" i="1"/>
  <c r="F2052" i="1"/>
  <c r="Q1822" i="1"/>
  <c r="P1822" i="1"/>
  <c r="O1822" i="1"/>
  <c r="N1822" i="1"/>
  <c r="M1822" i="1"/>
  <c r="L1822" i="1"/>
  <c r="K1822" i="1"/>
  <c r="J1822" i="1"/>
  <c r="I1822" i="1"/>
  <c r="H1822" i="1"/>
  <c r="G1822" i="1"/>
  <c r="F1822" i="1"/>
  <c r="Q1821" i="1"/>
  <c r="P1821" i="1"/>
  <c r="O1821" i="1"/>
  <c r="N1821" i="1"/>
  <c r="M1821" i="1"/>
  <c r="L1821" i="1"/>
  <c r="K1821" i="1"/>
  <c r="J1821" i="1"/>
  <c r="I1821" i="1"/>
  <c r="H1821" i="1"/>
  <c r="G1821" i="1"/>
  <c r="F1821" i="1"/>
  <c r="Q1820" i="1"/>
  <c r="P1820" i="1"/>
  <c r="O1820" i="1"/>
  <c r="N1820" i="1"/>
  <c r="M1820" i="1"/>
  <c r="L1820" i="1"/>
  <c r="K1820" i="1"/>
  <c r="J1820" i="1"/>
  <c r="I1820" i="1"/>
  <c r="H1820" i="1"/>
  <c r="G1820" i="1"/>
  <c r="F1820" i="1"/>
  <c r="Q1819" i="1"/>
  <c r="P1819" i="1"/>
  <c r="O1819" i="1"/>
  <c r="N1819" i="1"/>
  <c r="M1819" i="1"/>
  <c r="L1819" i="1"/>
  <c r="K1819" i="1"/>
  <c r="J1819" i="1"/>
  <c r="I1819" i="1"/>
  <c r="H1819" i="1"/>
  <c r="G1819" i="1"/>
  <c r="F1819" i="1"/>
  <c r="Q1818" i="1"/>
  <c r="P1818" i="1"/>
  <c r="O1818" i="1"/>
  <c r="N1818" i="1"/>
  <c r="M1818" i="1"/>
  <c r="L1818" i="1"/>
  <c r="K1818" i="1"/>
  <c r="J1818" i="1"/>
  <c r="I1818" i="1"/>
  <c r="H1818" i="1"/>
  <c r="G1818" i="1"/>
  <c r="F1818" i="1"/>
  <c r="Q1817" i="1"/>
  <c r="P1817" i="1"/>
  <c r="O1817" i="1"/>
  <c r="N1817" i="1"/>
  <c r="M1817" i="1"/>
  <c r="L1817" i="1"/>
  <c r="K1817" i="1"/>
  <c r="J1817" i="1"/>
  <c r="I1817" i="1"/>
  <c r="H1817" i="1"/>
  <c r="G1817" i="1"/>
  <c r="F1817" i="1"/>
  <c r="Q1816" i="1"/>
  <c r="P1816" i="1"/>
  <c r="O1816" i="1"/>
  <c r="N1816" i="1"/>
  <c r="M1816" i="1"/>
  <c r="L1816" i="1"/>
  <c r="K1816" i="1"/>
  <c r="J1816" i="1"/>
  <c r="I1816" i="1"/>
  <c r="H1816" i="1"/>
  <c r="G1816" i="1"/>
  <c r="F1816" i="1"/>
  <c r="Q1814" i="1"/>
  <c r="P1814" i="1"/>
  <c r="O1814" i="1"/>
  <c r="N1814" i="1"/>
  <c r="M1814" i="1"/>
  <c r="L1814" i="1"/>
  <c r="K1814" i="1"/>
  <c r="J1814" i="1"/>
  <c r="I1814" i="1"/>
  <c r="H1814" i="1"/>
  <c r="G1814" i="1"/>
  <c r="F1814" i="1"/>
  <c r="Q1813" i="1"/>
  <c r="P1813" i="1"/>
  <c r="O1813" i="1"/>
  <c r="N1813" i="1"/>
  <c r="M1813" i="1"/>
  <c r="L1813" i="1"/>
  <c r="K1813" i="1"/>
  <c r="J1813" i="1"/>
  <c r="I1813" i="1"/>
  <c r="H1813" i="1"/>
  <c r="G1813" i="1"/>
  <c r="F1813" i="1"/>
  <c r="Q1812" i="1"/>
  <c r="P1812" i="1"/>
  <c r="O1812" i="1"/>
  <c r="N1812" i="1"/>
  <c r="M1812" i="1"/>
  <c r="L1812" i="1"/>
  <c r="K1812" i="1"/>
  <c r="J1812" i="1"/>
  <c r="I1812" i="1"/>
  <c r="H1812" i="1"/>
  <c r="G1812" i="1"/>
  <c r="F1812" i="1"/>
  <c r="Q1809" i="1"/>
  <c r="P1809" i="1"/>
  <c r="O1809" i="1"/>
  <c r="N1809" i="1"/>
  <c r="M1809" i="1"/>
  <c r="L1809" i="1"/>
  <c r="K1809" i="1"/>
  <c r="J1809" i="1"/>
  <c r="I1809" i="1"/>
  <c r="H1809" i="1"/>
  <c r="G1809" i="1"/>
  <c r="F1809" i="1"/>
  <c r="Q1808" i="1"/>
  <c r="P1808" i="1"/>
  <c r="O1808" i="1"/>
  <c r="N1808" i="1"/>
  <c r="M1808" i="1"/>
  <c r="L1808" i="1"/>
  <c r="K1808" i="1"/>
  <c r="J1808" i="1"/>
  <c r="I1808" i="1"/>
  <c r="H1808" i="1"/>
  <c r="G1808" i="1"/>
  <c r="F1808" i="1"/>
  <c r="Q1807" i="1"/>
  <c r="P1807" i="1"/>
  <c r="O1807" i="1"/>
  <c r="N1807" i="1"/>
  <c r="M1807" i="1"/>
  <c r="L1807" i="1"/>
  <c r="K1807" i="1"/>
  <c r="J1807" i="1"/>
  <c r="I1807" i="1"/>
  <c r="H1807" i="1"/>
  <c r="G1807" i="1"/>
  <c r="F1807" i="1"/>
  <c r="Q1806" i="1"/>
  <c r="P1806" i="1"/>
  <c r="O1806" i="1"/>
  <c r="N1806" i="1"/>
  <c r="M1806" i="1"/>
  <c r="L1806" i="1"/>
  <c r="K1806" i="1"/>
  <c r="J1806" i="1"/>
  <c r="I1806" i="1"/>
  <c r="H1806" i="1"/>
  <c r="G1806" i="1"/>
  <c r="F1806" i="1"/>
  <c r="Q1805" i="1"/>
  <c r="P1805" i="1"/>
  <c r="O1805" i="1"/>
  <c r="N1805" i="1"/>
  <c r="M1805" i="1"/>
  <c r="L1805" i="1"/>
  <c r="K1805" i="1"/>
  <c r="J1805" i="1"/>
  <c r="I1805" i="1"/>
  <c r="H1805" i="1"/>
  <c r="G1805" i="1"/>
  <c r="F1805" i="1"/>
  <c r="Q1804" i="1"/>
  <c r="P1804" i="1"/>
  <c r="O1804" i="1"/>
  <c r="N1804" i="1"/>
  <c r="M1804" i="1"/>
  <c r="L1804" i="1"/>
  <c r="K1804" i="1"/>
  <c r="J1804" i="1"/>
  <c r="I1804" i="1"/>
  <c r="H1804" i="1"/>
  <c r="G1804" i="1"/>
  <c r="F1804" i="1"/>
  <c r="Q1802" i="1"/>
  <c r="P1802" i="1"/>
  <c r="O1802" i="1"/>
  <c r="N1802" i="1"/>
  <c r="M1802" i="1"/>
  <c r="L1802" i="1"/>
  <c r="K1802" i="1"/>
  <c r="J1802" i="1"/>
  <c r="I1802" i="1"/>
  <c r="H1802" i="1"/>
  <c r="G1802" i="1"/>
  <c r="F1802" i="1"/>
  <c r="Q1800" i="1"/>
  <c r="P1800" i="1"/>
  <c r="O1800" i="1"/>
  <c r="N1800" i="1"/>
  <c r="M1800" i="1"/>
  <c r="L1800" i="1"/>
  <c r="K1800" i="1"/>
  <c r="J1800" i="1"/>
  <c r="I1800" i="1"/>
  <c r="H1800" i="1"/>
  <c r="G1800" i="1"/>
  <c r="F1800" i="1"/>
  <c r="Q1799" i="1"/>
  <c r="P1799" i="1"/>
  <c r="O1799" i="1"/>
  <c r="N1799" i="1"/>
  <c r="M1799" i="1"/>
  <c r="L1799" i="1"/>
  <c r="K1799" i="1"/>
  <c r="J1799" i="1"/>
  <c r="I1799" i="1"/>
  <c r="H1799" i="1"/>
  <c r="G1799" i="1"/>
  <c r="F1799" i="1"/>
  <c r="Q1798" i="1"/>
  <c r="P1798" i="1"/>
  <c r="O1798" i="1"/>
  <c r="N1798" i="1"/>
  <c r="M1798" i="1"/>
  <c r="L1798" i="1"/>
  <c r="K1798" i="1"/>
  <c r="J1798" i="1"/>
  <c r="I1798" i="1"/>
  <c r="H1798" i="1"/>
  <c r="G1798" i="1"/>
  <c r="F1798" i="1"/>
  <c r="Q1797" i="1"/>
  <c r="P1797" i="1"/>
  <c r="O1797" i="1"/>
  <c r="N1797" i="1"/>
  <c r="M1797" i="1"/>
  <c r="L1797" i="1"/>
  <c r="K1797" i="1"/>
  <c r="J1797" i="1"/>
  <c r="I1797" i="1"/>
  <c r="H1797" i="1"/>
  <c r="G1797" i="1"/>
  <c r="F1797" i="1"/>
  <c r="Q1796" i="1"/>
  <c r="P1796" i="1"/>
  <c r="O1796" i="1"/>
  <c r="N1796" i="1"/>
  <c r="M1796" i="1"/>
  <c r="L1796" i="1"/>
  <c r="K1796" i="1"/>
  <c r="J1796" i="1"/>
  <c r="I1796" i="1"/>
  <c r="H1796" i="1"/>
  <c r="G1796" i="1"/>
  <c r="F1796" i="1"/>
  <c r="Q1795" i="1"/>
  <c r="P1795" i="1"/>
  <c r="O1795" i="1"/>
  <c r="N1795" i="1"/>
  <c r="M1795" i="1"/>
  <c r="L1795" i="1"/>
  <c r="K1795" i="1"/>
  <c r="J1795" i="1"/>
  <c r="I1795" i="1"/>
  <c r="H1795" i="1"/>
  <c r="G1795" i="1"/>
  <c r="F1795" i="1"/>
  <c r="Q1794" i="1"/>
  <c r="P1794" i="1"/>
  <c r="O1794" i="1"/>
  <c r="N1794" i="1"/>
  <c r="M1794" i="1"/>
  <c r="L1794" i="1"/>
  <c r="K1794" i="1"/>
  <c r="J1794" i="1"/>
  <c r="I1794" i="1"/>
  <c r="H1794" i="1"/>
  <c r="G1794" i="1"/>
  <c r="F1794" i="1"/>
  <c r="Q1792" i="1"/>
  <c r="P1792" i="1"/>
  <c r="O1792" i="1"/>
  <c r="N1792" i="1"/>
  <c r="M1792" i="1"/>
  <c r="L1792" i="1"/>
  <c r="K1792" i="1"/>
  <c r="J1792" i="1"/>
  <c r="I1792" i="1"/>
  <c r="H1792" i="1"/>
  <c r="G1792" i="1"/>
  <c r="F1792" i="1"/>
  <c r="Q1791" i="1"/>
  <c r="P1791" i="1"/>
  <c r="O1791" i="1"/>
  <c r="N1791" i="1"/>
  <c r="M1791" i="1"/>
  <c r="L1791" i="1"/>
  <c r="K1791" i="1"/>
  <c r="J1791" i="1"/>
  <c r="I1791" i="1"/>
  <c r="H1791" i="1"/>
  <c r="G1791" i="1"/>
  <c r="F1791" i="1"/>
  <c r="Q1790" i="1"/>
  <c r="P1790" i="1"/>
  <c r="O1790" i="1"/>
  <c r="N1790" i="1"/>
  <c r="M1790" i="1"/>
  <c r="L1790" i="1"/>
  <c r="K1790" i="1"/>
  <c r="J1790" i="1"/>
  <c r="I1790" i="1"/>
  <c r="H1790" i="1"/>
  <c r="G1790" i="1"/>
  <c r="F1790" i="1"/>
  <c r="Q1789" i="1"/>
  <c r="P1789" i="1"/>
  <c r="O1789" i="1"/>
  <c r="N1789" i="1"/>
  <c r="M1789" i="1"/>
  <c r="L1789" i="1"/>
  <c r="K1789" i="1"/>
  <c r="J1789" i="1"/>
  <c r="I1789" i="1"/>
  <c r="H1789" i="1"/>
  <c r="G1789" i="1"/>
  <c r="F1789" i="1"/>
  <c r="Q1788" i="1"/>
  <c r="P1788" i="1"/>
  <c r="O1788" i="1"/>
  <c r="N1788" i="1"/>
  <c r="M1788" i="1"/>
  <c r="L1788" i="1"/>
  <c r="K1788" i="1"/>
  <c r="J1788" i="1"/>
  <c r="I1788" i="1"/>
  <c r="H1788" i="1"/>
  <c r="G1788" i="1"/>
  <c r="F1788" i="1"/>
  <c r="Q1787" i="1"/>
  <c r="P1787" i="1"/>
  <c r="O1787" i="1"/>
  <c r="N1787" i="1"/>
  <c r="M1787" i="1"/>
  <c r="L1787" i="1"/>
  <c r="K1787" i="1"/>
  <c r="J1787" i="1"/>
  <c r="I1787" i="1"/>
  <c r="H1787" i="1"/>
  <c r="G1787" i="1"/>
  <c r="F1787" i="1"/>
  <c r="Q1785" i="1"/>
  <c r="P1785" i="1"/>
  <c r="O1785" i="1"/>
  <c r="N1785" i="1"/>
  <c r="M1785" i="1"/>
  <c r="L1785" i="1"/>
  <c r="K1785" i="1"/>
  <c r="J1785" i="1"/>
  <c r="I1785" i="1"/>
  <c r="H1785" i="1"/>
  <c r="G1785" i="1"/>
  <c r="F1785" i="1"/>
  <c r="Q1784" i="1"/>
  <c r="P1784" i="1"/>
  <c r="O1784" i="1"/>
  <c r="N1784" i="1"/>
  <c r="M1784" i="1"/>
  <c r="L1784" i="1"/>
  <c r="K1784" i="1"/>
  <c r="J1784" i="1"/>
  <c r="I1784" i="1"/>
  <c r="H1784" i="1"/>
  <c r="G1784" i="1"/>
  <c r="F1784" i="1"/>
  <c r="Q1783" i="1"/>
  <c r="P1783" i="1"/>
  <c r="O1783" i="1"/>
  <c r="N1783" i="1"/>
  <c r="M1783" i="1"/>
  <c r="L1783" i="1"/>
  <c r="K1783" i="1"/>
  <c r="J1783" i="1"/>
  <c r="I1783" i="1"/>
  <c r="H1783" i="1"/>
  <c r="G1783" i="1"/>
  <c r="F1783" i="1"/>
  <c r="Q1782" i="1"/>
  <c r="P1782" i="1"/>
  <c r="O1782" i="1"/>
  <c r="N1782" i="1"/>
  <c r="M1782" i="1"/>
  <c r="L1782" i="1"/>
  <c r="K1782" i="1"/>
  <c r="J1782" i="1"/>
  <c r="I1782" i="1"/>
  <c r="H1782" i="1"/>
  <c r="G1782" i="1"/>
  <c r="F1782" i="1"/>
  <c r="Q1781" i="1"/>
  <c r="P1781" i="1"/>
  <c r="O1781" i="1"/>
  <c r="N1781" i="1"/>
  <c r="M1781" i="1"/>
  <c r="L1781" i="1"/>
  <c r="K1781" i="1"/>
  <c r="J1781" i="1"/>
  <c r="I1781" i="1"/>
  <c r="H1781" i="1"/>
  <c r="G1781" i="1"/>
  <c r="F1781" i="1"/>
  <c r="Q1780" i="1"/>
  <c r="P1780" i="1"/>
  <c r="O1780" i="1"/>
  <c r="N1780" i="1"/>
  <c r="M1780" i="1"/>
  <c r="L1780" i="1"/>
  <c r="K1780" i="1"/>
  <c r="J1780" i="1"/>
  <c r="I1780" i="1"/>
  <c r="H1780" i="1"/>
  <c r="G1780" i="1"/>
  <c r="F1780" i="1"/>
  <c r="Q1779" i="1"/>
  <c r="P1779" i="1"/>
  <c r="O1779" i="1"/>
  <c r="N1779" i="1"/>
  <c r="M1779" i="1"/>
  <c r="L1779" i="1"/>
  <c r="K1779" i="1"/>
  <c r="J1779" i="1"/>
  <c r="I1779" i="1"/>
  <c r="H1779" i="1"/>
  <c r="G1779" i="1"/>
  <c r="F1779" i="1"/>
  <c r="Q1778" i="1"/>
  <c r="P1778" i="1"/>
  <c r="O1778" i="1"/>
  <c r="N1778" i="1"/>
  <c r="M1778" i="1"/>
  <c r="L1778" i="1"/>
  <c r="K1778" i="1"/>
  <c r="J1778" i="1"/>
  <c r="I1778" i="1"/>
  <c r="H1778" i="1"/>
  <c r="G1778" i="1"/>
  <c r="F1778" i="1"/>
  <c r="Q1777" i="1"/>
  <c r="P1777" i="1"/>
  <c r="O1777" i="1"/>
  <c r="N1777" i="1"/>
  <c r="M1777" i="1"/>
  <c r="L1777" i="1"/>
  <c r="K1777" i="1"/>
  <c r="J1777" i="1"/>
  <c r="I1777" i="1"/>
  <c r="H1777" i="1"/>
  <c r="G1777" i="1"/>
  <c r="F1777" i="1"/>
  <c r="Q1776" i="1"/>
  <c r="P1776" i="1"/>
  <c r="O1776" i="1"/>
  <c r="N1776" i="1"/>
  <c r="M1776" i="1"/>
  <c r="L1776" i="1"/>
  <c r="K1776" i="1"/>
  <c r="J1776" i="1"/>
  <c r="I1776" i="1"/>
  <c r="H1776" i="1"/>
  <c r="G1776" i="1"/>
  <c r="F1776" i="1"/>
  <c r="Q1775" i="1"/>
  <c r="P1775" i="1"/>
  <c r="O1775" i="1"/>
  <c r="N1775" i="1"/>
  <c r="M1775" i="1"/>
  <c r="L1775" i="1"/>
  <c r="K1775" i="1"/>
  <c r="J1775" i="1"/>
  <c r="I1775" i="1"/>
  <c r="H1775" i="1"/>
  <c r="G1775" i="1"/>
  <c r="F1775" i="1"/>
  <c r="Q1774" i="1"/>
  <c r="P1774" i="1"/>
  <c r="O1774" i="1"/>
  <c r="N1774" i="1"/>
  <c r="M1774" i="1"/>
  <c r="L1774" i="1"/>
  <c r="K1774" i="1"/>
  <c r="J1774" i="1"/>
  <c r="I1774" i="1"/>
  <c r="H1774" i="1"/>
  <c r="G1774" i="1"/>
  <c r="F1774" i="1"/>
  <c r="Q1773" i="1"/>
  <c r="P1773" i="1"/>
  <c r="O1773" i="1"/>
  <c r="N1773" i="1"/>
  <c r="M1773" i="1"/>
  <c r="L1773" i="1"/>
  <c r="K1773" i="1"/>
  <c r="J1773" i="1"/>
  <c r="I1773" i="1"/>
  <c r="H1773" i="1"/>
  <c r="G1773" i="1"/>
  <c r="F1773" i="1"/>
  <c r="Q1772" i="1"/>
  <c r="P1772" i="1"/>
  <c r="O1772" i="1"/>
  <c r="N1772" i="1"/>
  <c r="M1772" i="1"/>
  <c r="L1772" i="1"/>
  <c r="K1772" i="1"/>
  <c r="J1772" i="1"/>
  <c r="I1772" i="1"/>
  <c r="H1772" i="1"/>
  <c r="G1772" i="1"/>
  <c r="F1772" i="1"/>
  <c r="Q1771" i="1"/>
  <c r="P1771" i="1"/>
  <c r="O1771" i="1"/>
  <c r="N1771" i="1"/>
  <c r="M1771" i="1"/>
  <c r="L1771" i="1"/>
  <c r="K1771" i="1"/>
  <c r="J1771" i="1"/>
  <c r="I1771" i="1"/>
  <c r="H1771" i="1"/>
  <c r="G1771" i="1"/>
  <c r="F1771" i="1"/>
  <c r="Q1769" i="1"/>
  <c r="P1769" i="1"/>
  <c r="O1769" i="1"/>
  <c r="N1769" i="1"/>
  <c r="M1769" i="1"/>
  <c r="L1769" i="1"/>
  <c r="K1769" i="1"/>
  <c r="J1769" i="1"/>
  <c r="I1769" i="1"/>
  <c r="H1769" i="1"/>
  <c r="G1769" i="1"/>
  <c r="F1769" i="1"/>
  <c r="Q1768" i="1"/>
  <c r="P1768" i="1"/>
  <c r="O1768" i="1"/>
  <c r="N1768" i="1"/>
  <c r="M1768" i="1"/>
  <c r="L1768" i="1"/>
  <c r="K1768" i="1"/>
  <c r="J1768" i="1"/>
  <c r="I1768" i="1"/>
  <c r="H1768" i="1"/>
  <c r="G1768" i="1"/>
  <c r="F1768" i="1"/>
  <c r="Q1767" i="1"/>
  <c r="P1767" i="1"/>
  <c r="O1767" i="1"/>
  <c r="N1767" i="1"/>
  <c r="M1767" i="1"/>
  <c r="L1767" i="1"/>
  <c r="K1767" i="1"/>
  <c r="J1767" i="1"/>
  <c r="I1767" i="1"/>
  <c r="H1767" i="1"/>
  <c r="G1767" i="1"/>
  <c r="F1767" i="1"/>
  <c r="Q1765" i="1"/>
  <c r="P1765" i="1"/>
  <c r="O1765" i="1"/>
  <c r="N1765" i="1"/>
  <c r="M1765" i="1"/>
  <c r="L1765" i="1"/>
  <c r="K1765" i="1"/>
  <c r="J1765" i="1"/>
  <c r="I1765" i="1"/>
  <c r="H1765" i="1"/>
  <c r="G1765" i="1"/>
  <c r="F1765" i="1"/>
  <c r="Q1764" i="1"/>
  <c r="P1764" i="1"/>
  <c r="O1764" i="1"/>
  <c r="N1764" i="1"/>
  <c r="M1764" i="1"/>
  <c r="L1764" i="1"/>
  <c r="K1764" i="1"/>
  <c r="J1764" i="1"/>
  <c r="I1764" i="1"/>
  <c r="H1764" i="1"/>
  <c r="G1764" i="1"/>
  <c r="F1764" i="1"/>
  <c r="Q1763" i="1"/>
  <c r="P1763" i="1"/>
  <c r="O1763" i="1"/>
  <c r="N1763" i="1"/>
  <c r="M1763" i="1"/>
  <c r="L1763" i="1"/>
  <c r="K1763" i="1"/>
  <c r="J1763" i="1"/>
  <c r="I1763" i="1"/>
  <c r="H1763" i="1"/>
  <c r="G1763" i="1"/>
  <c r="F1763" i="1"/>
  <c r="Q1761" i="1"/>
  <c r="P1761" i="1"/>
  <c r="O1761" i="1"/>
  <c r="N1761" i="1"/>
  <c r="M1761" i="1"/>
  <c r="L1761" i="1"/>
  <c r="K1761" i="1"/>
  <c r="J1761" i="1"/>
  <c r="I1761" i="1"/>
  <c r="H1761" i="1"/>
  <c r="G1761" i="1"/>
  <c r="F1761" i="1"/>
  <c r="O1693" i="1" a="1"/>
  <c r="O1693" i="1" s="1"/>
  <c r="P1693" i="1" a="1"/>
  <c r="P1693" i="1" s="1"/>
  <c r="Q1693" i="1" a="1"/>
  <c r="Q1693" i="1" s="1"/>
  <c r="L1693" i="1" a="1"/>
  <c r="L1693" i="1" s="1"/>
  <c r="K1693" i="1" a="1"/>
  <c r="K1693" i="1" s="1"/>
  <c r="N1693" i="1" a="1"/>
  <c r="N1693" i="1" s="1"/>
  <c r="M1693" i="1" a="1"/>
  <c r="M1693" i="1" s="1"/>
  <c r="J1693" i="1" a="1"/>
  <c r="J1693" i="1" s="1"/>
  <c r="H1693" i="1" a="1"/>
  <c r="H1693" i="1" s="1"/>
  <c r="G1693" i="1" a="1"/>
  <c r="G1693" i="1" s="1"/>
  <c r="I1693" i="1" a="1"/>
  <c r="I1693" i="1"/>
  <c r="F1693" i="1" a="1"/>
  <c r="F1693" i="1" s="1"/>
  <c r="Q1705" i="1"/>
  <c r="P1705" i="1"/>
  <c r="O1705" i="1"/>
  <c r="N1705" i="1"/>
  <c r="M1705" i="1"/>
  <c r="L1705" i="1"/>
  <c r="K1705" i="1"/>
  <c r="J1705" i="1"/>
  <c r="Q1704" i="1"/>
  <c r="P1704" i="1"/>
  <c r="O1704" i="1"/>
  <c r="N1704" i="1"/>
  <c r="M1704" i="1"/>
  <c r="L1704" i="1"/>
  <c r="K1704" i="1"/>
  <c r="J1704" i="1"/>
  <c r="Q1703" i="1"/>
  <c r="P1703" i="1"/>
  <c r="O1703" i="1"/>
  <c r="N1703" i="1"/>
  <c r="M1703" i="1"/>
  <c r="L1703" i="1"/>
  <c r="K1703" i="1"/>
  <c r="J1703" i="1"/>
  <c r="Q1701" i="1"/>
  <c r="P1701" i="1"/>
  <c r="O1701" i="1"/>
  <c r="N1701" i="1"/>
  <c r="M1701" i="1"/>
  <c r="L1701" i="1"/>
  <c r="K1701" i="1"/>
  <c r="J1701" i="1"/>
  <c r="I1701" i="1"/>
  <c r="H1701" i="1"/>
  <c r="G1701" i="1"/>
  <c r="F1701" i="1"/>
  <c r="Q1700" i="1"/>
  <c r="P1700" i="1"/>
  <c r="O1700" i="1"/>
  <c r="N1700" i="1"/>
  <c r="M1700" i="1"/>
  <c r="L1700" i="1"/>
  <c r="K1700" i="1"/>
  <c r="J1700" i="1"/>
  <c r="I1700" i="1"/>
  <c r="H1700" i="1"/>
  <c r="G1700" i="1"/>
  <c r="F1700" i="1"/>
  <c r="Q1699" i="1"/>
  <c r="P1699" i="1"/>
  <c r="O1699" i="1"/>
  <c r="N1699" i="1"/>
  <c r="M1699" i="1"/>
  <c r="L1699" i="1"/>
  <c r="K1699" i="1"/>
  <c r="J1699" i="1"/>
  <c r="I1699" i="1"/>
  <c r="H1699" i="1"/>
  <c r="G1699" i="1"/>
  <c r="F1699" i="1"/>
  <c r="Q1698" i="1"/>
  <c r="P1698" i="1"/>
  <c r="O1698" i="1"/>
  <c r="N1698" i="1"/>
  <c r="M1698" i="1"/>
  <c r="L1698" i="1"/>
  <c r="K1698" i="1"/>
  <c r="J1698" i="1"/>
  <c r="I1698" i="1"/>
  <c r="H1698" i="1"/>
  <c r="G1698" i="1"/>
  <c r="F1698" i="1"/>
  <c r="Q1697" i="1"/>
  <c r="P1697" i="1"/>
  <c r="O1697" i="1"/>
  <c r="N1697" i="1"/>
  <c r="M1697" i="1"/>
  <c r="L1697" i="1"/>
  <c r="K1697" i="1"/>
  <c r="J1697" i="1"/>
  <c r="I1697" i="1"/>
  <c r="H1697" i="1"/>
  <c r="G1697" i="1"/>
  <c r="F1697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Q1695" i="1"/>
  <c r="P1695" i="1"/>
  <c r="O1695" i="1"/>
  <c r="N1695" i="1"/>
  <c r="M1695" i="1"/>
  <c r="L1695" i="1"/>
  <c r="K1695" i="1"/>
  <c r="J1695" i="1"/>
  <c r="I1695" i="1"/>
  <c r="H1695" i="1"/>
  <c r="G1695" i="1"/>
  <c r="F1695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Q1690" i="1"/>
  <c r="P1690" i="1"/>
  <c r="O1690" i="1"/>
  <c r="N1690" i="1"/>
  <c r="M1690" i="1"/>
  <c r="L1690" i="1"/>
  <c r="K1690" i="1"/>
  <c r="J1690" i="1"/>
  <c r="I1690" i="1"/>
  <c r="H1690" i="1"/>
  <c r="G1690" i="1"/>
  <c r="F1690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Q1655" i="1"/>
  <c r="P1655" i="1"/>
  <c r="O1655" i="1"/>
  <c r="N1655" i="1"/>
  <c r="M1655" i="1"/>
  <c r="L1655" i="1"/>
  <c r="K1655" i="1"/>
  <c r="J1655" i="1"/>
  <c r="I1655" i="1"/>
  <c r="H1655" i="1"/>
  <c r="G1655" i="1"/>
  <c r="F1655" i="1"/>
  <c r="F1454" i="1" a="1"/>
  <c r="F1454" i="1" s="1"/>
  <c r="K1453" i="1" a="1"/>
  <c r="K1453" i="1" s="1"/>
  <c r="O1453" i="1" a="1"/>
  <c r="O1453" i="1" s="1"/>
  <c r="P1453" i="1" a="1"/>
  <c r="P1453" i="1" s="1"/>
  <c r="M1453" i="1" a="1"/>
  <c r="M1453" i="1" s="1"/>
  <c r="L1453" i="1" a="1"/>
  <c r="L1453" i="1" s="1"/>
  <c r="G1453" i="1" a="1"/>
  <c r="G1453" i="1" s="1"/>
  <c r="G1454" i="1" a="1"/>
  <c r="G1454" i="1" s="1"/>
  <c r="Q1453" i="1" a="1"/>
  <c r="Q1453" i="1" s="1"/>
  <c r="H1453" i="1" a="1"/>
  <c r="H1453" i="1" s="1"/>
  <c r="F1455" i="1" a="1"/>
  <c r="F1455" i="1" s="1"/>
  <c r="Q1454" i="1" a="1"/>
  <c r="Q1454" i="1" s="1"/>
  <c r="P1454" i="1" a="1"/>
  <c r="P1454" i="1" s="1"/>
  <c r="N1453" i="1" a="1"/>
  <c r="N1453" i="1" s="1"/>
  <c r="M1454" i="1" a="1"/>
  <c r="M1454" i="1" s="1"/>
  <c r="O1454" i="1" a="1"/>
  <c r="O1454" i="1" s="1"/>
  <c r="N1454" i="1" a="1"/>
  <c r="N1454" i="1" s="1"/>
  <c r="L1454" i="1" a="1"/>
  <c r="L1454" i="1" s="1"/>
  <c r="K1454" i="1" a="1"/>
  <c r="K1454" i="1" s="1"/>
  <c r="J1453" i="1" a="1"/>
  <c r="J1453" i="1" s="1"/>
  <c r="J1454" i="1" a="1"/>
  <c r="J1454" i="1" s="1"/>
  <c r="I1453" i="1" a="1"/>
  <c r="I1453" i="1" s="1"/>
  <c r="I1454" i="1" a="1"/>
  <c r="I1454" i="1" s="1"/>
  <c r="H1454" i="1" a="1"/>
  <c r="H1454" i="1" s="1"/>
  <c r="P1438" i="1" a="1"/>
  <c r="P1438" i="1" s="1"/>
  <c r="N1438" i="1" a="1"/>
  <c r="N1438" i="1" s="1"/>
  <c r="M1437" i="1" a="1"/>
  <c r="M1437" i="1" s="1"/>
  <c r="O1436" i="1" a="1"/>
  <c r="O1436" i="1" s="1"/>
  <c r="J1437" i="1" a="1"/>
  <c r="J1437" i="1" s="1"/>
  <c r="J1436" i="1" a="1"/>
  <c r="J1436" i="1" s="1"/>
  <c r="P1436" i="1" a="1"/>
  <c r="P1436" i="1" s="1"/>
  <c r="K1438" i="1" a="1"/>
  <c r="K1438" i="1" s="1"/>
  <c r="O1437" i="1" a="1"/>
  <c r="O1437" i="1" s="1"/>
  <c r="K1436" i="1" a="1"/>
  <c r="K1436" i="1" s="1"/>
  <c r="L1439" i="1" a="1"/>
  <c r="L1439" i="1" s="1"/>
  <c r="J1438" i="1" a="1"/>
  <c r="J1438" i="1" s="1"/>
  <c r="I1437" i="1" a="1"/>
  <c r="I1437" i="1" s="1"/>
  <c r="G1438" i="1" a="1"/>
  <c r="G1438" i="1" s="1"/>
  <c r="L1437" i="1" a="1"/>
  <c r="L1437" i="1" s="1"/>
  <c r="H1436" i="1" a="1"/>
  <c r="H1436" i="1" s="1"/>
  <c r="P1439" i="1" a="1"/>
  <c r="P1439" i="1" s="1"/>
  <c r="J1439" i="1" a="1"/>
  <c r="J1439" i="1" s="1"/>
  <c r="Q1436" i="1" a="1"/>
  <c r="Q1436" i="1" s="1"/>
  <c r="F1436" i="1" a="1"/>
  <c r="F1436" i="1" s="1"/>
  <c r="H1439" i="1" a="1"/>
  <c r="H1439" i="1" s="1"/>
  <c r="H1437" i="1" a="1"/>
  <c r="H1437" i="1"/>
  <c r="Q1439" i="1" a="1"/>
  <c r="Q1439" i="1" s="1"/>
  <c r="O1439" i="1" a="1"/>
  <c r="O1439" i="1" s="1"/>
  <c r="K1439" i="1" a="1"/>
  <c r="K1439" i="1" s="1"/>
  <c r="N1439" i="1" a="1"/>
  <c r="N1439" i="1" s="1"/>
  <c r="Q1438" i="1" a="1"/>
  <c r="Q1438" i="1" s="1"/>
  <c r="O1438" i="1" a="1"/>
  <c r="O1438" i="1" s="1"/>
  <c r="F1438" i="1" a="1"/>
  <c r="F1438" i="1" s="1"/>
  <c r="P1437" i="1" a="1"/>
  <c r="P1437" i="1" s="1"/>
  <c r="F1437" i="1" a="1"/>
  <c r="F1437" i="1" s="1"/>
  <c r="G1436" i="1" a="1"/>
  <c r="G1436" i="1" s="1"/>
  <c r="M1439" i="1" a="1"/>
  <c r="M1439" i="1" s="1"/>
  <c r="G1437" i="1" a="1"/>
  <c r="G1437" i="1"/>
  <c r="I1436" i="1" a="1"/>
  <c r="I1436" i="1" s="1"/>
  <c r="K1437" i="1" a="1"/>
  <c r="K1437" i="1" s="1"/>
  <c r="M1436" i="1" a="1"/>
  <c r="M1436" i="1" s="1"/>
  <c r="I1438" i="1" a="1"/>
  <c r="I1438" i="1" s="1"/>
  <c r="H1438" i="1" a="1"/>
  <c r="H1438" i="1"/>
  <c r="G1439" i="1" a="1"/>
  <c r="G1439" i="1" s="1"/>
  <c r="M1438" i="1" a="1"/>
  <c r="M1438" i="1" s="1"/>
  <c r="N1437" i="1" a="1"/>
  <c r="N1437" i="1" s="1"/>
  <c r="L1438" i="1" a="1"/>
  <c r="L1438" i="1" s="1"/>
  <c r="L1436" i="1" a="1"/>
  <c r="L1436" i="1" s="1"/>
  <c r="I1439" i="1" a="1"/>
  <c r="I1439" i="1" s="1"/>
  <c r="F1439" i="1" a="1"/>
  <c r="F1439" i="1" s="1"/>
  <c r="Q1437" i="1" a="1"/>
  <c r="Q1437" i="1" s="1"/>
  <c r="N1436" i="1" a="1"/>
  <c r="N1436" i="1"/>
  <c r="G1442" i="1" a="1"/>
  <c r="G1442" i="1" s="1"/>
  <c r="P1441" i="1" a="1"/>
  <c r="P1441" i="1"/>
  <c r="Q1441" i="1" a="1"/>
  <c r="Q1441" i="1"/>
  <c r="F1442" i="1" a="1"/>
  <c r="F1442" i="1" s="1"/>
  <c r="J1441" i="1" a="1"/>
  <c r="J1441" i="1" s="1"/>
  <c r="I1441" i="1" a="1"/>
  <c r="I1441" i="1" s="1"/>
  <c r="F1441" i="1" a="1"/>
  <c r="F1441" i="1" s="1"/>
  <c r="H1441" i="1" a="1"/>
  <c r="H1441" i="1" s="1"/>
  <c r="G1441" i="1" a="1"/>
  <c r="G1441" i="1" s="1"/>
  <c r="P1440" i="1" a="1"/>
  <c r="P1440" i="1" s="1"/>
  <c r="L1440" i="1" a="1"/>
  <c r="L1440" i="1" s="1"/>
  <c r="J1440" i="1" a="1"/>
  <c r="J1440" i="1" s="1"/>
  <c r="I1440" i="1" a="1"/>
  <c r="I1440" i="1" s="1"/>
  <c r="H1440" i="1" a="1"/>
  <c r="H1440" i="1" s="1"/>
  <c r="Q1440" i="1" a="1"/>
  <c r="Q1440" i="1" s="1"/>
  <c r="O1440" i="1" a="1"/>
  <c r="O1440" i="1" s="1"/>
  <c r="N1440" i="1" a="1"/>
  <c r="N1440" i="1"/>
  <c r="M1440" i="1" a="1"/>
  <c r="M1440" i="1" s="1"/>
  <c r="K1440" i="1" a="1"/>
  <c r="K1440" i="1"/>
  <c r="G1440" i="1" a="1"/>
  <c r="G1440" i="1"/>
  <c r="N1441" i="1" a="1"/>
  <c r="N1441" i="1" s="1"/>
  <c r="O1441" i="1" a="1"/>
  <c r="O1441" i="1" s="1"/>
  <c r="M1441" i="1" a="1"/>
  <c r="M1441" i="1" s="1"/>
  <c r="F1440" i="1" a="1"/>
  <c r="F1440" i="1" s="1"/>
  <c r="L1441" i="1" a="1"/>
  <c r="L1441" i="1" s="1"/>
  <c r="K1441" i="1" a="1"/>
  <c r="K1441" i="1" s="1"/>
  <c r="P1347" i="1" a="1"/>
  <c r="P1347" i="1" s="1"/>
  <c r="L1347" i="1" a="1"/>
  <c r="L1347" i="1"/>
  <c r="F1347" i="1" a="1"/>
  <c r="F1347" i="1" s="1"/>
  <c r="G1349" i="1" a="1"/>
  <c r="G1349" i="1" s="1"/>
  <c r="O1348" i="1" a="1"/>
  <c r="O1348" i="1" s="1"/>
  <c r="N1348" i="1" a="1"/>
  <c r="N1348" i="1" s="1"/>
  <c r="K1346" i="1" a="1"/>
  <c r="K1346" i="1" s="1"/>
  <c r="G1347" i="1" a="1"/>
  <c r="G1347" i="1"/>
  <c r="J1348" i="1" a="1"/>
  <c r="J1348" i="1" s="1"/>
  <c r="M1348" i="1" a="1"/>
  <c r="M1348" i="1" s="1"/>
  <c r="N1347" i="1" a="1"/>
  <c r="N1347" i="1" s="1"/>
  <c r="F1346" i="1" a="1"/>
  <c r="F1346" i="1" s="1"/>
  <c r="I1348" i="1" a="1"/>
  <c r="I1348" i="1"/>
  <c r="M1349" i="1" a="1"/>
  <c r="M1349" i="1" s="1"/>
  <c r="Q1348" i="1" a="1"/>
  <c r="Q1348" i="1" s="1"/>
  <c r="J1346" i="1" a="1"/>
  <c r="J1346" i="1" s="1"/>
  <c r="Q1347" i="1" a="1"/>
  <c r="Q1347" i="1" s="1"/>
  <c r="O1347" i="1" a="1"/>
  <c r="O1347" i="1"/>
  <c r="L1346" i="1" a="1"/>
  <c r="L1346" i="1"/>
  <c r="H1347" i="1" a="1"/>
  <c r="H1347" i="1" s="1"/>
  <c r="I1349" i="1" a="1"/>
  <c r="I1349" i="1" s="1"/>
  <c r="Q1346" i="1" a="1"/>
  <c r="Q1346" i="1" s="1"/>
  <c r="F1349" i="1" a="1"/>
  <c r="F1349" i="1" s="1"/>
  <c r="K1347" i="1" a="1"/>
  <c r="K1347" i="1" s="1"/>
  <c r="I1346" i="1" a="1"/>
  <c r="I1346" i="1" s="1"/>
  <c r="K1348" i="1" a="1"/>
  <c r="K1348" i="1" s="1"/>
  <c r="O1346" i="1" a="1"/>
  <c r="O1346" i="1"/>
  <c r="J1347" i="1" a="1"/>
  <c r="J1347" i="1" s="1"/>
  <c r="M1346" i="1" a="1"/>
  <c r="M1346" i="1" s="1"/>
  <c r="H1346" i="1" a="1"/>
  <c r="H1346" i="1"/>
  <c r="H1349" i="1" a="1"/>
  <c r="H1349" i="1"/>
  <c r="L1348" i="1" a="1"/>
  <c r="L1348" i="1"/>
  <c r="F1348" i="1" a="1"/>
  <c r="F1348" i="1" s="1"/>
  <c r="M1347" i="1" a="1"/>
  <c r="M1347" i="1" s="1"/>
  <c r="I1347" i="1" a="1"/>
  <c r="I1347" i="1"/>
  <c r="N1346" i="1" a="1"/>
  <c r="N1346" i="1"/>
  <c r="Q1349" i="1" a="1"/>
  <c r="Q1349" i="1" s="1"/>
  <c r="P1349" i="1" a="1"/>
  <c r="P1349" i="1" s="1"/>
  <c r="O1349" i="1" a="1"/>
  <c r="O1349" i="1" s="1"/>
  <c r="P1348" i="1" a="1"/>
  <c r="P1348" i="1" s="1"/>
  <c r="N1349" i="1" a="1"/>
  <c r="N1349" i="1"/>
  <c r="L1349" i="1" a="1"/>
  <c r="L1349" i="1" s="1"/>
  <c r="G1346" i="1" a="1"/>
  <c r="G1346" i="1" s="1"/>
  <c r="K1349" i="1" a="1"/>
  <c r="K1349" i="1"/>
  <c r="G1348" i="1" a="1"/>
  <c r="G1348" i="1" s="1"/>
  <c r="H1348" i="1" a="1"/>
  <c r="H1348" i="1"/>
  <c r="J1349" i="1" a="1"/>
  <c r="J1349" i="1" s="1"/>
  <c r="P1346" i="1" a="1"/>
  <c r="P1346" i="1" s="1"/>
  <c r="K1368" i="1" a="1"/>
  <c r="K1368" i="1" s="1"/>
  <c r="N1366" i="1" a="1"/>
  <c r="N1366" i="1"/>
  <c r="J1368" i="1" a="1"/>
  <c r="J1368" i="1" s="1"/>
  <c r="I1368" i="1" a="1"/>
  <c r="I1368" i="1" s="1"/>
  <c r="H1368" i="1" a="1"/>
  <c r="H1368" i="1" s="1"/>
  <c r="F1368" i="1" a="1"/>
  <c r="F1368" i="1" s="1"/>
  <c r="P1367" i="1" a="1"/>
  <c r="P1367" i="1" s="1"/>
  <c r="L1366" i="1" a="1"/>
  <c r="L1366" i="1" s="1"/>
  <c r="F1366" i="1" a="1"/>
  <c r="F1366" i="1" s="1"/>
  <c r="N1367" i="1" a="1"/>
  <c r="N1367" i="1" s="1"/>
  <c r="J1366" i="1" a="1"/>
  <c r="J1366" i="1" s="1"/>
  <c r="I1366" i="1" a="1"/>
  <c r="I1366" i="1" s="1"/>
  <c r="Q1366" i="1" a="1"/>
  <c r="Q1366" i="1"/>
  <c r="O1367" i="1" a="1"/>
  <c r="O1367" i="1" s="1"/>
  <c r="M1367" i="1" a="1"/>
  <c r="M1367" i="1"/>
  <c r="F1367" i="1" a="1"/>
  <c r="F1367" i="1"/>
  <c r="P1366" i="1" a="1"/>
  <c r="P1366" i="1"/>
  <c r="L1367" i="1" a="1"/>
  <c r="L1367" i="1" s="1"/>
  <c r="K1367" i="1" a="1"/>
  <c r="K1367" i="1" s="1"/>
  <c r="J1367" i="1" a="1"/>
  <c r="J1367" i="1" s="1"/>
  <c r="G1366" i="1" a="1"/>
  <c r="G1366" i="1" s="1"/>
  <c r="I1367" i="1" a="1"/>
  <c r="I1367" i="1" s="1"/>
  <c r="H1367" i="1" a="1"/>
  <c r="H1367" i="1" s="1"/>
  <c r="G1367" i="1" a="1"/>
  <c r="G1367" i="1" s="1"/>
  <c r="O1366" i="1" a="1"/>
  <c r="O1366" i="1" s="1"/>
  <c r="M1366" i="1" a="1"/>
  <c r="M1366" i="1"/>
  <c r="H1366" i="1" a="1"/>
  <c r="H1366" i="1"/>
  <c r="K1366" i="1" a="1"/>
  <c r="K1366" i="1" s="1"/>
  <c r="G1368" i="1" a="1"/>
  <c r="G1368" i="1"/>
  <c r="Q1367" i="1" a="1"/>
  <c r="Q1367" i="1" s="1"/>
  <c r="Q1365" i="1" a="1"/>
  <c r="Q1365" i="1"/>
  <c r="P1365" i="1" a="1"/>
  <c r="P1365" i="1" s="1"/>
  <c r="O1365" i="1" a="1"/>
  <c r="O1365" i="1" s="1"/>
  <c r="Q1364" i="1" a="1"/>
  <c r="Q1364" i="1" s="1"/>
  <c r="J1365" i="1" a="1"/>
  <c r="J1365" i="1"/>
  <c r="N1365" i="1" a="1"/>
  <c r="N1365" i="1" s="1"/>
  <c r="L1365" i="1" a="1"/>
  <c r="L1365" i="1" s="1"/>
  <c r="H1365" i="1" a="1"/>
  <c r="H1365" i="1" s="1"/>
  <c r="M1365" i="1" a="1"/>
  <c r="M1365" i="1"/>
  <c r="G1365" i="1" a="1"/>
  <c r="G1365" i="1"/>
  <c r="F1365" i="1" a="1"/>
  <c r="F1365" i="1" s="1"/>
  <c r="K1365" i="1" a="1"/>
  <c r="K1365" i="1" s="1"/>
  <c r="I1365" i="1" a="1"/>
  <c r="I1365" i="1" s="1"/>
  <c r="N1364" i="1" a="1"/>
  <c r="N1364" i="1" s="1"/>
  <c r="L1364" i="1" a="1"/>
  <c r="L1364" i="1" s="1"/>
  <c r="O1364" i="1" a="1"/>
  <c r="O1364" i="1" s="1"/>
  <c r="M1364" i="1" a="1"/>
  <c r="M1364" i="1" s="1"/>
  <c r="K1364" i="1" a="1"/>
  <c r="K1364" i="1" s="1"/>
  <c r="P1364" i="1" a="1"/>
  <c r="P1364" i="1"/>
  <c r="J1364" i="1" a="1"/>
  <c r="J1364" i="1" s="1"/>
  <c r="I1364" i="1" a="1"/>
  <c r="I1364" i="1" s="1"/>
  <c r="H1364" i="1" a="1"/>
  <c r="H1364" i="1" s="1"/>
  <c r="N1363" i="1" a="1"/>
  <c r="N1363" i="1" s="1"/>
  <c r="G1364" i="1" a="1"/>
  <c r="G1364" i="1"/>
  <c r="K1363" i="1" a="1"/>
  <c r="K1363" i="1" s="1"/>
  <c r="F1364" i="1" a="1"/>
  <c r="F1364" i="1" s="1"/>
  <c r="Q1363" i="1" a="1"/>
  <c r="Q1363" i="1" s="1"/>
  <c r="L1363" i="1" a="1"/>
  <c r="L1363" i="1" s="1"/>
  <c r="M1363" i="1" a="1"/>
  <c r="M1363" i="1"/>
  <c r="H1363" i="1" a="1"/>
  <c r="H1363" i="1" s="1"/>
  <c r="P1363" i="1" a="1"/>
  <c r="P1363" i="1" s="1"/>
  <c r="O1363" i="1" a="1"/>
  <c r="O1363" i="1" s="1"/>
  <c r="J1363" i="1" a="1"/>
  <c r="J1363" i="1" s="1"/>
  <c r="I1363" i="1" a="1"/>
  <c r="I1363" i="1" s="1"/>
  <c r="F1363" i="1" a="1"/>
  <c r="F1363" i="1" s="1"/>
  <c r="K1362" i="1" a="1"/>
  <c r="K1362" i="1" s="1"/>
  <c r="P1362" i="1" a="1"/>
  <c r="P1362" i="1"/>
  <c r="Q1362" i="1" a="1"/>
  <c r="Q1362" i="1"/>
  <c r="L1362" i="1" a="1"/>
  <c r="L1362" i="1"/>
  <c r="O1362" i="1" a="1"/>
  <c r="O1362" i="1" s="1"/>
  <c r="N1362" i="1" a="1"/>
  <c r="N1362" i="1" s="1"/>
  <c r="M1362" i="1" a="1"/>
  <c r="M1362" i="1"/>
  <c r="G1363" i="1" a="1"/>
  <c r="G1363" i="1"/>
  <c r="J1362" i="1" a="1"/>
  <c r="J1362" i="1" s="1"/>
  <c r="I1362" i="1" a="1"/>
  <c r="I1362" i="1" s="1"/>
  <c r="H1362" i="1" a="1"/>
  <c r="H1362" i="1" s="1"/>
  <c r="G1362" i="1" a="1"/>
  <c r="G1362" i="1"/>
  <c r="L1360" i="1" a="1"/>
  <c r="L1360" i="1" s="1"/>
  <c r="O1359" i="1" a="1"/>
  <c r="O1359" i="1" s="1"/>
  <c r="P1361" i="1" a="1"/>
  <c r="P1361" i="1" s="1"/>
  <c r="N1361" i="1" a="1"/>
  <c r="N1361" i="1"/>
  <c r="M1361" i="1" a="1"/>
  <c r="M1361" i="1" s="1"/>
  <c r="K1360" i="1" a="1"/>
  <c r="K1360" i="1"/>
  <c r="H1361" i="1" a="1"/>
  <c r="H1361" i="1" s="1"/>
  <c r="L1361" i="1" a="1"/>
  <c r="L1361" i="1" s="1"/>
  <c r="P1360" i="1" a="1"/>
  <c r="P1360" i="1" s="1"/>
  <c r="M1359" i="1" a="1"/>
  <c r="M1359" i="1"/>
  <c r="F1360" i="1" a="1"/>
  <c r="F1360" i="1" s="1"/>
  <c r="J1361" i="1" a="1"/>
  <c r="J1361" i="1" s="1"/>
  <c r="F1361" i="1" a="1"/>
  <c r="F1361" i="1" s="1"/>
  <c r="O1360" i="1" a="1"/>
  <c r="O1360" i="1"/>
  <c r="N1360" i="1" a="1"/>
  <c r="N1360" i="1" s="1"/>
  <c r="H1360" i="1" a="1"/>
  <c r="H1360" i="1" s="1"/>
  <c r="Q1359" i="1" a="1"/>
  <c r="Q1359" i="1" s="1"/>
  <c r="H1359" i="1" a="1"/>
  <c r="H1359" i="1" s="1"/>
  <c r="M1360" i="1" a="1"/>
  <c r="M1360" i="1" s="1"/>
  <c r="I1360" i="1" a="1"/>
  <c r="I1360" i="1" s="1"/>
  <c r="G1360" i="1" a="1"/>
  <c r="G1360" i="1"/>
  <c r="J1359" i="1" a="1"/>
  <c r="J1359" i="1" s="1"/>
  <c r="F1359" i="1" a="1"/>
  <c r="F1359" i="1"/>
  <c r="I1359" i="1" a="1"/>
  <c r="I1359" i="1"/>
  <c r="F1362" i="1" a="1"/>
  <c r="F1362" i="1" s="1"/>
  <c r="O1361" i="1" a="1"/>
  <c r="O1361" i="1" s="1"/>
  <c r="Q1361" i="1" a="1"/>
  <c r="Q1361" i="1" s="1"/>
  <c r="I1361" i="1" a="1"/>
  <c r="I1361" i="1"/>
  <c r="J1360" i="1" a="1"/>
  <c r="J1360" i="1" s="1"/>
  <c r="K1359" i="1" a="1"/>
  <c r="K1359" i="1" s="1"/>
  <c r="P1358" i="1" a="1"/>
  <c r="P1358" i="1" s="1"/>
  <c r="P1359" i="1" a="1"/>
  <c r="P1359" i="1" s="1"/>
  <c r="Q1358" i="1" a="1"/>
  <c r="Q1358" i="1" s="1"/>
  <c r="L1359" i="1" a="1"/>
  <c r="L1359" i="1"/>
  <c r="G1359" i="1" a="1"/>
  <c r="G1359" i="1"/>
  <c r="K1361" i="1" a="1"/>
  <c r="K1361" i="1" s="1"/>
  <c r="N1359" i="1" a="1"/>
  <c r="N1359" i="1"/>
  <c r="G1361" i="1" a="1"/>
  <c r="G1361" i="1" s="1"/>
  <c r="Q1360" i="1" a="1"/>
  <c r="Q1360" i="1" s="1"/>
  <c r="P1357" i="1" a="1"/>
  <c r="P1357" i="1" s="1"/>
  <c r="Q1357" i="1" a="1"/>
  <c r="Q1357" i="1" s="1"/>
  <c r="F1358" i="1" a="1"/>
  <c r="F1358" i="1"/>
  <c r="H1358" i="1" a="1"/>
  <c r="H1358" i="1" s="1"/>
  <c r="O1358" i="1" a="1"/>
  <c r="O1358" i="1" s="1"/>
  <c r="N1358" i="1" a="1"/>
  <c r="N1358" i="1" s="1"/>
  <c r="M1358" i="1" a="1"/>
  <c r="M1358" i="1" s="1"/>
  <c r="L1358" i="1" a="1"/>
  <c r="L1358" i="1"/>
  <c r="K1358" i="1" a="1"/>
  <c r="K1358" i="1"/>
  <c r="I1358" i="1" a="1"/>
  <c r="I1358" i="1" s="1"/>
  <c r="J1358" i="1" a="1"/>
  <c r="J1358" i="1" s="1"/>
  <c r="O1357" i="1" a="1"/>
  <c r="O1357" i="1" s="1"/>
  <c r="G1358" i="1" a="1"/>
  <c r="G1358" i="1" s="1"/>
  <c r="M1357" i="1" a="1"/>
  <c r="M1357" i="1" s="1"/>
  <c r="K1357" i="1" a="1"/>
  <c r="K1357" i="1" s="1"/>
  <c r="N1356" i="1" a="1"/>
  <c r="N1356" i="1" s="1"/>
  <c r="K1356" i="1" a="1"/>
  <c r="K1356" i="1" s="1"/>
  <c r="F1356" i="1" a="1"/>
  <c r="F1356" i="1" s="1"/>
  <c r="J1356" i="1" a="1"/>
  <c r="J1356" i="1" s="1"/>
  <c r="H1357" i="1" a="1"/>
  <c r="H1357" i="1" s="1"/>
  <c r="Q1356" i="1" a="1"/>
  <c r="Q1356" i="1" s="1"/>
  <c r="H1356" i="1" a="1"/>
  <c r="H1356" i="1" s="1"/>
  <c r="Q1355" i="1" a="1"/>
  <c r="Q1355" i="1"/>
  <c r="G1357" i="1" a="1"/>
  <c r="G1357" i="1" s="1"/>
  <c r="N1357" i="1" a="1"/>
  <c r="N1357" i="1" s="1"/>
  <c r="I1356" i="1" a="1"/>
  <c r="I1356" i="1" s="1"/>
  <c r="G1356" i="1" a="1"/>
  <c r="G1356" i="1" s="1"/>
  <c r="L1356" i="1" a="1"/>
  <c r="L1356" i="1" s="1"/>
  <c r="L1357" i="1" a="1"/>
  <c r="L1357" i="1" s="1"/>
  <c r="J1357" i="1" a="1"/>
  <c r="J1357" i="1" s="1"/>
  <c r="I1357" i="1" a="1"/>
  <c r="I1357" i="1" s="1"/>
  <c r="O1356" i="1" a="1"/>
  <c r="O1356" i="1" s="1"/>
  <c r="P1356" i="1" a="1"/>
  <c r="P1356" i="1" s="1"/>
  <c r="F1357" i="1" a="1"/>
  <c r="F1357" i="1"/>
  <c r="M1356" i="1" a="1"/>
  <c r="M1356" i="1" s="1"/>
  <c r="P1352" i="1" a="1"/>
  <c r="P1352" i="1"/>
  <c r="F1355" i="1" a="1"/>
  <c r="F1355" i="1"/>
  <c r="P1350" i="1" a="1"/>
  <c r="P1350" i="1"/>
  <c r="J1350" i="1" a="1"/>
  <c r="J1350" i="1" s="1"/>
  <c r="N1354" i="1" a="1"/>
  <c r="N1354" i="1" s="1"/>
  <c r="L1354" i="1" a="1"/>
  <c r="L1354" i="1"/>
  <c r="K1352" i="1" a="1"/>
  <c r="K1352" i="1" s="1"/>
  <c r="K1350" i="1" a="1"/>
  <c r="K1350" i="1" s="1"/>
  <c r="H1355" i="1" a="1"/>
  <c r="H1355" i="1" s="1"/>
  <c r="J1352" i="1" a="1"/>
  <c r="J1352" i="1" s="1"/>
  <c r="K1353" i="1" a="1"/>
  <c r="K1353" i="1" s="1"/>
  <c r="O1354" i="1" a="1"/>
  <c r="O1354" i="1" s="1"/>
  <c r="N1355" i="1" a="1"/>
  <c r="N1355" i="1"/>
  <c r="M1355" i="1" a="1"/>
  <c r="M1355" i="1" s="1"/>
  <c r="H1352" i="1" a="1"/>
  <c r="H1352" i="1"/>
  <c r="G1352" i="1" a="1"/>
  <c r="G1352" i="1" s="1"/>
  <c r="L1355" i="1" a="1"/>
  <c r="L1355" i="1"/>
  <c r="K1355" i="1" a="1"/>
  <c r="K1355" i="1" s="1"/>
  <c r="G1354" i="1" a="1"/>
  <c r="G1354" i="1" s="1"/>
  <c r="G1355" i="1" a="1"/>
  <c r="G1355" i="1" s="1"/>
  <c r="I1352" i="1" a="1"/>
  <c r="I1352" i="1" s="1"/>
  <c r="I1354" i="1" a="1"/>
  <c r="I1354" i="1" s="1"/>
  <c r="I1350" i="1" a="1"/>
  <c r="I1350" i="1" s="1"/>
  <c r="L1350" i="1" a="1"/>
  <c r="L1350" i="1"/>
  <c r="F1354" i="1" a="1"/>
  <c r="F1354" i="1" s="1"/>
  <c r="P1353" i="1" a="1"/>
  <c r="P1353" i="1" s="1"/>
  <c r="J1355" i="1" a="1"/>
  <c r="J1355" i="1" s="1"/>
  <c r="L1353" i="1" a="1"/>
  <c r="L1353" i="1" s="1"/>
  <c r="Q1354" i="1" a="1"/>
  <c r="Q1354" i="1" s="1"/>
  <c r="P1354" i="1" a="1"/>
  <c r="P1354" i="1" s="1"/>
  <c r="O1350" i="1" a="1"/>
  <c r="O1350" i="1" s="1"/>
  <c r="M1354" i="1" a="1"/>
  <c r="M1354" i="1"/>
  <c r="K1354" i="1" a="1"/>
  <c r="K1354" i="1" s="1"/>
  <c r="J1354" i="1" a="1"/>
  <c r="J1354" i="1"/>
  <c r="H1354" i="1" a="1"/>
  <c r="H1354" i="1" s="1"/>
  <c r="Q1353" i="1" a="1"/>
  <c r="Q1353" i="1" s="1"/>
  <c r="N1350" i="1" a="1"/>
  <c r="N1350" i="1" s="1"/>
  <c r="I1353" i="1" a="1"/>
  <c r="I1353" i="1" s="1"/>
  <c r="H1353" i="1" a="1"/>
  <c r="H1353" i="1" s="1"/>
  <c r="G1353" i="1" a="1"/>
  <c r="G1353" i="1" s="1"/>
  <c r="L1352" i="1" a="1"/>
  <c r="L1352" i="1" s="1"/>
  <c r="F1353" i="1" a="1"/>
  <c r="F1353" i="1" s="1"/>
  <c r="F1350" i="1" a="1"/>
  <c r="F1350" i="1" s="1"/>
  <c r="Q1350" i="1" a="1"/>
  <c r="Q1350" i="1" s="1"/>
  <c r="M1350" i="1" a="1"/>
  <c r="M1350" i="1"/>
  <c r="N1353" i="1" a="1"/>
  <c r="N1353" i="1"/>
  <c r="G1350" i="1" a="1"/>
  <c r="G1350" i="1" s="1"/>
  <c r="M1353" i="1" a="1"/>
  <c r="M1353" i="1"/>
  <c r="J1353" i="1" a="1"/>
  <c r="J1353" i="1" s="1"/>
  <c r="H1350" i="1" a="1"/>
  <c r="H1350" i="1" s="1"/>
  <c r="O1352" i="1" a="1"/>
  <c r="O1352" i="1" s="1"/>
  <c r="N1352" i="1" a="1"/>
  <c r="N1352" i="1"/>
  <c r="M1352" i="1" a="1"/>
  <c r="M1352" i="1" s="1"/>
  <c r="F1352" i="1" a="1"/>
  <c r="F1352" i="1" s="1"/>
  <c r="O1353" i="1" a="1"/>
  <c r="O1353" i="1"/>
  <c r="Q1352" i="1" a="1"/>
  <c r="Q1352" i="1" s="1"/>
  <c r="P1355" i="1" a="1"/>
  <c r="P1355" i="1" s="1"/>
  <c r="O1355" i="1" a="1"/>
  <c r="O1355" i="1"/>
  <c r="I1355" i="1" a="1"/>
  <c r="I1355" i="1"/>
  <c r="G1452" i="1" a="1"/>
  <c r="G1452" i="1" s="1"/>
  <c r="J1451" i="1" a="1"/>
  <c r="J1451" i="1" s="1"/>
  <c r="I1451" i="1" a="1"/>
  <c r="I1451" i="1" s="1"/>
  <c r="O1450" i="1" a="1"/>
  <c r="O1450" i="1" s="1"/>
  <c r="Q1451" i="1" a="1"/>
  <c r="Q1451" i="1" s="1"/>
  <c r="P1451" i="1" a="1"/>
  <c r="P1451" i="1" s="1"/>
  <c r="K1452" i="1" a="1"/>
  <c r="K1452" i="1"/>
  <c r="F1453" i="1" a="1"/>
  <c r="F1453" i="1" s="1"/>
  <c r="Q1452" i="1" a="1"/>
  <c r="Q1452" i="1" s="1"/>
  <c r="O1452" i="1" a="1"/>
  <c r="O1452" i="1"/>
  <c r="M1452" i="1" a="1"/>
  <c r="M1452" i="1" s="1"/>
  <c r="F1451" i="1" a="1"/>
  <c r="F1451" i="1" s="1"/>
  <c r="N1451" i="1" a="1"/>
  <c r="N1451" i="1" s="1"/>
  <c r="I1452" i="1" a="1"/>
  <c r="I1452" i="1"/>
  <c r="M1451" i="1" a="1"/>
  <c r="M1451" i="1" s="1"/>
  <c r="G1451" i="1" a="1"/>
  <c r="G1451" i="1" s="1"/>
  <c r="O1451" i="1" a="1"/>
  <c r="O1451" i="1" s="1"/>
  <c r="Q1450" i="1" a="1"/>
  <c r="Q1450" i="1" s="1"/>
  <c r="P1450" i="1" a="1"/>
  <c r="P1450" i="1" s="1"/>
  <c r="K1451" i="1" a="1"/>
  <c r="K1451" i="1" s="1"/>
  <c r="L1451" i="1" a="1"/>
  <c r="L1451" i="1" s="1"/>
  <c r="H1452" i="1" a="1"/>
  <c r="H1452" i="1" s="1"/>
  <c r="P1452" i="1" a="1"/>
  <c r="P1452" i="1" s="1"/>
  <c r="N1452" i="1" a="1"/>
  <c r="N1452" i="1" s="1"/>
  <c r="H1451" i="1" a="1"/>
  <c r="H1451" i="1"/>
  <c r="F1452" i="1" a="1"/>
  <c r="F1452" i="1" s="1"/>
  <c r="L1452" i="1" a="1"/>
  <c r="L1452" i="1"/>
  <c r="J1452" i="1" a="1"/>
  <c r="J1452" i="1"/>
  <c r="Q1457" i="1" a="1"/>
  <c r="Q1457" i="1"/>
  <c r="P1457" i="1" a="1"/>
  <c r="P1457" i="1" s="1"/>
  <c r="O1457" i="1" a="1"/>
  <c r="O1457" i="1" s="1"/>
  <c r="N1457" i="1" a="1"/>
  <c r="N1457" i="1" s="1"/>
  <c r="F1458" i="1" a="1"/>
  <c r="F1458" i="1" s="1"/>
  <c r="G1458" i="1" a="1"/>
  <c r="G1458" i="1" s="1"/>
  <c r="F1424" i="1" a="1"/>
  <c r="F1424" i="1" s="1"/>
  <c r="F1423" i="1" a="1"/>
  <c r="F1423" i="1" s="1"/>
  <c r="L1423" i="1" a="1"/>
  <c r="L1423" i="1" s="1"/>
  <c r="Q1423" i="1" a="1"/>
  <c r="Q1423" i="1"/>
  <c r="P1423" i="1" a="1"/>
  <c r="P1423" i="1"/>
  <c r="O1423" i="1" a="1"/>
  <c r="O1423" i="1" s="1"/>
  <c r="N1423" i="1" a="1"/>
  <c r="N1423" i="1"/>
  <c r="M1423" i="1" a="1"/>
  <c r="M1423" i="1" s="1"/>
  <c r="K1423" i="1" a="1"/>
  <c r="K1423" i="1"/>
  <c r="J1423" i="1" a="1"/>
  <c r="J1423" i="1" s="1"/>
  <c r="I1423" i="1" a="1"/>
  <c r="I1423" i="1" s="1"/>
  <c r="H1423" i="1" a="1"/>
  <c r="H1423" i="1" s="1"/>
  <c r="G1423" i="1" a="1"/>
  <c r="G1423" i="1" s="1"/>
  <c r="M1421" i="1" a="1"/>
  <c r="M1421" i="1" s="1"/>
  <c r="I1421" i="1" a="1"/>
  <c r="I1421" i="1" s="1"/>
  <c r="Q1420" i="1" a="1"/>
  <c r="Q1420" i="1" s="1"/>
  <c r="P1420" i="1" a="1"/>
  <c r="P1420" i="1" s="1"/>
  <c r="P1421" i="1" a="1"/>
  <c r="P1421" i="1"/>
  <c r="Q1421" i="1" a="1"/>
  <c r="Q1421" i="1" s="1"/>
  <c r="K1422" i="1" a="1"/>
  <c r="K1422" i="1" s="1"/>
  <c r="J1422" i="1" a="1"/>
  <c r="J1422" i="1" s="1"/>
  <c r="F1422" i="1" a="1"/>
  <c r="F1422" i="1" s="1"/>
  <c r="H1421" i="1" a="1"/>
  <c r="H1421" i="1" s="1"/>
  <c r="H1422" i="1" a="1"/>
  <c r="H1422" i="1"/>
  <c r="K1421" i="1" a="1"/>
  <c r="K1421" i="1" s="1"/>
  <c r="O1421" i="1" a="1"/>
  <c r="O1421" i="1" s="1"/>
  <c r="G1421" i="1" a="1"/>
  <c r="G1421" i="1" s="1"/>
  <c r="G1422" i="1" a="1"/>
  <c r="G1422" i="1" s="1"/>
  <c r="L1421" i="1" a="1"/>
  <c r="L1421" i="1" s="1"/>
  <c r="J1421" i="1" a="1"/>
  <c r="J1421" i="1" s="1"/>
  <c r="F1421" i="1" a="1"/>
  <c r="F1421" i="1" s="1"/>
  <c r="Q1422" i="1" a="1"/>
  <c r="Q1422" i="1"/>
  <c r="P1422" i="1" a="1"/>
  <c r="P1422" i="1" s="1"/>
  <c r="O1422" i="1" a="1"/>
  <c r="O1422" i="1" s="1"/>
  <c r="N1422" i="1" a="1"/>
  <c r="N1422" i="1" s="1"/>
  <c r="M1422" i="1" a="1"/>
  <c r="M1422" i="1" s="1"/>
  <c r="L1422" i="1" a="1"/>
  <c r="L1422" i="1"/>
  <c r="I1422" i="1" a="1"/>
  <c r="I1422" i="1"/>
  <c r="N1421" i="1" a="1"/>
  <c r="N1421" i="1" s="1"/>
  <c r="N1420" i="1" a="1"/>
  <c r="N1420" i="1" s="1"/>
  <c r="O1420" i="1" a="1"/>
  <c r="O1420" i="1" s="1"/>
  <c r="M1420" i="1" a="1"/>
  <c r="M1420" i="1" s="1"/>
  <c r="K1420" i="1" a="1"/>
  <c r="K1420" i="1" s="1"/>
  <c r="L1420" i="1" a="1"/>
  <c r="L1420" i="1" s="1"/>
  <c r="I1420" i="1" a="1"/>
  <c r="I1420" i="1" s="1"/>
  <c r="J1420" i="1" a="1"/>
  <c r="J1420" i="1"/>
  <c r="H1420" i="1" a="1"/>
  <c r="H1420" i="1"/>
  <c r="N1419" i="1" a="1"/>
  <c r="N1419" i="1" s="1"/>
  <c r="G1420" i="1" a="1"/>
  <c r="G1420" i="1" s="1"/>
  <c r="M1419" i="1" a="1"/>
  <c r="M1419" i="1"/>
  <c r="F1420" i="1" a="1"/>
  <c r="F1420" i="1"/>
  <c r="L1419" i="1" a="1"/>
  <c r="L1419" i="1" s="1"/>
  <c r="Q1419" i="1" a="1"/>
  <c r="Q1419" i="1" s="1"/>
  <c r="P1419" i="1" a="1"/>
  <c r="P1419" i="1" s="1"/>
  <c r="K1419" i="1" a="1"/>
  <c r="K1419" i="1" s="1"/>
  <c r="O1419" i="1" a="1"/>
  <c r="O1419" i="1" s="1"/>
  <c r="N1418" i="1" a="1"/>
  <c r="N1418" i="1" s="1"/>
  <c r="K1418" i="1" a="1"/>
  <c r="K1418" i="1" s="1"/>
  <c r="J1418" i="1" a="1"/>
  <c r="J1418" i="1" s="1"/>
  <c r="P1418" i="1" a="1"/>
  <c r="P1418" i="1" s="1"/>
  <c r="M1418" i="1" a="1"/>
  <c r="M1418" i="1"/>
  <c r="L1418" i="1" a="1"/>
  <c r="L1418" i="1" s="1"/>
  <c r="H1418" i="1" a="1"/>
  <c r="H1418" i="1" s="1"/>
  <c r="G1418" i="1" a="1"/>
  <c r="G1418" i="1" s="1"/>
  <c r="J1419" i="1" a="1"/>
  <c r="J1419" i="1"/>
  <c r="I1419" i="1" a="1"/>
  <c r="I1419" i="1" s="1"/>
  <c r="H1419" i="1" a="1"/>
  <c r="H1419" i="1" s="1"/>
  <c r="G1419" i="1" a="1"/>
  <c r="G1419" i="1" s="1"/>
  <c r="F1419" i="1" a="1"/>
  <c r="F1419" i="1" s="1"/>
  <c r="Q1418" i="1" a="1"/>
  <c r="Q1418" i="1" s="1"/>
  <c r="I1418" i="1" a="1"/>
  <c r="I1418" i="1" s="1"/>
  <c r="O1418" i="1" a="1"/>
  <c r="O1418" i="1" s="1"/>
  <c r="G1424" i="1" a="1"/>
  <c r="G1424" i="1" s="1"/>
  <c r="Q1424" i="1" a="1"/>
  <c r="Q1424" i="1" s="1"/>
  <c r="I1424" i="1" a="1"/>
  <c r="I1424" i="1" s="1"/>
  <c r="P1424" i="1" a="1"/>
  <c r="P1424" i="1"/>
  <c r="N1424" i="1" a="1"/>
  <c r="N1424" i="1" s="1"/>
  <c r="O1424" i="1" a="1"/>
  <c r="O1424" i="1"/>
  <c r="M1424" i="1" a="1"/>
  <c r="M1424" i="1"/>
  <c r="L1424" i="1" a="1"/>
  <c r="L1424" i="1"/>
  <c r="K1424" i="1" a="1"/>
  <c r="K1424" i="1" s="1"/>
  <c r="J1424" i="1" a="1"/>
  <c r="J1424" i="1" s="1"/>
  <c r="H1424" i="1" a="1"/>
  <c r="H1424" i="1" s="1"/>
  <c r="G1455" i="1" a="1"/>
  <c r="G1455" i="1" s="1"/>
  <c r="J1455" i="1" a="1"/>
  <c r="J1455" i="1" s="1"/>
  <c r="O1456" i="1" a="1"/>
  <c r="O1456" i="1" s="1"/>
  <c r="N1456" i="1" a="1"/>
  <c r="N1456" i="1" s="1"/>
  <c r="M1456" i="1" a="1"/>
  <c r="M1456" i="1" s="1"/>
  <c r="O1455" i="1" a="1"/>
  <c r="O1455" i="1"/>
  <c r="L1456" i="1" a="1"/>
  <c r="L1456" i="1"/>
  <c r="K1456" i="1" a="1"/>
  <c r="K1456" i="1" s="1"/>
  <c r="J1456" i="1" a="1"/>
  <c r="J1456" i="1"/>
  <c r="I1456" i="1" a="1"/>
  <c r="I1456" i="1" s="1"/>
  <c r="H1456" i="1" a="1"/>
  <c r="H1456" i="1"/>
  <c r="F1456" i="1" a="1"/>
  <c r="F1456" i="1" s="1"/>
  <c r="M1455" i="1" a="1"/>
  <c r="M1455" i="1" s="1"/>
  <c r="K1455" i="1" a="1"/>
  <c r="K1455" i="1" s="1"/>
  <c r="G1456" i="1" a="1"/>
  <c r="G1456" i="1" s="1"/>
  <c r="Q1455" i="1" a="1"/>
  <c r="Q1455" i="1" s="1"/>
  <c r="P1455" i="1" a="1"/>
  <c r="P1455" i="1" s="1"/>
  <c r="N1455" i="1" a="1"/>
  <c r="N1455" i="1" s="1"/>
  <c r="L1455" i="1" a="1"/>
  <c r="L1455" i="1"/>
  <c r="H1455" i="1" a="1"/>
  <c r="H1455" i="1"/>
  <c r="I1455" i="1" a="1"/>
  <c r="I1455" i="1" s="1"/>
  <c r="H1457" i="1" a="1"/>
  <c r="H1457" i="1" s="1"/>
  <c r="G1457" i="1" a="1"/>
  <c r="G1457" i="1" s="1"/>
  <c r="F1457" i="1" a="1"/>
  <c r="F1457" i="1" s="1"/>
  <c r="Q1456" i="1" a="1"/>
  <c r="Q1456" i="1" s="1"/>
  <c r="P1456" i="1" a="1"/>
  <c r="P1456" i="1"/>
  <c r="M1457" i="1" a="1"/>
  <c r="M1457" i="1" s="1"/>
  <c r="L1457" i="1" a="1"/>
  <c r="L1457" i="1" s="1"/>
  <c r="K1457" i="1" a="1"/>
  <c r="K1457" i="1" s="1"/>
  <c r="J1457" i="1" a="1"/>
  <c r="J1457" i="1" s="1"/>
  <c r="I1457" i="1" a="1"/>
  <c r="I1457" i="1" s="1"/>
  <c r="F2121" i="1" a="1"/>
  <c r="F2121" i="1" s="1"/>
  <c r="O2121" i="1" a="1"/>
  <c r="O2121" i="1" s="1"/>
  <c r="K2121" i="1" a="1"/>
  <c r="K2121" i="1"/>
  <c r="G2123" i="1" a="1"/>
  <c r="G2123" i="1" s="1"/>
  <c r="F2123" i="1" a="1"/>
  <c r="F2123" i="1" s="1"/>
  <c r="H2122" i="1" a="1"/>
  <c r="H2122" i="1" s="1"/>
  <c r="P2122" i="1" a="1"/>
  <c r="P2122" i="1" s="1"/>
  <c r="L2122" i="1" a="1"/>
  <c r="L2122" i="1"/>
  <c r="K2122" i="1" a="1"/>
  <c r="K2122" i="1"/>
  <c r="K2123" i="1" a="1"/>
  <c r="K2123" i="1" s="1"/>
  <c r="H2123" i="1" a="1"/>
  <c r="H2123" i="1" s="1"/>
  <c r="O2122" i="1" a="1"/>
  <c r="O2122" i="1" s="1"/>
  <c r="G2122" i="1" a="1"/>
  <c r="G2122" i="1" s="1"/>
  <c r="Q2120" i="1" a="1"/>
  <c r="Q2120" i="1" s="1"/>
  <c r="J2123" i="1" a="1"/>
  <c r="J2123" i="1" s="1"/>
  <c r="I2122" i="1" a="1"/>
  <c r="I2122" i="1"/>
  <c r="N2121" i="1" a="1"/>
  <c r="N2121" i="1"/>
  <c r="I2123" i="1" a="1"/>
  <c r="I2123" i="1"/>
  <c r="M2121" i="1" a="1"/>
  <c r="M2121" i="1"/>
  <c r="J2121" i="1" a="1"/>
  <c r="J2121" i="1" s="1"/>
  <c r="M2122" i="1" a="1"/>
  <c r="M2122" i="1"/>
  <c r="J2124" i="1" a="1"/>
  <c r="J2124" i="1"/>
  <c r="I2124" i="1" a="1"/>
  <c r="I2124" i="1" s="1"/>
  <c r="H2124" i="1" a="1"/>
  <c r="H2124" i="1" s="1"/>
  <c r="N2122" i="1" a="1"/>
  <c r="N2122" i="1" s="1"/>
  <c r="H2121" i="1" a="1"/>
  <c r="H2121" i="1" s="1"/>
  <c r="G2121" i="1" a="1"/>
  <c r="G2121" i="1"/>
  <c r="F2124" i="1" a="1"/>
  <c r="F2124" i="1" s="1"/>
  <c r="O2123" i="1" a="1"/>
  <c r="O2123" i="1" s="1"/>
  <c r="L2123" i="1" a="1"/>
  <c r="L2123" i="1"/>
  <c r="Q2122" i="1" a="1"/>
  <c r="Q2122" i="1"/>
  <c r="G2124" i="1" a="1"/>
  <c r="G2124" i="1" s="1"/>
  <c r="Q2121" i="1" a="1"/>
  <c r="Q2121" i="1" s="1"/>
  <c r="Q2123" i="1" a="1"/>
  <c r="Q2123" i="1" s="1"/>
  <c r="P2123" i="1" a="1"/>
  <c r="P2123" i="1" s="1"/>
  <c r="I2121" i="1" a="1"/>
  <c r="I2121" i="1"/>
  <c r="N2123" i="1" a="1"/>
  <c r="N2123" i="1" s="1"/>
  <c r="L2121" i="1" a="1"/>
  <c r="L2121" i="1" s="1"/>
  <c r="M2123" i="1" a="1"/>
  <c r="M2123" i="1" s="1"/>
  <c r="J2122" i="1" a="1"/>
  <c r="J2122" i="1" s="1"/>
  <c r="F2122" i="1" a="1"/>
  <c r="F2122" i="1" s="1"/>
  <c r="P2121" i="1" a="1"/>
  <c r="P2121" i="1" s="1"/>
  <c r="F2119" i="1" a="1"/>
  <c r="F2119" i="1" s="1"/>
  <c r="H2118" i="1" a="1"/>
  <c r="H2118" i="1" s="1"/>
  <c r="K2118" i="1" a="1"/>
  <c r="K2118" i="1"/>
  <c r="G2116" i="1" a="1"/>
  <c r="G2116" i="1" s="1"/>
  <c r="I2120" i="1" a="1"/>
  <c r="I2120" i="1" s="1"/>
  <c r="P2116" i="1" a="1"/>
  <c r="P2116" i="1" s="1"/>
  <c r="H2120" i="1" a="1"/>
  <c r="H2120" i="1"/>
  <c r="I2117" i="1" a="1"/>
  <c r="I2117" i="1"/>
  <c r="H2119" i="1" a="1"/>
  <c r="H2119" i="1"/>
  <c r="J2118" i="1" a="1"/>
  <c r="J2118" i="1" s="1"/>
  <c r="M2116" i="1" a="1"/>
  <c r="M2116" i="1" s="1"/>
  <c r="F2116" i="1" a="1"/>
  <c r="F2116" i="1" s="1"/>
  <c r="F2120" i="1" a="1"/>
  <c r="F2120" i="1" s="1"/>
  <c r="Q2119" i="1" a="1"/>
  <c r="Q2119" i="1" s="1"/>
  <c r="P2119" i="1" a="1"/>
  <c r="P2119" i="1" s="1"/>
  <c r="O2117" i="1" a="1"/>
  <c r="O2117" i="1" s="1"/>
  <c r="N2118" i="1" a="1"/>
  <c r="N2118" i="1" s="1"/>
  <c r="O2116" i="1" a="1"/>
  <c r="O2116" i="1"/>
  <c r="O2119" i="1" a="1"/>
  <c r="O2119" i="1"/>
  <c r="J2117" i="1" a="1"/>
  <c r="J2117" i="1" s="1"/>
  <c r="J2116" i="1" a="1"/>
  <c r="J2116" i="1"/>
  <c r="Q2115" i="1" a="1"/>
  <c r="Q2115" i="1"/>
  <c r="L2117" i="1" a="1"/>
  <c r="L2117" i="1" s="1"/>
  <c r="N2119" i="1" a="1"/>
  <c r="N2119" i="1" s="1"/>
  <c r="N2116" i="1" a="1"/>
  <c r="N2116" i="1" s="1"/>
  <c r="M2119" i="1" a="1"/>
  <c r="M2119" i="1" s="1"/>
  <c r="L2119" i="1" a="1"/>
  <c r="L2119" i="1"/>
  <c r="F2118" i="1" a="1"/>
  <c r="F2118" i="1" s="1"/>
  <c r="K2116" i="1" a="1"/>
  <c r="K2116" i="1" s="1"/>
  <c r="H2117" i="1" a="1"/>
  <c r="H2117" i="1" s="1"/>
  <c r="M2117" i="1" a="1"/>
  <c r="M2117" i="1"/>
  <c r="N2117" i="1" a="1"/>
  <c r="N2117" i="1"/>
  <c r="P2117" i="1" a="1"/>
  <c r="P2117" i="1" s="1"/>
  <c r="J2119" i="1" a="1"/>
  <c r="J2119" i="1" s="1"/>
  <c r="K2117" i="1" a="1"/>
  <c r="K2117" i="1" s="1"/>
  <c r="F2117" i="1" a="1"/>
  <c r="F2117" i="1"/>
  <c r="H2116" i="1" a="1"/>
  <c r="H2116" i="1" s="1"/>
  <c r="G2118" i="1" a="1"/>
  <c r="G2118" i="1" s="1"/>
  <c r="P2120" i="1" a="1"/>
  <c r="P2120" i="1" s="1"/>
  <c r="P2115" i="1" a="1"/>
  <c r="P2115" i="1" s="1"/>
  <c r="Q2118" i="1" a="1"/>
  <c r="Q2118" i="1" s="1"/>
  <c r="G2119" i="1" a="1"/>
  <c r="G2119" i="1" s="1"/>
  <c r="I2118" i="1" a="1"/>
  <c r="I2118" i="1" s="1"/>
  <c r="O2120" i="1" a="1"/>
  <c r="O2120" i="1" s="1"/>
  <c r="N2120" i="1" a="1"/>
  <c r="N2120" i="1" s="1"/>
  <c r="M2120" i="1" a="1"/>
  <c r="M2120" i="1"/>
  <c r="O2118" i="1" a="1"/>
  <c r="O2118" i="1" s="1"/>
  <c r="Q2117" i="1" a="1"/>
  <c r="Q2117" i="1" s="1"/>
  <c r="L2116" i="1" a="1"/>
  <c r="L2116" i="1" s="1"/>
  <c r="M2118" i="1" a="1"/>
  <c r="M2118" i="1" s="1"/>
  <c r="Q2116" i="1" a="1"/>
  <c r="Q2116" i="1"/>
  <c r="O2115" i="1" a="1"/>
  <c r="O2115" i="1" s="1"/>
  <c r="M2115" i="1" a="1"/>
  <c r="M2115" i="1" s="1"/>
  <c r="L2120" i="1" a="1"/>
  <c r="L2120" i="1" s="1"/>
  <c r="K2120" i="1" a="1"/>
  <c r="K2120" i="1" s="1"/>
  <c r="L2118" i="1" a="1"/>
  <c r="L2118" i="1" s="1"/>
  <c r="G2120" i="1" a="1"/>
  <c r="G2120" i="1" s="1"/>
  <c r="N2115" i="1" a="1"/>
  <c r="N2115" i="1" s="1"/>
  <c r="P2118" i="1" a="1"/>
  <c r="P2118" i="1"/>
  <c r="J2120" i="1" a="1"/>
  <c r="J2120" i="1"/>
  <c r="K2119" i="1" a="1"/>
  <c r="K2119" i="1"/>
  <c r="I2119" i="1" a="1"/>
  <c r="I2119" i="1"/>
  <c r="G2117" i="1" a="1"/>
  <c r="G2117" i="1" s="1"/>
  <c r="I2116" i="1" a="1"/>
  <c r="I2116" i="1"/>
  <c r="L2115" i="1" a="1"/>
  <c r="L2115" i="1"/>
  <c r="K2115" i="1" a="1"/>
  <c r="K2115" i="1" s="1"/>
  <c r="F2115" i="1" a="1"/>
  <c r="F2115" i="1" s="1"/>
  <c r="J2115" i="1" a="1"/>
  <c r="J2115" i="1" s="1"/>
  <c r="I2115" i="1" a="1"/>
  <c r="I2115" i="1"/>
  <c r="H2115" i="1" a="1"/>
  <c r="H2115" i="1" s="1"/>
  <c r="G2115" i="1" a="1"/>
  <c r="G2115" i="1" s="1"/>
  <c r="I2021" i="1" a="1"/>
  <c r="I2021" i="1" s="1"/>
  <c r="G2020" i="1" a="1"/>
  <c r="G2020" i="1"/>
  <c r="Q2021" i="1" a="1"/>
  <c r="Q2021" i="1" s="1"/>
  <c r="J2021" i="1" a="1"/>
  <c r="J2021" i="1" s="1"/>
  <c r="K2020" i="1" a="1"/>
  <c r="K2020" i="1" s="1"/>
  <c r="Q2020" i="1" a="1"/>
  <c r="Q2020" i="1" s="1"/>
  <c r="N2020" i="1" a="1"/>
  <c r="N2020" i="1" s="1"/>
  <c r="F2020" i="1" a="1"/>
  <c r="F2020" i="1" s="1"/>
  <c r="M2020" i="1" a="1"/>
  <c r="M2020" i="1" s="1"/>
  <c r="O2019" i="1" a="1"/>
  <c r="O2019" i="1" s="1"/>
  <c r="L2019" i="1" a="1"/>
  <c r="L2019" i="1" s="1"/>
  <c r="Q2019" i="1" a="1"/>
  <c r="Q2019" i="1" s="1"/>
  <c r="K2019" i="1" a="1"/>
  <c r="K2019" i="1" s="1"/>
  <c r="F2021" i="1" a="1"/>
  <c r="F2021" i="1"/>
  <c r="N2021" i="1" a="1"/>
  <c r="N2021" i="1"/>
  <c r="J2020" i="1" a="1"/>
  <c r="J2020" i="1" s="1"/>
  <c r="O2020" i="1" a="1"/>
  <c r="O2020" i="1" s="1"/>
  <c r="O2021" i="1" a="1"/>
  <c r="O2021" i="1"/>
  <c r="P2021" i="1" a="1"/>
  <c r="P2021" i="1"/>
  <c r="L2021" i="1" a="1"/>
  <c r="L2021" i="1" s="1"/>
  <c r="K2021" i="1" a="1"/>
  <c r="K2021" i="1" s="1"/>
  <c r="G2021" i="1" a="1"/>
  <c r="G2021" i="1" s="1"/>
  <c r="P2020" i="1" a="1"/>
  <c r="P2020" i="1"/>
  <c r="H2020" i="1" a="1"/>
  <c r="H2020" i="1" s="1"/>
  <c r="P2018" i="1" a="1"/>
  <c r="P2018" i="1" s="1"/>
  <c r="P2019" i="1" s="1" a="1"/>
  <c r="P2019" i="1" s="1"/>
  <c r="M2021" i="1" a="1"/>
  <c r="M2021" i="1"/>
  <c r="H2021" i="1" a="1"/>
  <c r="H2021" i="1"/>
  <c r="L2020" i="1" a="1"/>
  <c r="L2020" i="1" s="1"/>
  <c r="I2020" i="1" a="1"/>
  <c r="I2020" i="1" s="1"/>
  <c r="Q2018" i="1" a="1"/>
  <c r="Q2018" i="1" s="1"/>
  <c r="I2016" i="1" a="1"/>
  <c r="I2016" i="1" s="1"/>
  <c r="I2017" i="1" s="1" a="1"/>
  <c r="I2017" i="1" s="1"/>
  <c r="H2015" i="1" a="1"/>
  <c r="H2015" i="1"/>
  <c r="N2013" i="1" a="1"/>
  <c r="N2013" i="1" s="1"/>
  <c r="J2015" i="1" a="1"/>
  <c r="J2015" i="1" s="1"/>
  <c r="H2017" i="1"/>
  <c r="Q2016" i="1" a="1"/>
  <c r="Q2016" i="1"/>
  <c r="Q2017" i="1" s="1" a="1"/>
  <c r="Q2017" i="1" s="1"/>
  <c r="N2016" i="1" a="1"/>
  <c r="N2016" i="1" s="1"/>
  <c r="N2017" i="1" s="1" a="1"/>
  <c r="N2017" i="1" s="1"/>
  <c r="H2016" i="1" a="1"/>
  <c r="H2016" i="1" s="1"/>
  <c r="H2017" i="1" s="1" a="1"/>
  <c r="Q2013" i="1" a="1"/>
  <c r="Q2013" i="1" s="1"/>
  <c r="Q2014" i="1" s="1" a="1"/>
  <c r="Q2014" i="1" s="1"/>
  <c r="F2015" i="1" a="1"/>
  <c r="F2015" i="1"/>
  <c r="Q2015" i="1" a="1"/>
  <c r="Q2015" i="1" s="1"/>
  <c r="P2014" i="1" a="1"/>
  <c r="P2014" i="1" s="1"/>
  <c r="P2013" i="1" a="1"/>
  <c r="P2013" i="1" s="1"/>
  <c r="I2015" i="1" a="1"/>
  <c r="I2015" i="1" s="1"/>
  <c r="P2016" i="1" a="1"/>
  <c r="P2016" i="1" s="1"/>
  <c r="P2017" i="1" s="1" a="1"/>
  <c r="P2017" i="1" s="1"/>
  <c r="O2013" i="1" a="1"/>
  <c r="O2013" i="1" s="1"/>
  <c r="O2014" i="1" s="1" a="1"/>
  <c r="O2014" i="1" s="1"/>
  <c r="G2016" i="1" a="1"/>
  <c r="G2016" i="1"/>
  <c r="N2015" i="1" a="1"/>
  <c r="N2015" i="1"/>
  <c r="M2016" i="1" a="1"/>
  <c r="M2016" i="1" s="1"/>
  <c r="M2017" i="1" s="1" a="1"/>
  <c r="M2017" i="1" s="1"/>
  <c r="F2016" i="1" a="1"/>
  <c r="F2016" i="1" s="1"/>
  <c r="F2017" i="1" s="1" a="1"/>
  <c r="F2017" i="1" s="1"/>
  <c r="I2014" i="1" a="1"/>
  <c r="I2014" i="1" s="1"/>
  <c r="O2018" i="1" a="1"/>
  <c r="O2018" i="1" s="1"/>
  <c r="N2018" i="1" a="1"/>
  <c r="N2018" i="1" s="1"/>
  <c r="N2019" i="1" s="1" a="1"/>
  <c r="N2019" i="1" s="1"/>
  <c r="M2018" i="1" a="1"/>
  <c r="M2018" i="1" s="1"/>
  <c r="M2019" i="1" s="1" a="1"/>
  <c r="M2019" i="1" s="1"/>
  <c r="L2018" i="1" a="1"/>
  <c r="L2018" i="1" s="1"/>
  <c r="J2018" i="1" a="1"/>
  <c r="J2018" i="1"/>
  <c r="J2019" i="1" s="1" a="1"/>
  <c r="J2019" i="1" s="1"/>
  <c r="G2017" i="1" a="1"/>
  <c r="G2017" i="1"/>
  <c r="O2015" i="1" a="1"/>
  <c r="O2015" i="1"/>
  <c r="M2015" i="1" a="1"/>
  <c r="M2015" i="1" s="1"/>
  <c r="G2015" i="1" a="1"/>
  <c r="G2015" i="1"/>
  <c r="N2014" i="1" a="1"/>
  <c r="N2014" i="1" s="1"/>
  <c r="K2014" i="1" a="1"/>
  <c r="K2014" i="1" s="1"/>
  <c r="L2014" i="1" a="1"/>
  <c r="L2014" i="1" s="1"/>
  <c r="L2013" i="1" a="1"/>
  <c r="L2013" i="1" s="1"/>
  <c r="J2016" i="1" a="1"/>
  <c r="J2016" i="1"/>
  <c r="J2017" i="1" s="1" a="1"/>
  <c r="L2015" i="1" a="1"/>
  <c r="L2015" i="1"/>
  <c r="K2018" i="1" a="1"/>
  <c r="K2018" i="1"/>
  <c r="L2016" i="1" a="1"/>
  <c r="L2016" i="1"/>
  <c r="M2013" i="1" a="1"/>
  <c r="M2013" i="1"/>
  <c r="M2014" i="1" s="1" a="1"/>
  <c r="M2014" i="1" s="1"/>
  <c r="P2015" i="1" a="1"/>
  <c r="P2015" i="1"/>
  <c r="I2018" i="1" a="1"/>
  <c r="I2018" i="1"/>
  <c r="I2019" i="1" s="1" a="1"/>
  <c r="I2019" i="1" s="1"/>
  <c r="H2018" i="1" a="1"/>
  <c r="H2018" i="1" s="1"/>
  <c r="H2019" i="1" s="1" a="1"/>
  <c r="H2019" i="1" s="1"/>
  <c r="G2018" i="1" a="1"/>
  <c r="G2018" i="1" s="1"/>
  <c r="G2019" i="1" s="1" a="1"/>
  <c r="G2019" i="1" s="1"/>
  <c r="F2018" i="1" a="1"/>
  <c r="F2018" i="1" s="1"/>
  <c r="F2019" i="1" s="1" a="1"/>
  <c r="F2019" i="1" s="1"/>
  <c r="K2016" i="1" a="1"/>
  <c r="K2016" i="1" s="1"/>
  <c r="K2017" i="1" s="1" a="1"/>
  <c r="K2017" i="1" s="1"/>
  <c r="K2015" i="1" a="1"/>
  <c r="K2015" i="1" s="1"/>
  <c r="L2017" i="1" a="1"/>
  <c r="L2017" i="1"/>
  <c r="J2017" i="1"/>
  <c r="O2016" i="1" a="1"/>
  <c r="O2016" i="1" s="1"/>
  <c r="O2017" i="1" s="1" a="1"/>
  <c r="O2017" i="1" s="1"/>
  <c r="K2008" i="1" a="1"/>
  <c r="K2008" i="1" s="1"/>
  <c r="L2010" i="1" a="1"/>
  <c r="L2010" i="1" s="1"/>
  <c r="Q2011" i="1" a="1"/>
  <c r="Q2011" i="1"/>
  <c r="P2011" i="1" a="1"/>
  <c r="P2011" i="1" s="1"/>
  <c r="N2011" i="1" a="1"/>
  <c r="N2011" i="1" s="1"/>
  <c r="H2011" i="1" a="1"/>
  <c r="H2011" i="1" s="1"/>
  <c r="L2011" i="1" a="1"/>
  <c r="L2011" i="1" s="1"/>
  <c r="N2010" i="1" a="1"/>
  <c r="N2010" i="1" s="1"/>
  <c r="F2008" i="1" a="1"/>
  <c r="F2008" i="1" s="1"/>
  <c r="K2011" i="1" a="1"/>
  <c r="K2011" i="1" s="1"/>
  <c r="F2009" i="1" a="1"/>
  <c r="F2009" i="1" s="1"/>
  <c r="J2011" i="1" a="1"/>
  <c r="J2011" i="1" s="1"/>
  <c r="P2009" i="1" a="1"/>
  <c r="P2009" i="1" s="1"/>
  <c r="P2010" i="1" a="1"/>
  <c r="P2010" i="1" s="1"/>
  <c r="H2008" i="1" a="1"/>
  <c r="H2008" i="1"/>
  <c r="H2009" i="1" s="1" a="1"/>
  <c r="H2009" i="1" s="1"/>
  <c r="F2013" i="1" a="1"/>
  <c r="F2013" i="1" s="1"/>
  <c r="F2014" i="1" s="1" a="1"/>
  <c r="F2014" i="1" s="1"/>
  <c r="L2008" i="1" a="1"/>
  <c r="L2008" i="1" s="1"/>
  <c r="G2011" i="1" a="1"/>
  <c r="G2011" i="1" s="1"/>
  <c r="O2010" i="1" a="1"/>
  <c r="O2010" i="1" s="1"/>
  <c r="H2010" i="1" a="1"/>
  <c r="H2010" i="1"/>
  <c r="G2008" i="1" a="1"/>
  <c r="G2008" i="1" s="1"/>
  <c r="G2009" i="1" s="1" a="1"/>
  <c r="G2009" i="1" s="1"/>
  <c r="M2009" i="1" a="1"/>
  <c r="M2009" i="1" s="1"/>
  <c r="K2013" i="1" a="1"/>
  <c r="K2013" i="1"/>
  <c r="J2013" i="1" a="1"/>
  <c r="J2013" i="1" s="1"/>
  <c r="J2014" i="1" s="1" a="1"/>
  <c r="J2014" i="1" s="1"/>
  <c r="F2010" i="1" a="1"/>
  <c r="F2010" i="1" s="1"/>
  <c r="M2010" i="1" a="1"/>
  <c r="M2010" i="1" s="1"/>
  <c r="M2011" i="1" a="1"/>
  <c r="M2011" i="1" s="1"/>
  <c r="P2008" i="1" a="1"/>
  <c r="P2008" i="1" s="1"/>
  <c r="M2008" i="1" a="1"/>
  <c r="M2008" i="1" s="1"/>
  <c r="I2013" i="1" a="1"/>
  <c r="I2013" i="1" s="1"/>
  <c r="G2013" i="1" a="1"/>
  <c r="G2013" i="1" s="1"/>
  <c r="G2014" i="1" s="1" a="1"/>
  <c r="G2014" i="1" s="1"/>
  <c r="Q2010" i="1" a="1"/>
  <c r="Q2010" i="1" s="1"/>
  <c r="Q2008" i="1" a="1"/>
  <c r="Q2008" i="1" s="1"/>
  <c r="K2010" i="1" a="1"/>
  <c r="K2010" i="1"/>
  <c r="Q2009" i="1" a="1"/>
  <c r="Q2009" i="1" s="1"/>
  <c r="I2008" i="1" a="1"/>
  <c r="I2008" i="1"/>
  <c r="I2009" i="1" s="1" a="1"/>
  <c r="I2009" i="1" s="1"/>
  <c r="I2011" i="1" a="1"/>
  <c r="I2011" i="1" s="1"/>
  <c r="J2010" i="1" a="1"/>
  <c r="J2010" i="1" s="1"/>
  <c r="G2010" i="1" a="1"/>
  <c r="G2010" i="1" s="1"/>
  <c r="J2009" i="1" a="1"/>
  <c r="J2009" i="1" s="1"/>
  <c r="N2008" i="1" a="1"/>
  <c r="N2008" i="1" s="1"/>
  <c r="N2009" i="1" s="1" a="1"/>
  <c r="N2009" i="1" s="1"/>
  <c r="L2009" i="1" a="1"/>
  <c r="L2009" i="1" s="1"/>
  <c r="I2010" i="1" a="1"/>
  <c r="I2010" i="1"/>
  <c r="K2009" i="1" a="1"/>
  <c r="K2009" i="1" s="1"/>
  <c r="O2008" i="1" a="1"/>
  <c r="O2008" i="1" s="1"/>
  <c r="O2009" i="1" s="1" a="1"/>
  <c r="O2009" i="1" s="1"/>
  <c r="J2008" i="1" a="1"/>
  <c r="J2008" i="1" s="1"/>
  <c r="F2011" i="1" a="1"/>
  <c r="F2011" i="1" s="1"/>
  <c r="H2013" i="1" a="1"/>
  <c r="H2013" i="1" s="1"/>
  <c r="H2014" i="1" s="1" a="1"/>
  <c r="H2014" i="1" s="1"/>
  <c r="O2011" i="1" a="1"/>
  <c r="O2011" i="1"/>
  <c r="N2006" i="1" a="1"/>
  <c r="N2006" i="1" s="1"/>
  <c r="N2007" i="1" s="1" a="1"/>
  <c r="N2007" i="1" s="1"/>
  <c r="M2006" i="1" a="1"/>
  <c r="M2006" i="1" s="1"/>
  <c r="M2007" i="1" s="1" a="1"/>
  <c r="M2007" i="1" s="1"/>
  <c r="F2003" i="1" a="1"/>
  <c r="F2003" i="1" s="1"/>
  <c r="F2004" i="1" s="1" a="1"/>
  <c r="F2004" i="1" s="1"/>
  <c r="Q2001" i="1" a="1"/>
  <c r="Q2001" i="1"/>
  <c r="F2006" i="1" a="1"/>
  <c r="F2006" i="1" s="1"/>
  <c r="F2007" i="1" s="1" a="1"/>
  <c r="F2007" i="1" s="1"/>
  <c r="P2005" i="1" a="1"/>
  <c r="P2005" i="1" s="1"/>
  <c r="O2003" i="1" a="1"/>
  <c r="O2003" i="1" s="1"/>
  <c r="O2004" i="1" s="1" a="1"/>
  <c r="O2004" i="1" s="1"/>
  <c r="H2005" i="1" a="1"/>
  <c r="H2005" i="1" s="1"/>
  <c r="I2003" i="1" a="1"/>
  <c r="I2003" i="1"/>
  <c r="I2004" i="1" s="1" a="1"/>
  <c r="I2004" i="1" s="1"/>
  <c r="K2005" i="1" a="1"/>
  <c r="K2005" i="1" s="1"/>
  <c r="G2005" i="1" a="1"/>
  <c r="G2005" i="1" s="1"/>
  <c r="L2003" i="1" a="1"/>
  <c r="L2003" i="1"/>
  <c r="K2003" i="1" a="1"/>
  <c r="K2003" i="1"/>
  <c r="H2003" i="1" a="1"/>
  <c r="H2003" i="1"/>
  <c r="H2004" i="1" s="1" a="1"/>
  <c r="H2004" i="1" s="1"/>
  <c r="F2005" i="1" a="1"/>
  <c r="F2005" i="1"/>
  <c r="M2003" i="1" a="1"/>
  <c r="M2003" i="1" s="1"/>
  <c r="M2004" i="1" s="1" a="1"/>
  <c r="M2004" i="1" s="1"/>
  <c r="G2003" i="1" a="1"/>
  <c r="G2003" i="1" s="1"/>
  <c r="G2004" i="1" s="1" a="1"/>
  <c r="G2004" i="1" s="1"/>
  <c r="G2006" i="1" a="1"/>
  <c r="G2006" i="1" s="1"/>
  <c r="Q2006" i="1" a="1"/>
  <c r="Q2006" i="1" s="1"/>
  <c r="Q2007" i="1" s="1" a="1"/>
  <c r="Q2007" i="1" s="1"/>
  <c r="L2004" i="1" a="1"/>
  <c r="L2004" i="1" s="1"/>
  <c r="J2003" i="1" a="1"/>
  <c r="J2003" i="1" s="1"/>
  <c r="J2004" i="1" s="1" a="1"/>
  <c r="J2004" i="1" s="1"/>
  <c r="P2003" i="1" a="1"/>
  <c r="P2003" i="1" s="1"/>
  <c r="P2004" i="1" s="1" a="1"/>
  <c r="P2004" i="1" s="1"/>
  <c r="G2007" i="1" a="1"/>
  <c r="G2007" i="1" s="1"/>
  <c r="L2006" i="1" a="1"/>
  <c r="L2006" i="1" s="1"/>
  <c r="L2007" i="1" s="1" a="1"/>
  <c r="L2007" i="1" s="1"/>
  <c r="J2007" i="1" a="1"/>
  <c r="J2007" i="1" s="1"/>
  <c r="L2005" i="1" a="1"/>
  <c r="L2005" i="1" s="1"/>
  <c r="K2006" i="1" a="1"/>
  <c r="K2006" i="1" s="1"/>
  <c r="K2007" i="1" s="1" a="1"/>
  <c r="K2007" i="1" s="1"/>
  <c r="J2005" i="1" a="1"/>
  <c r="J2005" i="1" s="1"/>
  <c r="P2006" i="1" a="1"/>
  <c r="P2006" i="1"/>
  <c r="P2007" i="1" s="1" a="1"/>
  <c r="P2007" i="1" s="1"/>
  <c r="J2006" i="1" a="1"/>
  <c r="J2006" i="1"/>
  <c r="H2006" i="1" a="1"/>
  <c r="H2006" i="1" s="1"/>
  <c r="H2007" i="1" s="1" a="1"/>
  <c r="H2007" i="1" s="1"/>
  <c r="Q2005" i="1" a="1"/>
  <c r="Q2005" i="1"/>
  <c r="O2005" i="1" a="1"/>
  <c r="O2005" i="1"/>
  <c r="Q2004" i="1" a="1"/>
  <c r="Q2004" i="1" s="1"/>
  <c r="K2004" i="1" a="1"/>
  <c r="K2004" i="1"/>
  <c r="P2001" i="1" a="1"/>
  <c r="P2001" i="1" s="1"/>
  <c r="M2005" i="1" a="1"/>
  <c r="M2005" i="1" s="1"/>
  <c r="I2005" i="1" a="1"/>
  <c r="I2005" i="1" s="1"/>
  <c r="Q2003" i="1" a="1"/>
  <c r="Q2003" i="1" s="1"/>
  <c r="I2006" i="1" a="1"/>
  <c r="I2006" i="1"/>
  <c r="I2007" i="1" s="1" a="1"/>
  <c r="I2007" i="1" s="1"/>
  <c r="N2005" i="1" a="1"/>
  <c r="N2005" i="1"/>
  <c r="N2003" i="1" a="1"/>
  <c r="N2003" i="1" s="1"/>
  <c r="N2004" i="1" s="1" a="1"/>
  <c r="N2004" i="1" s="1"/>
  <c r="O2006" i="1" a="1"/>
  <c r="O2006" i="1" s="1"/>
  <c r="O2007" i="1" s="1" a="1"/>
  <c r="O2007" i="1" s="1"/>
  <c r="H1997" i="1" a="1"/>
  <c r="H1997" i="1" s="1"/>
  <c r="I1998" i="1" a="1"/>
  <c r="I1998" i="1" s="1"/>
  <c r="N1998" i="1" a="1"/>
  <c r="N1998" i="1" s="1"/>
  <c r="L1996" i="1" a="1"/>
  <c r="L1996" i="1" s="1"/>
  <c r="P1999" i="1" a="1"/>
  <c r="P1999" i="1" s="1"/>
  <c r="Q1997" i="1" a="1"/>
  <c r="Q1997" i="1" s="1"/>
  <c r="O1996" i="1" a="1"/>
  <c r="O1996" i="1"/>
  <c r="J2001" i="1" a="1"/>
  <c r="J2001" i="1"/>
  <c r="I2001" i="1" a="1"/>
  <c r="I2001" i="1"/>
  <c r="N2000" i="1" a="1"/>
  <c r="N2000" i="1"/>
  <c r="L2000" i="1" a="1"/>
  <c r="L2000" i="1"/>
  <c r="G1997" i="1" a="1"/>
  <c r="G1997" i="1" s="1"/>
  <c r="O1999" i="1" a="1"/>
  <c r="O1999" i="1" s="1"/>
  <c r="K1999" i="1" a="1"/>
  <c r="K1999" i="1" s="1"/>
  <c r="K1998" i="1" a="1"/>
  <c r="K1998" i="1" s="1"/>
  <c r="M1997" i="1" a="1"/>
  <c r="M1997" i="1" s="1"/>
  <c r="F1997" i="1" a="1"/>
  <c r="F1997" i="1" s="1"/>
  <c r="L1998" i="1" a="1"/>
  <c r="L1998" i="1"/>
  <c r="M1998" i="1" a="1"/>
  <c r="M1998" i="1" s="1"/>
  <c r="J1999" i="1" a="1"/>
  <c r="J1999" i="1" s="1"/>
  <c r="Q1996" i="1" a="1"/>
  <c r="Q1996" i="1" s="1"/>
  <c r="M1999" i="1" a="1"/>
  <c r="M1999" i="1" s="1"/>
  <c r="Q1999" i="1" a="1"/>
  <c r="Q1999" i="1" s="1"/>
  <c r="K2000" i="1" a="1"/>
  <c r="K2000" i="1" s="1"/>
  <c r="L1999" i="1" a="1"/>
  <c r="L1999" i="1"/>
  <c r="I1999" i="1" a="1"/>
  <c r="I1999" i="1" s="1"/>
  <c r="H2001" i="1" a="1"/>
  <c r="H2001" i="1"/>
  <c r="I1997" i="1" a="1"/>
  <c r="I1997" i="1"/>
  <c r="O2001" i="1" a="1"/>
  <c r="O2001" i="1" s="1"/>
  <c r="F2000" i="1" a="1"/>
  <c r="F2000" i="1" s="1"/>
  <c r="P1997" i="1" a="1"/>
  <c r="P1997" i="1" s="1"/>
  <c r="F1998" i="1" a="1"/>
  <c r="F1998" i="1" s="1"/>
  <c r="N2001" i="1" a="1"/>
  <c r="N2001" i="1" s="1"/>
  <c r="G2000" i="1" a="1"/>
  <c r="G2000" i="1" s="1"/>
  <c r="G2001" i="1" a="1"/>
  <c r="G2001" i="1" s="1"/>
  <c r="F2001" i="1" a="1"/>
  <c r="F2001" i="1" s="1"/>
  <c r="O2000" i="1" a="1"/>
  <c r="O2000" i="1" s="1"/>
  <c r="J2000" i="1" a="1"/>
  <c r="J2000" i="1" s="1"/>
  <c r="H1999" i="1" a="1"/>
  <c r="H1999" i="1"/>
  <c r="G1999" i="1" a="1"/>
  <c r="G1999" i="1" s="1"/>
  <c r="F1999" i="1" a="1"/>
  <c r="F1999" i="1"/>
  <c r="H1998" i="1" a="1"/>
  <c r="H1998" i="1" s="1"/>
  <c r="Q1998" i="1" a="1"/>
  <c r="Q1998" i="1" s="1"/>
  <c r="J1997" i="1" a="1"/>
  <c r="J1997" i="1" s="1"/>
  <c r="N1997" i="1" a="1"/>
  <c r="N1997" i="1" s="1"/>
  <c r="P1996" i="1" a="1"/>
  <c r="P1996" i="1"/>
  <c r="J1998" i="1" a="1"/>
  <c r="J1998" i="1" s="1"/>
  <c r="P2000" i="1" a="1"/>
  <c r="P2000" i="1" s="1"/>
  <c r="M2000" i="1" a="1"/>
  <c r="M2000" i="1"/>
  <c r="H2000" i="1" a="1"/>
  <c r="H2000" i="1" s="1"/>
  <c r="G1998" i="1" a="1"/>
  <c r="G1998" i="1" s="1"/>
  <c r="O1998" i="1" a="1"/>
  <c r="O1998" i="1" s="1"/>
  <c r="N1999" i="1" a="1"/>
  <c r="N1999" i="1"/>
  <c r="P1998" i="1" a="1"/>
  <c r="P1998" i="1"/>
  <c r="L1997" i="1" a="1"/>
  <c r="L1997" i="1" s="1"/>
  <c r="K1997" i="1" a="1"/>
  <c r="K1997" i="1" s="1"/>
  <c r="N1996" i="1" a="1"/>
  <c r="N1996" i="1" s="1"/>
  <c r="O1997" i="1" a="1"/>
  <c r="O1997" i="1" s="1"/>
  <c r="M2001" i="1" a="1"/>
  <c r="M2001" i="1" s="1"/>
  <c r="I2000" i="1" a="1"/>
  <c r="I2000" i="1"/>
  <c r="M1996" i="1" a="1"/>
  <c r="M1996" i="1" s="1"/>
  <c r="L2001" i="1" a="1"/>
  <c r="L2001" i="1" s="1"/>
  <c r="K2001" i="1" a="1"/>
  <c r="K2001" i="1"/>
  <c r="Q2000" i="1" a="1"/>
  <c r="Q2000" i="1" s="1"/>
  <c r="I1996" i="1" a="1"/>
  <c r="I1996" i="1" s="1"/>
  <c r="G1996" i="1" a="1"/>
  <c r="G1996" i="1"/>
  <c r="F1995" i="1" a="1"/>
  <c r="F1995" i="1" s="1"/>
  <c r="P1992" i="1" a="1"/>
  <c r="P1992" i="1"/>
  <c r="G1993" i="1" a="1"/>
  <c r="G1993" i="1" s="1"/>
  <c r="K1994" i="1" a="1"/>
  <c r="K1994" i="1" s="1"/>
  <c r="Q1994" i="1" a="1"/>
  <c r="Q1994" i="1" s="1"/>
  <c r="O1991" i="1" a="1"/>
  <c r="O1991" i="1" s="1"/>
  <c r="Q1993" i="1" a="1"/>
  <c r="Q1993" i="1" s="1"/>
  <c r="N1993" i="1" a="1"/>
  <c r="N1993" i="1" s="1"/>
  <c r="O1992" i="1" a="1"/>
  <c r="O1992" i="1"/>
  <c r="L1992" i="1" a="1"/>
  <c r="L1992" i="1"/>
  <c r="J1992" i="1" a="1"/>
  <c r="J1992" i="1" s="1"/>
  <c r="Q1991" i="1" a="1"/>
  <c r="Q1991" i="1"/>
  <c r="F1992" i="1" a="1"/>
  <c r="F1992" i="1"/>
  <c r="J1994" i="1" a="1"/>
  <c r="J1994" i="1"/>
  <c r="N1991" i="1" a="1"/>
  <c r="N1991" i="1"/>
  <c r="J1991" i="1" a="1"/>
  <c r="J1991" i="1"/>
  <c r="H1996" i="1" a="1"/>
  <c r="H1996" i="1" s="1"/>
  <c r="N1992" i="1" a="1"/>
  <c r="N1992" i="1" s="1"/>
  <c r="Q1995" i="1" a="1"/>
  <c r="Q1995" i="1" s="1"/>
  <c r="L1995" i="1" a="1"/>
  <c r="L1995" i="1" s="1"/>
  <c r="P1995" i="1" a="1"/>
  <c r="P1995" i="1" s="1"/>
  <c r="O1995" i="1" a="1"/>
  <c r="O1995" i="1" s="1"/>
  <c r="N1995" i="1" a="1"/>
  <c r="N1995" i="1" s="1"/>
  <c r="J1995" i="1" a="1"/>
  <c r="J1995" i="1"/>
  <c r="P1993" i="1" a="1"/>
  <c r="P1993" i="1" s="1"/>
  <c r="M1995" i="1" a="1"/>
  <c r="M1995" i="1" s="1"/>
  <c r="K1992" i="1" a="1"/>
  <c r="K1992" i="1"/>
  <c r="N1994" i="1" a="1"/>
  <c r="N1994" i="1" s="1"/>
  <c r="I1992" i="1" a="1"/>
  <c r="I1992" i="1" s="1"/>
  <c r="M1994" i="1" a="1"/>
  <c r="M1994" i="1" s="1"/>
  <c r="I1995" i="1" a="1"/>
  <c r="I1995" i="1" s="1"/>
  <c r="G1994" i="1" a="1"/>
  <c r="G1994" i="1" s="1"/>
  <c r="Q1992" i="1" a="1"/>
  <c r="Q1992" i="1" s="1"/>
  <c r="H1995" i="1" a="1"/>
  <c r="H1995" i="1" s="1"/>
  <c r="G1995" i="1" a="1"/>
  <c r="G1995" i="1" s="1"/>
  <c r="F1994" i="1" a="1"/>
  <c r="F1994" i="1" s="1"/>
  <c r="H1992" i="1" a="1"/>
  <c r="H1992" i="1" s="1"/>
  <c r="F1993" i="1" a="1"/>
  <c r="F1993" i="1" s="1"/>
  <c r="P1994" i="1" a="1"/>
  <c r="P1994" i="1" s="1"/>
  <c r="I1991" i="1" a="1"/>
  <c r="I1991" i="1"/>
  <c r="J1993" i="1" a="1"/>
  <c r="J1993" i="1" s="1"/>
  <c r="M1993" i="1" a="1"/>
  <c r="M1993" i="1" s="1"/>
  <c r="L1993" i="1" a="1"/>
  <c r="L1993" i="1" s="1"/>
  <c r="I1993" i="1" a="1"/>
  <c r="I1993" i="1"/>
  <c r="M1991" i="1" a="1"/>
  <c r="M1991" i="1" s="1"/>
  <c r="H1993" i="1" a="1"/>
  <c r="H1993" i="1" s="1"/>
  <c r="L1994" i="1" a="1"/>
  <c r="L1994" i="1" s="1"/>
  <c r="M1992" i="1" a="1"/>
  <c r="M1992" i="1" s="1"/>
  <c r="G1992" i="1" a="1"/>
  <c r="G1992" i="1" s="1"/>
  <c r="K1991" i="1" a="1"/>
  <c r="K1991" i="1"/>
  <c r="H1991" i="1" a="1"/>
  <c r="H1991" i="1"/>
  <c r="I1994" i="1" a="1"/>
  <c r="I1994" i="1" s="1"/>
  <c r="K1996" i="1" a="1"/>
  <c r="K1996" i="1" s="1"/>
  <c r="P1991" i="1" a="1"/>
  <c r="P1991" i="1" s="1"/>
  <c r="H1994" i="1" a="1"/>
  <c r="H1994" i="1"/>
  <c r="F1996" i="1" a="1"/>
  <c r="F1996" i="1" s="1"/>
  <c r="J1996" i="1" a="1"/>
  <c r="J1996" i="1" s="1"/>
  <c r="O1993" i="1" a="1"/>
  <c r="O1993" i="1" s="1"/>
  <c r="K1995" i="1" a="1"/>
  <c r="K1995" i="1" s="1"/>
  <c r="O1994" i="1" a="1"/>
  <c r="O1994" i="1" s="1"/>
  <c r="L1991" i="1" a="1"/>
  <c r="L1991" i="1" s="1"/>
  <c r="K1993" i="1" a="1"/>
  <c r="K1993" i="1" s="1"/>
  <c r="P1989" i="1" a="1"/>
  <c r="P1989" i="1" s="1"/>
  <c r="O1990" i="1" a="1"/>
  <c r="O1990" i="1"/>
  <c r="L1990" i="1" a="1"/>
  <c r="L1990" i="1"/>
  <c r="M1988" i="1" a="1"/>
  <c r="M1988" i="1"/>
  <c r="I1990" i="1" a="1"/>
  <c r="I1990" i="1"/>
  <c r="F1990" i="1" a="1"/>
  <c r="F1990" i="1"/>
  <c r="G1990" i="1" a="1"/>
  <c r="G1990" i="1" s="1"/>
  <c r="K1989" i="1" a="1"/>
  <c r="K1989" i="1" s="1"/>
  <c r="I1989" i="1" a="1"/>
  <c r="I1989" i="1"/>
  <c r="G1989" i="1" a="1"/>
  <c r="G1989" i="1"/>
  <c r="J1987" i="1" a="1"/>
  <c r="J1987" i="1"/>
  <c r="F1989" i="1" a="1"/>
  <c r="F1989" i="1"/>
  <c r="Q1988" i="1" a="1"/>
  <c r="Q1988" i="1" s="1"/>
  <c r="L1987" i="1" a="1"/>
  <c r="L1987" i="1" s="1"/>
  <c r="P1987" i="1" a="1"/>
  <c r="P1987" i="1" s="1"/>
  <c r="O1986" i="1" a="1"/>
  <c r="O1986" i="1" s="1"/>
  <c r="M1986" i="1" a="1"/>
  <c r="M1986" i="1"/>
  <c r="G1988" i="1" a="1"/>
  <c r="G1988" i="1" s="1"/>
  <c r="Q1987" i="1" a="1"/>
  <c r="Q1987" i="1" s="1"/>
  <c r="K1986" i="1" a="1"/>
  <c r="K1986" i="1" s="1"/>
  <c r="M1987" i="1" a="1"/>
  <c r="M1987" i="1" s="1"/>
  <c r="H1987" i="1" a="1"/>
  <c r="H1987" i="1" s="1"/>
  <c r="O1987" i="1" a="1"/>
  <c r="O1987" i="1" s="1"/>
  <c r="F1988" i="1" a="1"/>
  <c r="F1988" i="1"/>
  <c r="G1986" i="1" a="1"/>
  <c r="G1986" i="1" s="1"/>
  <c r="M1990" i="1" a="1"/>
  <c r="M1990" i="1" s="1"/>
  <c r="I1988" i="1" a="1"/>
  <c r="I1988" i="1" s="1"/>
  <c r="J1990" i="1" a="1"/>
  <c r="J1990" i="1" s="1"/>
  <c r="I1987" i="1" a="1"/>
  <c r="I1987" i="1" s="1"/>
  <c r="N1990" i="1" a="1"/>
  <c r="N1990" i="1" s="1"/>
  <c r="K1990" i="1" a="1"/>
  <c r="K1990" i="1" s="1"/>
  <c r="F1987" i="1" a="1"/>
  <c r="F1987" i="1" s="1"/>
  <c r="N1986" i="1" a="1"/>
  <c r="N1986" i="1" s="1"/>
  <c r="G1991" i="1" a="1"/>
  <c r="G1991" i="1"/>
  <c r="H1988" i="1" a="1"/>
  <c r="H1988" i="1" s="1"/>
  <c r="Q1990" i="1" a="1"/>
  <c r="Q1990" i="1" s="1"/>
  <c r="P1990" i="1" a="1"/>
  <c r="P1990" i="1"/>
  <c r="H1990" i="1" a="1"/>
  <c r="H1990" i="1"/>
  <c r="N1989" i="1" a="1"/>
  <c r="N1989" i="1" s="1"/>
  <c r="M1989" i="1" a="1"/>
  <c r="M1989" i="1"/>
  <c r="L1989" i="1" a="1"/>
  <c r="L1989" i="1" s="1"/>
  <c r="H1989" i="1" a="1"/>
  <c r="H1989" i="1" s="1"/>
  <c r="N1988" i="1" a="1"/>
  <c r="N1988" i="1" s="1"/>
  <c r="L1988" i="1" a="1"/>
  <c r="L1988" i="1"/>
  <c r="J1986" i="1" a="1"/>
  <c r="J1986" i="1" s="1"/>
  <c r="P1985" i="1" a="1"/>
  <c r="P1985" i="1" s="1"/>
  <c r="K1987" i="1" a="1"/>
  <c r="K1987" i="1" s="1"/>
  <c r="N1987" i="1" a="1"/>
  <c r="N1987" i="1" s="1"/>
  <c r="P1986" i="1" a="1"/>
  <c r="P1986" i="1" s="1"/>
  <c r="I1986" i="1" a="1"/>
  <c r="I1986" i="1"/>
  <c r="Q1985" i="1" a="1"/>
  <c r="Q1985" i="1" s="1"/>
  <c r="L1986" i="1" a="1"/>
  <c r="L1986" i="1" s="1"/>
  <c r="P1988" i="1" a="1"/>
  <c r="P1988" i="1" s="1"/>
  <c r="O1989" i="1" a="1"/>
  <c r="O1989" i="1" s="1"/>
  <c r="Q1989" i="1" a="1"/>
  <c r="Q1989" i="1" s="1"/>
  <c r="O1988" i="1" a="1"/>
  <c r="O1988" i="1" s="1"/>
  <c r="K1988" i="1" a="1"/>
  <c r="K1988" i="1" s="1"/>
  <c r="F1986" i="1" a="1"/>
  <c r="F1986" i="1" s="1"/>
  <c r="Q1986" i="1" a="1"/>
  <c r="Q1986" i="1"/>
  <c r="J1988" i="1" a="1"/>
  <c r="J1988" i="1" s="1"/>
  <c r="G1987" i="1" a="1"/>
  <c r="G1987" i="1"/>
  <c r="H1986" i="1" a="1"/>
  <c r="H1986" i="1" s="1"/>
  <c r="J1989" i="1" a="1"/>
  <c r="J1989" i="1" s="1"/>
  <c r="F1991" i="1" a="1"/>
  <c r="F1991" i="1" s="1"/>
  <c r="K1983" i="1" a="1"/>
  <c r="K1983" i="1" s="1"/>
  <c r="O1984" i="1" a="1"/>
  <c r="O1984" i="1" s="1"/>
  <c r="F1983" i="1" a="1"/>
  <c r="F1983" i="1"/>
  <c r="L1984" i="1" a="1"/>
  <c r="L1984" i="1"/>
  <c r="O1982" i="1" a="1"/>
  <c r="O1982" i="1" s="1"/>
  <c r="K1984" i="1" a="1"/>
  <c r="K1984" i="1" s="1"/>
  <c r="G1984" i="1" a="1"/>
  <c r="G1984" i="1" s="1"/>
  <c r="N1983" i="1" a="1"/>
  <c r="N1983" i="1"/>
  <c r="H1981" i="1" a="1"/>
  <c r="H1981" i="1"/>
  <c r="I1984" i="1" a="1"/>
  <c r="I1984" i="1"/>
  <c r="Q1983" i="1" a="1"/>
  <c r="Q1983" i="1" s="1"/>
  <c r="P1983" i="1" a="1"/>
  <c r="P1983" i="1" s="1"/>
  <c r="N1982" i="1" a="1"/>
  <c r="N1982" i="1"/>
  <c r="K1982" i="1" a="1"/>
  <c r="K1982" i="1"/>
  <c r="I1982" i="1" a="1"/>
  <c r="I1982" i="1"/>
  <c r="O1980" i="1" a="1"/>
  <c r="O1980" i="1"/>
  <c r="L1981" i="1" a="1"/>
  <c r="L1981" i="1"/>
  <c r="M1981" i="1" a="1"/>
  <c r="M1981" i="1"/>
  <c r="G1983" i="1" a="1"/>
  <c r="G1983" i="1" s="1"/>
  <c r="I1983" i="1" a="1"/>
  <c r="I1983" i="1" s="1"/>
  <c r="J1984" i="1" a="1"/>
  <c r="J1984" i="1" s="1"/>
  <c r="M1983" i="1" a="1"/>
  <c r="M1983" i="1"/>
  <c r="F1984" i="1" a="1"/>
  <c r="F1984" i="1" s="1"/>
  <c r="O1983" i="1" a="1"/>
  <c r="O1983" i="1"/>
  <c r="M1982" i="1" a="1"/>
  <c r="M1982" i="1"/>
  <c r="L1982" i="1" a="1"/>
  <c r="L1982" i="1"/>
  <c r="P1980" i="1" a="1"/>
  <c r="P1980" i="1" s="1"/>
  <c r="P1981" i="1" a="1"/>
  <c r="P1981" i="1" s="1"/>
  <c r="L1980" i="1" a="1"/>
  <c r="L1980" i="1"/>
  <c r="G1982" i="1" a="1"/>
  <c r="G1982" i="1"/>
  <c r="F1982" i="1" a="1"/>
  <c r="F1982" i="1"/>
  <c r="Q1980" i="1" a="1"/>
  <c r="Q1980" i="1"/>
  <c r="P1982" i="1" a="1"/>
  <c r="P1982" i="1" s="1"/>
  <c r="O1985" i="1" a="1"/>
  <c r="O1985" i="1" s="1"/>
  <c r="N1985" i="1" a="1"/>
  <c r="N1985" i="1" s="1"/>
  <c r="M1985" i="1" a="1"/>
  <c r="M1985" i="1" s="1"/>
  <c r="L1985" i="1" a="1"/>
  <c r="L1985" i="1" s="1"/>
  <c r="K1985" i="1" a="1"/>
  <c r="K1985" i="1" s="1"/>
  <c r="J1985" i="1" a="1"/>
  <c r="J1985" i="1"/>
  <c r="N1984" i="1" a="1"/>
  <c r="N1984" i="1" s="1"/>
  <c r="J1981" i="1" a="1"/>
  <c r="J1981" i="1" s="1"/>
  <c r="I1985" i="1" a="1"/>
  <c r="I1985" i="1" s="1"/>
  <c r="J1983" i="1" a="1"/>
  <c r="J1983" i="1"/>
  <c r="G1985" i="1" a="1"/>
  <c r="G1985" i="1" s="1"/>
  <c r="I1981" i="1" a="1"/>
  <c r="I1981" i="1"/>
  <c r="N1981" i="1" a="1"/>
  <c r="N1981" i="1" s="1"/>
  <c r="H1985" i="1" a="1"/>
  <c r="H1985" i="1" s="1"/>
  <c r="F1985" i="1" a="1"/>
  <c r="F1985" i="1" s="1"/>
  <c r="L1983" i="1" a="1"/>
  <c r="L1983" i="1" s="1"/>
  <c r="K1981" i="1" a="1"/>
  <c r="K1981" i="1"/>
  <c r="Q1984" i="1" a="1"/>
  <c r="Q1984" i="1"/>
  <c r="M1984" i="1" a="1"/>
  <c r="M1984" i="1"/>
  <c r="H1984" i="1" a="1"/>
  <c r="H1984" i="1"/>
  <c r="H1983" i="1" a="1"/>
  <c r="H1983" i="1" s="1"/>
  <c r="Q1981" i="1" a="1"/>
  <c r="Q1981" i="1"/>
  <c r="N1980" i="1" a="1"/>
  <c r="N1980" i="1" s="1"/>
  <c r="M1980" i="1" a="1"/>
  <c r="M1980" i="1" s="1"/>
  <c r="Q1982" i="1" a="1"/>
  <c r="Q1982" i="1" s="1"/>
  <c r="J1982" i="1" a="1"/>
  <c r="J1982" i="1"/>
  <c r="H1982" i="1" a="1"/>
  <c r="H1982" i="1" s="1"/>
  <c r="O1981" i="1" a="1"/>
  <c r="O1981" i="1" s="1"/>
  <c r="G1981" i="1" a="1"/>
  <c r="G1981" i="1" s="1"/>
  <c r="F1981" i="1" a="1"/>
  <c r="F1981" i="1" s="1"/>
  <c r="P1984" i="1" a="1"/>
  <c r="P1984" i="1"/>
  <c r="K1976" i="1" a="1"/>
  <c r="K1976" i="1"/>
  <c r="J1980" i="1" a="1"/>
  <c r="J1980" i="1"/>
  <c r="I1980" i="1" a="1"/>
  <c r="I1980" i="1"/>
  <c r="H1979" i="1" a="1"/>
  <c r="H1979" i="1"/>
  <c r="O1979" i="1" a="1"/>
  <c r="O1979" i="1" s="1"/>
  <c r="H1980" i="1" a="1"/>
  <c r="H1980" i="1"/>
  <c r="M1975" i="1" a="1"/>
  <c r="M1975" i="1"/>
  <c r="J1977" i="1" a="1"/>
  <c r="J1977" i="1"/>
  <c r="N1976" i="1" a="1"/>
  <c r="N1976" i="1"/>
  <c r="G1980" i="1" a="1"/>
  <c r="G1980" i="1"/>
  <c r="F1980" i="1" a="1"/>
  <c r="F1980" i="1" s="1"/>
  <c r="G1975" i="1" a="1"/>
  <c r="G1975" i="1" s="1"/>
  <c r="G1979" i="1" a="1"/>
  <c r="G1979" i="1" s="1"/>
  <c r="K1977" i="1" a="1"/>
  <c r="K1977" i="1"/>
  <c r="Q1974" i="1" a="1"/>
  <c r="Q1974" i="1" s="1"/>
  <c r="J1975" i="1" a="1"/>
  <c r="J1975" i="1" s="1"/>
  <c r="Q1979" i="1" a="1"/>
  <c r="Q1979" i="1" s="1"/>
  <c r="M1979" i="1" a="1"/>
  <c r="M1979" i="1" s="1"/>
  <c r="P1977" i="1" a="1"/>
  <c r="P1977" i="1" s="1"/>
  <c r="L1977" i="1" a="1"/>
  <c r="L1977" i="1"/>
  <c r="N1975" i="1" a="1"/>
  <c r="N1975" i="1" s="1"/>
  <c r="F1979" i="1" a="1"/>
  <c r="F1979" i="1"/>
  <c r="G1977" i="1" a="1"/>
  <c r="G1977" i="1"/>
  <c r="K1975" i="1" a="1"/>
  <c r="K1975" i="1"/>
  <c r="N1979" i="1" a="1"/>
  <c r="N1979" i="1" s="1"/>
  <c r="K1979" i="1" a="1"/>
  <c r="K1979" i="1" s="1"/>
  <c r="L1979" i="1" a="1"/>
  <c r="L1979" i="1" s="1"/>
  <c r="J1979" i="1" a="1"/>
  <c r="J1979" i="1"/>
  <c r="F1977" i="1" a="1"/>
  <c r="F1977" i="1" s="1"/>
  <c r="P1975" i="1" a="1"/>
  <c r="P1975" i="1"/>
  <c r="Q1976" i="1" a="1"/>
  <c r="Q1976" i="1" s="1"/>
  <c r="H1976" i="1" a="1"/>
  <c r="H1976" i="1" s="1"/>
  <c r="P1976" i="1" a="1"/>
  <c r="P1976" i="1" s="1"/>
  <c r="G1976" i="1" a="1"/>
  <c r="G1976" i="1" s="1"/>
  <c r="F1976" i="1" a="1"/>
  <c r="F1976" i="1" s="1"/>
  <c r="I1979" i="1" a="1"/>
  <c r="I1979" i="1"/>
  <c r="L1975" i="1" a="1"/>
  <c r="L1975" i="1"/>
  <c r="O1977" i="1" a="1"/>
  <c r="O1977" i="1" s="1"/>
  <c r="H1975" i="1" a="1"/>
  <c r="H1975" i="1" s="1"/>
  <c r="Q1975" i="1" a="1"/>
  <c r="Q1975" i="1" s="1"/>
  <c r="N1977" i="1" a="1"/>
  <c r="N1977" i="1" s="1"/>
  <c r="I1977" i="1" a="1"/>
  <c r="I1977" i="1"/>
  <c r="P1974" i="1" a="1"/>
  <c r="P1974" i="1"/>
  <c r="H1977" i="1" a="1"/>
  <c r="H1977" i="1" s="1"/>
  <c r="O1976" i="1" a="1"/>
  <c r="O1976" i="1" s="1"/>
  <c r="M1976" i="1" a="1"/>
  <c r="M1976" i="1"/>
  <c r="L1976" i="1" a="1"/>
  <c r="L1976" i="1"/>
  <c r="J1976" i="1" a="1"/>
  <c r="J1976" i="1"/>
  <c r="I1976" i="1" a="1"/>
  <c r="I1976" i="1"/>
  <c r="F1975" i="1" a="1"/>
  <c r="F1975" i="1"/>
  <c r="I1975" i="1" a="1"/>
  <c r="I1975" i="1"/>
  <c r="O1975" i="1" a="1"/>
  <c r="O1975" i="1" s="1"/>
  <c r="P1979" i="1" a="1"/>
  <c r="P1979" i="1" s="1"/>
  <c r="M1977" i="1" a="1"/>
  <c r="M1977" i="1" s="1"/>
  <c r="Q1977" i="1" a="1"/>
  <c r="Q1977" i="1" s="1"/>
  <c r="K1980" i="1" a="1"/>
  <c r="K1980" i="1"/>
  <c r="L1972" i="1" a="1"/>
  <c r="L1972" i="1"/>
  <c r="H1972" i="1" a="1"/>
  <c r="H1972" i="1"/>
  <c r="I1973" i="1" a="1"/>
  <c r="I1973" i="1"/>
  <c r="F1971" i="1" a="1"/>
  <c r="F1971" i="1" s="1"/>
  <c r="M1973" i="1" a="1"/>
  <c r="M1973" i="1" s="1"/>
  <c r="M1972" i="1" a="1"/>
  <c r="M1972" i="1"/>
  <c r="F1972" i="1" a="1"/>
  <c r="F1972" i="1"/>
  <c r="L1971" i="1" a="1"/>
  <c r="L1971" i="1"/>
  <c r="P1969" i="1" a="1"/>
  <c r="P1969" i="1"/>
  <c r="Q1970" i="1" a="1"/>
  <c r="Q1970" i="1"/>
  <c r="M1970" i="1" a="1"/>
  <c r="M1970" i="1" s="1"/>
  <c r="P1970" i="1" a="1"/>
  <c r="P1970" i="1" s="1"/>
  <c r="L1969" i="1" a="1"/>
  <c r="L1969" i="1" s="1"/>
  <c r="N1973" i="1" a="1"/>
  <c r="N1973" i="1"/>
  <c r="I1972" i="1" a="1"/>
  <c r="I1972" i="1" s="1"/>
  <c r="N1971" i="1" a="1"/>
  <c r="N1971" i="1" s="1"/>
  <c r="Q1969" i="1" a="1"/>
  <c r="Q1969" i="1" s="1"/>
  <c r="Q1971" i="1" a="1"/>
  <c r="Q1971" i="1" s="1"/>
  <c r="K1972" i="1" a="1"/>
  <c r="K1972" i="1"/>
  <c r="K1973" i="1" a="1"/>
  <c r="K1973" i="1" s="1"/>
  <c r="J1973" i="1" a="1"/>
  <c r="J1973" i="1"/>
  <c r="G1973" i="1" a="1"/>
  <c r="G1973" i="1" s="1"/>
  <c r="P1972" i="1" a="1"/>
  <c r="P1972" i="1" s="1"/>
  <c r="O1969" i="1" a="1"/>
  <c r="O1969" i="1" s="1"/>
  <c r="K1970" i="1" a="1"/>
  <c r="K1970" i="1" s="1"/>
  <c r="O1970" i="1" a="1"/>
  <c r="O1970" i="1" s="1"/>
  <c r="K1971" i="1" a="1"/>
  <c r="K1971" i="1" s="1"/>
  <c r="P1971" i="1" a="1"/>
  <c r="P1971" i="1"/>
  <c r="O1971" i="1" a="1"/>
  <c r="O1971" i="1" s="1"/>
  <c r="F1970" i="1" a="1"/>
  <c r="F1970" i="1" s="1"/>
  <c r="N1970" i="1" a="1"/>
  <c r="N1970" i="1" s="1"/>
  <c r="M1971" i="1" a="1"/>
  <c r="M1971" i="1" s="1"/>
  <c r="N1969" i="1" a="1"/>
  <c r="N1969" i="1" s="1"/>
  <c r="J1972" i="1" a="1"/>
  <c r="J1972" i="1" s="1"/>
  <c r="M1969" i="1" a="1"/>
  <c r="M1969" i="1"/>
  <c r="L1973" i="1" a="1"/>
  <c r="L1973" i="1" s="1"/>
  <c r="N1972" i="1" a="1"/>
  <c r="N1972" i="1"/>
  <c r="H1970" i="1" a="1"/>
  <c r="H1970" i="1" s="1"/>
  <c r="J1971" i="1" a="1"/>
  <c r="J1971" i="1" s="1"/>
  <c r="L1970" i="1" a="1"/>
  <c r="L1970" i="1" s="1"/>
  <c r="I1971" i="1" a="1"/>
  <c r="I1971" i="1" s="1"/>
  <c r="O1974" i="1" a="1"/>
  <c r="O1974" i="1" s="1"/>
  <c r="N1974" i="1" a="1"/>
  <c r="N1974" i="1" s="1"/>
  <c r="M1974" i="1" a="1"/>
  <c r="M1974" i="1" s="1"/>
  <c r="L1974" i="1" a="1"/>
  <c r="L1974" i="1"/>
  <c r="K1974" i="1" a="1"/>
  <c r="K1974" i="1"/>
  <c r="J1974" i="1" a="1"/>
  <c r="J1974" i="1"/>
  <c r="G1970" i="1" a="1"/>
  <c r="G1970" i="1"/>
  <c r="F1973" i="1" a="1"/>
  <c r="F1973" i="1"/>
  <c r="I1974" i="1" a="1"/>
  <c r="I1974" i="1" s="1"/>
  <c r="H1974" i="1" a="1"/>
  <c r="H1974" i="1" s="1"/>
  <c r="G1974" i="1" a="1"/>
  <c r="G1974" i="1"/>
  <c r="F1974" i="1" a="1"/>
  <c r="F1974" i="1"/>
  <c r="G1972" i="1" a="1"/>
  <c r="G1972" i="1"/>
  <c r="G1971" i="1" a="1"/>
  <c r="G1971" i="1"/>
  <c r="J1970" i="1" a="1"/>
  <c r="J1970" i="1"/>
  <c r="I1970" i="1" a="1"/>
  <c r="I1970" i="1" s="1"/>
  <c r="O1972" i="1" a="1"/>
  <c r="O1972" i="1"/>
  <c r="H1971" i="1" a="1"/>
  <c r="H1971" i="1" s="1"/>
  <c r="Q1973" i="1" a="1"/>
  <c r="Q1973" i="1" s="1"/>
  <c r="P1973" i="1" a="1"/>
  <c r="P1973" i="1" s="1"/>
  <c r="O1973" i="1" a="1"/>
  <c r="O1973" i="1" s="1"/>
  <c r="H1973" i="1" a="1"/>
  <c r="H1973" i="1" s="1"/>
  <c r="Q1972" i="1" a="1"/>
  <c r="Q1972" i="1"/>
  <c r="Q1965" i="1" a="1"/>
  <c r="Q1965" i="1" s="1"/>
  <c r="M1967" i="1" a="1"/>
  <c r="M1967" i="1"/>
  <c r="F1967" i="1" a="1"/>
  <c r="F1967" i="1" s="1"/>
  <c r="F1965" i="1" a="1"/>
  <c r="F1965" i="1" s="1"/>
  <c r="K1969" i="1" a="1"/>
  <c r="K1969" i="1" s="1"/>
  <c r="J1969" i="1" a="1"/>
  <c r="J1969" i="1" s="1"/>
  <c r="H1969" i="1" a="1"/>
  <c r="H1969" i="1" s="1"/>
  <c r="L1966" i="1" a="1"/>
  <c r="L1966" i="1"/>
  <c r="G1965" i="1" a="1"/>
  <c r="G1965" i="1" s="1"/>
  <c r="I1969" i="1" a="1"/>
  <c r="I1969" i="1"/>
  <c r="Q1964" i="1" a="1"/>
  <c r="Q1964" i="1"/>
  <c r="P1964" i="1" a="1"/>
  <c r="P1964" i="1"/>
  <c r="M1968" i="1" a="1"/>
  <c r="M1968" i="1"/>
  <c r="I1966" i="1" a="1"/>
  <c r="I1966" i="1"/>
  <c r="J1968" i="1" a="1"/>
  <c r="J1968" i="1" s="1"/>
  <c r="P1966" i="1" a="1"/>
  <c r="P1966" i="1" s="1"/>
  <c r="H1964" i="1" a="1"/>
  <c r="H1964" i="1"/>
  <c r="O1965" i="1" a="1"/>
  <c r="O1965" i="1"/>
  <c r="J1964" i="1" a="1"/>
  <c r="J1964" i="1"/>
  <c r="M1964" i="1" a="1"/>
  <c r="M1964" i="1"/>
  <c r="G1969" i="1" a="1"/>
  <c r="G1969" i="1" s="1"/>
  <c r="P1968" i="1" a="1"/>
  <c r="P1968" i="1" s="1"/>
  <c r="K1964" i="1" a="1"/>
  <c r="K1964" i="1"/>
  <c r="Q1968" i="1" a="1"/>
  <c r="Q1968" i="1" s="1"/>
  <c r="K1966" i="1" a="1"/>
  <c r="K1966" i="1" s="1"/>
  <c r="K1965" i="1" a="1"/>
  <c r="K1965" i="1" s="1"/>
  <c r="O1968" i="1" a="1"/>
  <c r="O1968" i="1" s="1"/>
  <c r="N1968" i="1" a="1"/>
  <c r="N1968" i="1" s="1"/>
  <c r="L1968" i="1" a="1"/>
  <c r="L1968" i="1"/>
  <c r="G1968" i="1" a="1"/>
  <c r="G1968" i="1" s="1"/>
  <c r="F1968" i="1" a="1"/>
  <c r="F1968" i="1"/>
  <c r="J1965" i="1" a="1"/>
  <c r="J1965" i="1" s="1"/>
  <c r="L1964" i="1" a="1"/>
  <c r="L1964" i="1" s="1"/>
  <c r="K1967" i="1" a="1"/>
  <c r="K1967" i="1" s="1"/>
  <c r="N1966" i="1" a="1"/>
  <c r="N1966" i="1" s="1"/>
  <c r="M1966" i="1" a="1"/>
  <c r="M1966" i="1"/>
  <c r="F1966" i="1" a="1"/>
  <c r="F1966" i="1"/>
  <c r="P1965" i="1" a="1"/>
  <c r="P1965" i="1" s="1"/>
  <c r="N1964" i="1" a="1"/>
  <c r="N1964" i="1"/>
  <c r="H1967" i="1" a="1"/>
  <c r="H1967" i="1"/>
  <c r="O1964" i="1" a="1"/>
  <c r="O1964" i="1"/>
  <c r="L1967" i="1" a="1"/>
  <c r="L1967" i="1"/>
  <c r="K1968" i="1" a="1"/>
  <c r="K1968" i="1"/>
  <c r="O1966" i="1" a="1"/>
  <c r="O1966" i="1" s="1"/>
  <c r="P1967" i="1" a="1"/>
  <c r="P1967" i="1" s="1"/>
  <c r="Q1966" i="1" a="1"/>
  <c r="Q1966" i="1"/>
  <c r="H1968" i="1" a="1"/>
  <c r="H1968" i="1"/>
  <c r="J1967" i="1" a="1"/>
  <c r="J1967" i="1"/>
  <c r="O1967" i="1" a="1"/>
  <c r="O1967" i="1" s="1"/>
  <c r="I1964" i="1" a="1"/>
  <c r="I1964" i="1" s="1"/>
  <c r="Q1967" i="1" a="1"/>
  <c r="Q1967" i="1" s="1"/>
  <c r="N1967" i="1" a="1"/>
  <c r="N1967" i="1"/>
  <c r="G1967" i="1" a="1"/>
  <c r="G1967" i="1" s="1"/>
  <c r="J1966" i="1" a="1"/>
  <c r="J1966" i="1" s="1"/>
  <c r="G1966" i="1" a="1"/>
  <c r="G1966" i="1" s="1"/>
  <c r="H1965" i="1" a="1"/>
  <c r="H1965" i="1" s="1"/>
  <c r="M1965" i="1" a="1"/>
  <c r="M1965" i="1" s="1"/>
  <c r="H1966" i="1" a="1"/>
  <c r="H1966" i="1"/>
  <c r="L1965" i="1" a="1"/>
  <c r="L1965" i="1" s="1"/>
  <c r="I1965" i="1" a="1"/>
  <c r="I1965" i="1"/>
  <c r="N1965" i="1" a="1"/>
  <c r="N1965" i="1" s="1"/>
  <c r="F1969" i="1" a="1"/>
  <c r="F1969" i="1" s="1"/>
  <c r="I1967" i="1" a="1"/>
  <c r="I1967" i="1" s="1"/>
  <c r="I1968" i="1" a="1"/>
  <c r="I1968" i="1"/>
  <c r="G1959" i="1" a="1"/>
  <c r="G1959" i="1"/>
  <c r="P1959" i="1" a="1"/>
  <c r="P1959" i="1"/>
  <c r="N1959" i="1" a="1"/>
  <c r="N1959" i="1" s="1"/>
  <c r="P1958" i="1" a="1"/>
  <c r="P1958" i="1"/>
  <c r="O1959" i="1" a="1"/>
  <c r="O1959" i="1"/>
  <c r="G1964" i="1" a="1"/>
  <c r="G1964" i="1"/>
  <c r="F1964" i="1" a="1"/>
  <c r="F1964" i="1"/>
  <c r="N1963" i="1" a="1"/>
  <c r="N1963" i="1"/>
  <c r="G1960" i="1" a="1"/>
  <c r="G1960" i="1" s="1"/>
  <c r="Q1963" i="1" a="1"/>
  <c r="Q1963" i="1" s="1"/>
  <c r="P1963" i="1" a="1"/>
  <c r="P1963" i="1"/>
  <c r="O1963" i="1" a="1"/>
  <c r="O1963" i="1"/>
  <c r="I1963" i="1" a="1"/>
  <c r="I1963" i="1" s="1"/>
  <c r="J1960" i="1" a="1"/>
  <c r="J1960" i="1" s="1"/>
  <c r="H1961" i="1" a="1"/>
  <c r="H1961" i="1" s="1"/>
  <c r="J1959" i="1" a="1"/>
  <c r="J1959" i="1" s="1"/>
  <c r="M1962" i="1" a="1"/>
  <c r="M1962" i="1"/>
  <c r="Q1958" i="1" a="1"/>
  <c r="Q1958" i="1" s="1"/>
  <c r="Q1962" i="1" a="1"/>
  <c r="Q1962" i="1" s="1"/>
  <c r="O1962" i="1" a="1"/>
  <c r="O1962" i="1" s="1"/>
  <c r="K1959" i="1" a="1"/>
  <c r="K1959" i="1" s="1"/>
  <c r="N1962" i="1" a="1"/>
  <c r="N1962" i="1" s="1"/>
  <c r="O1961" i="1" a="1"/>
  <c r="O1961" i="1"/>
  <c r="L1962" i="1" a="1"/>
  <c r="L1962" i="1" s="1"/>
  <c r="F1962" i="1" a="1"/>
  <c r="F1962" i="1"/>
  <c r="G1961" i="1" a="1"/>
  <c r="G1961" i="1" s="1"/>
  <c r="K1962" i="1" a="1"/>
  <c r="K1962" i="1" s="1"/>
  <c r="M1963" i="1" a="1"/>
  <c r="M1963" i="1"/>
  <c r="H1962" i="1" a="1"/>
  <c r="H1962" i="1"/>
  <c r="N1960" i="1" a="1"/>
  <c r="N1960" i="1"/>
  <c r="F1959" i="1" a="1"/>
  <c r="F1959" i="1"/>
  <c r="L1963" i="1" a="1"/>
  <c r="L1963" i="1" s="1"/>
  <c r="K1963" i="1" a="1"/>
  <c r="K1963" i="1"/>
  <c r="J1963" i="1" a="1"/>
  <c r="J1963" i="1"/>
  <c r="L1961" i="1" a="1"/>
  <c r="L1961" i="1"/>
  <c r="Q1959" i="1" a="1"/>
  <c r="Q1959" i="1"/>
  <c r="I1959" i="1" a="1"/>
  <c r="I1959" i="1"/>
  <c r="P1960" i="1" a="1"/>
  <c r="P1960" i="1" s="1"/>
  <c r="H1959" i="1" a="1"/>
  <c r="H1959" i="1" s="1"/>
  <c r="N1961" i="1" a="1"/>
  <c r="N1961" i="1"/>
  <c r="L1960" i="1" a="1"/>
  <c r="L1960" i="1" s="1"/>
  <c r="H1963" i="1" a="1"/>
  <c r="H1963" i="1" s="1"/>
  <c r="F1963" i="1" a="1"/>
  <c r="F1963" i="1" s="1"/>
  <c r="J1961" i="1" a="1"/>
  <c r="J1961" i="1" s="1"/>
  <c r="Q1960" i="1" a="1"/>
  <c r="Q1960" i="1" s="1"/>
  <c r="M1959" i="1" a="1"/>
  <c r="M1959" i="1"/>
  <c r="P1961" i="1" a="1"/>
  <c r="P1961" i="1" s="1"/>
  <c r="G1963" i="1" a="1"/>
  <c r="G1963" i="1" s="1"/>
  <c r="M1961" i="1" a="1"/>
  <c r="M1961" i="1" s="1"/>
  <c r="M1960" i="1" a="1"/>
  <c r="M1960" i="1" s="1"/>
  <c r="I1961" i="1" a="1"/>
  <c r="I1961" i="1" s="1"/>
  <c r="H1960" i="1" a="1"/>
  <c r="H1960" i="1"/>
  <c r="K1960" i="1" a="1"/>
  <c r="K1960" i="1" s="1"/>
  <c r="F1960" i="1" a="1"/>
  <c r="F1960" i="1"/>
  <c r="I1962" i="1" a="1"/>
  <c r="I1962" i="1" s="1"/>
  <c r="L1959" i="1" a="1"/>
  <c r="L1959" i="1"/>
  <c r="P1962" i="1" a="1"/>
  <c r="P1962" i="1"/>
  <c r="J1962" i="1" a="1"/>
  <c r="J1962" i="1"/>
  <c r="G1962" i="1" a="1"/>
  <c r="G1962" i="1"/>
  <c r="Q1961" i="1" a="1"/>
  <c r="Q1961" i="1"/>
  <c r="F1961" i="1" a="1"/>
  <c r="F1961" i="1" s="1"/>
  <c r="K1961" i="1" a="1"/>
  <c r="K1961" i="1"/>
  <c r="I1960" i="1" a="1"/>
  <c r="I1960" i="1"/>
  <c r="O1960" i="1" a="1"/>
  <c r="O1960" i="1"/>
  <c r="G1953" i="1" a="1"/>
  <c r="G1953" i="1"/>
  <c r="J1958" i="1" a="1"/>
  <c r="J1958" i="1"/>
  <c r="K1957" i="1" a="1"/>
  <c r="K1957" i="1" s="1"/>
  <c r="J1957" i="1" a="1"/>
  <c r="J1957" i="1" s="1"/>
  <c r="F1958" i="1" a="1"/>
  <c r="F1958" i="1" s="1"/>
  <c r="I1956" i="1" a="1"/>
  <c r="I1956" i="1" s="1"/>
  <c r="M1955" i="1" a="1"/>
  <c r="M1955" i="1" s="1"/>
  <c r="F1957" i="1" a="1"/>
  <c r="F1957" i="1" s="1"/>
  <c r="O1953" i="1" a="1"/>
  <c r="O1953" i="1" s="1"/>
  <c r="O1957" i="1" a="1"/>
  <c r="O1957" i="1" s="1"/>
  <c r="H1953" i="1" a="1"/>
  <c r="H1953" i="1"/>
  <c r="L1957" i="1" a="1"/>
  <c r="L1957" i="1" s="1"/>
  <c r="I1953" i="1" a="1"/>
  <c r="I1953" i="1" s="1"/>
  <c r="F1955" i="1" a="1"/>
  <c r="F1955" i="1" s="1"/>
  <c r="K1953" i="1" a="1"/>
  <c r="K1953" i="1" s="1"/>
  <c r="F1956" i="1" a="1"/>
  <c r="F1956" i="1" s="1"/>
  <c r="I1955" i="1" a="1"/>
  <c r="I1955" i="1"/>
  <c r="N1953" i="1" a="1"/>
  <c r="N1953" i="1" s="1"/>
  <c r="J1955" i="1" a="1"/>
  <c r="J1955" i="1" s="1"/>
  <c r="J1953" i="1" a="1"/>
  <c r="J1953" i="1"/>
  <c r="L1958" i="1" a="1"/>
  <c r="L1958" i="1"/>
  <c r="I1958" i="1" a="1"/>
  <c r="I1958" i="1"/>
  <c r="H1958" i="1" a="1"/>
  <c r="H1958" i="1"/>
  <c r="Q1956" i="1" a="1"/>
  <c r="Q1956" i="1"/>
  <c r="F1953" i="1" a="1"/>
  <c r="F1953" i="1"/>
  <c r="G1958" i="1" a="1"/>
  <c r="G1958" i="1" s="1"/>
  <c r="Q1957" i="1" a="1"/>
  <c r="Q1957" i="1"/>
  <c r="P1957" i="1" a="1"/>
  <c r="P1957" i="1"/>
  <c r="N1957" i="1" a="1"/>
  <c r="N1957" i="1"/>
  <c r="G1957" i="1" a="1"/>
  <c r="G1957" i="1"/>
  <c r="K1956" i="1" a="1"/>
  <c r="K1956" i="1"/>
  <c r="O1955" i="1" a="1"/>
  <c r="O1955" i="1" s="1"/>
  <c r="L1953" i="1" a="1"/>
  <c r="L1953" i="1" s="1"/>
  <c r="M1957" i="1" a="1"/>
  <c r="M1957" i="1"/>
  <c r="I1957" i="1" a="1"/>
  <c r="I1957" i="1" s="1"/>
  <c r="H1957" i="1" a="1"/>
  <c r="H1957" i="1" s="1"/>
  <c r="P1956" i="1" a="1"/>
  <c r="P1956" i="1" s="1"/>
  <c r="N1956" i="1" a="1"/>
  <c r="N1956" i="1" s="1"/>
  <c r="G1955" i="1" a="1"/>
  <c r="G1955" i="1" s="1"/>
  <c r="Q1952" i="1" a="1"/>
  <c r="Q1952" i="1"/>
  <c r="M1953" i="1" a="1"/>
  <c r="M1953" i="1" s="1"/>
  <c r="M1956" i="1" a="1"/>
  <c r="M1956" i="1" s="1"/>
  <c r="L1956" i="1" a="1"/>
  <c r="L1956" i="1" s="1"/>
  <c r="P1953" i="1" a="1"/>
  <c r="P1953" i="1" s="1"/>
  <c r="J1956" i="1" a="1"/>
  <c r="J1956" i="1" s="1"/>
  <c r="H1956" i="1" a="1"/>
  <c r="H1956" i="1" s="1"/>
  <c r="Q1955" i="1" a="1"/>
  <c r="Q1955" i="1" s="1"/>
  <c r="L1955" i="1" a="1"/>
  <c r="L1955" i="1" s="1"/>
  <c r="H1955" i="1" a="1"/>
  <c r="H1955" i="1"/>
  <c r="P1952" i="1" a="1"/>
  <c r="P1952" i="1"/>
  <c r="P1955" i="1" a="1"/>
  <c r="P1955" i="1"/>
  <c r="N1955" i="1" a="1"/>
  <c r="N1955" i="1"/>
  <c r="Q1953" i="1" a="1"/>
  <c r="Q1953" i="1"/>
  <c r="O1956" i="1" a="1"/>
  <c r="O1956" i="1"/>
  <c r="O1958" i="1" a="1"/>
  <c r="O1958" i="1" s="1"/>
  <c r="N1958" i="1" a="1"/>
  <c r="N1958" i="1"/>
  <c r="M1958" i="1" a="1"/>
  <c r="M1958" i="1"/>
  <c r="K1958" i="1" a="1"/>
  <c r="K1958" i="1"/>
  <c r="G1956" i="1" a="1"/>
  <c r="G1956" i="1"/>
  <c r="K1955" i="1" a="1"/>
  <c r="K1955" i="1"/>
  <c r="I1951" i="1" a="1"/>
  <c r="I1951" i="1" s="1"/>
  <c r="L1947" i="1" a="1"/>
  <c r="L1947" i="1" s="1"/>
  <c r="F1951" i="1" a="1"/>
  <c r="F1951" i="1"/>
  <c r="P1948" i="1" a="1"/>
  <c r="P1948" i="1" s="1"/>
  <c r="H1951" i="1" a="1"/>
  <c r="H1951" i="1" s="1"/>
  <c r="F1949" i="1" a="1"/>
  <c r="F1949" i="1" s="1"/>
  <c r="I1948" i="1" a="1"/>
  <c r="I1948" i="1" s="1"/>
  <c r="Q1950" i="1" a="1"/>
  <c r="Q1950" i="1" s="1"/>
  <c r="P1950" i="1" a="1"/>
  <c r="P1950" i="1"/>
  <c r="G1950" i="1" a="1"/>
  <c r="G1950" i="1" s="1"/>
  <c r="K1949" i="1" a="1"/>
  <c r="K1949" i="1" s="1"/>
  <c r="I1949" i="1" a="1"/>
  <c r="I1949" i="1" s="1"/>
  <c r="H1949" i="1" a="1"/>
  <c r="H1949" i="1" s="1"/>
  <c r="M1948" i="1" a="1"/>
  <c r="M1948" i="1" s="1"/>
  <c r="P1947" i="1" a="1"/>
  <c r="P1947" i="1" s="1"/>
  <c r="N1947" i="1" a="1"/>
  <c r="N1947" i="1" s="1"/>
  <c r="M1947" i="1" a="1"/>
  <c r="M1947" i="1" s="1"/>
  <c r="F1952" i="1" a="1"/>
  <c r="F1952" i="1"/>
  <c r="J1950" i="1" a="1"/>
  <c r="J1950" i="1"/>
  <c r="M1950" i="1" a="1"/>
  <c r="M1950" i="1"/>
  <c r="K1952" i="1" a="1"/>
  <c r="K1952" i="1"/>
  <c r="G1952" i="1" a="1"/>
  <c r="G1952" i="1"/>
  <c r="O1949" i="1" a="1"/>
  <c r="O1949" i="1"/>
  <c r="K1950" i="1" a="1"/>
  <c r="K1950" i="1" s="1"/>
  <c r="F1950" i="1" a="1"/>
  <c r="F1950" i="1"/>
  <c r="L1948" i="1" a="1"/>
  <c r="L1948" i="1"/>
  <c r="N1951" i="1" a="1"/>
  <c r="N1951" i="1"/>
  <c r="G1949" i="1" a="1"/>
  <c r="G1949" i="1"/>
  <c r="G1951" i="1" a="1"/>
  <c r="G1951" i="1" s="1"/>
  <c r="O1950" i="1" a="1"/>
  <c r="O1950" i="1" s="1"/>
  <c r="H1948" i="1" a="1"/>
  <c r="H1948" i="1" s="1"/>
  <c r="J1952" i="1" a="1"/>
  <c r="J1952" i="1"/>
  <c r="L1950" i="1" a="1"/>
  <c r="L1950" i="1" s="1"/>
  <c r="O1948" i="1" a="1"/>
  <c r="O1948" i="1" s="1"/>
  <c r="P1951" i="1" a="1"/>
  <c r="P1951" i="1" s="1"/>
  <c r="O1947" i="1" a="1"/>
  <c r="O1947" i="1" s="1"/>
  <c r="M1949" i="1" a="1"/>
  <c r="M1949" i="1" s="1"/>
  <c r="Q1949" i="1" a="1"/>
  <c r="Q1949" i="1"/>
  <c r="O1952" i="1" a="1"/>
  <c r="O1952" i="1" s="1"/>
  <c r="N1952" i="1" a="1"/>
  <c r="N1952" i="1" s="1"/>
  <c r="L1951" i="1" a="1"/>
  <c r="L1951" i="1" s="1"/>
  <c r="M1952" i="1" a="1"/>
  <c r="M1952" i="1" s="1"/>
  <c r="Q1951" i="1" a="1"/>
  <c r="Q1951" i="1" s="1"/>
  <c r="L1949" i="1" a="1"/>
  <c r="L1949" i="1"/>
  <c r="G1948" i="1" a="1"/>
  <c r="G1948" i="1" s="1"/>
  <c r="L1952" i="1" a="1"/>
  <c r="L1952" i="1" s="1"/>
  <c r="J1949" i="1" a="1"/>
  <c r="J1949" i="1"/>
  <c r="I1952" i="1" a="1"/>
  <c r="I1952" i="1"/>
  <c r="H1952" i="1" a="1"/>
  <c r="H1952" i="1"/>
  <c r="O1951" i="1" a="1"/>
  <c r="O1951" i="1"/>
  <c r="Q1947" i="1" a="1"/>
  <c r="Q1947" i="1"/>
  <c r="M1951" i="1" a="1"/>
  <c r="M1951" i="1"/>
  <c r="P1949" i="1" a="1"/>
  <c r="P1949" i="1" s="1"/>
  <c r="F1948" i="1" a="1"/>
  <c r="F1948" i="1"/>
  <c r="K1948" i="1" a="1"/>
  <c r="K1948" i="1"/>
  <c r="K1951" i="1" a="1"/>
  <c r="K1951" i="1"/>
  <c r="H1950" i="1" a="1"/>
  <c r="H1950" i="1" s="1"/>
  <c r="N1950" i="1" a="1"/>
  <c r="N1950" i="1" s="1"/>
  <c r="I1950" i="1" a="1"/>
  <c r="I1950" i="1" s="1"/>
  <c r="Q1948" i="1" a="1"/>
  <c r="Q1948" i="1" s="1"/>
  <c r="N1948" i="1" a="1"/>
  <c r="N1948" i="1"/>
  <c r="N1949" i="1" a="1"/>
  <c r="N1949" i="1" s="1"/>
  <c r="J1948" i="1" a="1"/>
  <c r="J1948" i="1" s="1"/>
  <c r="J1951" i="1" a="1"/>
  <c r="J1951" i="1" s="1"/>
  <c r="J1943" i="1" a="1"/>
  <c r="J1943" i="1" s="1"/>
  <c r="O1945" i="1" a="1"/>
  <c r="O1945" i="1" s="1"/>
  <c r="I1945" i="1" a="1"/>
  <c r="I1945" i="1"/>
  <c r="Q1944" i="1" a="1"/>
  <c r="Q1944" i="1" s="1"/>
  <c r="P1942" i="1" a="1"/>
  <c r="P1942" i="1" s="1"/>
  <c r="O1942" i="1" a="1"/>
  <c r="O1942" i="1" s="1"/>
  <c r="J1945" i="1" a="1"/>
  <c r="J1945" i="1" s="1"/>
  <c r="O1943" i="1" a="1"/>
  <c r="O1943" i="1"/>
  <c r="Q1946" i="1" a="1"/>
  <c r="Q1946" i="1"/>
  <c r="P1946" i="1" a="1"/>
  <c r="P1946" i="1" s="1"/>
  <c r="L1946" i="1" a="1"/>
  <c r="L1946" i="1" s="1"/>
  <c r="I1946" i="1" a="1"/>
  <c r="I1946" i="1"/>
  <c r="H1944" i="1" a="1"/>
  <c r="H1944" i="1"/>
  <c r="M1945" i="1" a="1"/>
  <c r="M1945" i="1"/>
  <c r="J1944" i="1" a="1"/>
  <c r="J1944" i="1"/>
  <c r="G1945" i="1" a="1"/>
  <c r="G1945" i="1"/>
  <c r="N1943" i="1" a="1"/>
  <c r="N1943" i="1"/>
  <c r="F1943" i="1" a="1"/>
  <c r="F1943" i="1" s="1"/>
  <c r="Q1945" i="1" a="1"/>
  <c r="Q1945" i="1"/>
  <c r="L1945" i="1" a="1"/>
  <c r="L1945" i="1"/>
  <c r="I1944" i="1" a="1"/>
  <c r="I1944" i="1" s="1"/>
  <c r="O1944" i="1" a="1"/>
  <c r="O1944" i="1" s="1"/>
  <c r="K1946" i="1" a="1"/>
  <c r="K1946" i="1" s="1"/>
  <c r="J1946" i="1" a="1"/>
  <c r="J1946" i="1" s="1"/>
  <c r="G1946" i="1" a="1"/>
  <c r="G1946" i="1" s="1"/>
  <c r="Q1943" i="1" a="1"/>
  <c r="Q1943" i="1"/>
  <c r="P1945" i="1" a="1"/>
  <c r="P1945" i="1" s="1"/>
  <c r="K1945" i="1" a="1"/>
  <c r="K1945" i="1" s="1"/>
  <c r="M1944" i="1" a="1"/>
  <c r="M1944" i="1" s="1"/>
  <c r="H1943" i="1" a="1"/>
  <c r="H1943" i="1" s="1"/>
  <c r="P1943" i="1" a="1"/>
  <c r="P1943" i="1" s="1"/>
  <c r="G1943" i="1" a="1"/>
  <c r="G1943" i="1"/>
  <c r="H1946" i="1" a="1"/>
  <c r="H1946" i="1" s="1"/>
  <c r="K1944" i="1" a="1"/>
  <c r="K1944" i="1" s="1"/>
  <c r="N1945" i="1" a="1"/>
  <c r="N1945" i="1" s="1"/>
  <c r="H1945" i="1" a="1"/>
  <c r="H1945" i="1"/>
  <c r="N1944" i="1" a="1"/>
  <c r="N1944" i="1"/>
  <c r="I1943" i="1" a="1"/>
  <c r="I1943" i="1"/>
  <c r="N1942" i="1" a="1"/>
  <c r="N1942" i="1" s="1"/>
  <c r="J1942" i="1" a="1"/>
  <c r="J1942" i="1" s="1"/>
  <c r="I1942" i="1" a="1"/>
  <c r="I1942" i="1"/>
  <c r="L1944" i="1" a="1"/>
  <c r="L1944" i="1"/>
  <c r="K1947" i="1" a="1"/>
  <c r="K1947" i="1"/>
  <c r="J1947" i="1" a="1"/>
  <c r="J1947" i="1"/>
  <c r="I1947" i="1" a="1"/>
  <c r="I1947" i="1"/>
  <c r="L1943" i="1" a="1"/>
  <c r="L1943" i="1"/>
  <c r="G1947" i="1" a="1"/>
  <c r="G1947" i="1" s="1"/>
  <c r="O1946" i="1" a="1"/>
  <c r="O1946" i="1"/>
  <c r="F1945" i="1" a="1"/>
  <c r="F1945" i="1" s="1"/>
  <c r="G1944" i="1" a="1"/>
  <c r="G1944" i="1" s="1"/>
  <c r="F1944" i="1" a="1"/>
  <c r="F1944" i="1" s="1"/>
  <c r="M1942" i="1" a="1"/>
  <c r="M1942" i="1" s="1"/>
  <c r="N1946" i="1" a="1"/>
  <c r="N1946" i="1" s="1"/>
  <c r="M1943" i="1" a="1"/>
  <c r="M1943" i="1" s="1"/>
  <c r="Q1942" i="1" a="1"/>
  <c r="Q1942" i="1"/>
  <c r="L1942" i="1" a="1"/>
  <c r="L1942" i="1" s="1"/>
  <c r="K1943" i="1" a="1"/>
  <c r="K1943" i="1" s="1"/>
  <c r="H1947" i="1" a="1"/>
  <c r="H1947" i="1" s="1"/>
  <c r="F1946" i="1" a="1"/>
  <c r="F1946" i="1" s="1"/>
  <c r="F1947" i="1" a="1"/>
  <c r="F1947" i="1" s="1"/>
  <c r="M1946" i="1" a="1"/>
  <c r="M1946" i="1"/>
  <c r="P1944" i="1" a="1"/>
  <c r="P1944" i="1" s="1"/>
  <c r="K1942" i="1" a="1"/>
  <c r="K1942" i="1" s="1"/>
  <c r="H1942" i="1" a="1"/>
  <c r="H1942" i="1"/>
  <c r="J1937" i="1" a="1"/>
  <c r="J1937" i="1"/>
  <c r="K1941" i="1" a="1"/>
  <c r="K1941" i="1"/>
  <c r="I1941" i="1" a="1"/>
  <c r="I1941" i="1"/>
  <c r="M1939" i="1" a="1"/>
  <c r="M1939" i="1" s="1"/>
  <c r="N1940" i="1" a="1"/>
  <c r="N1940" i="1" s="1"/>
  <c r="G1938" i="1" a="1"/>
  <c r="G1938" i="1"/>
  <c r="Q1937" i="1" a="1"/>
  <c r="Q1937" i="1"/>
  <c r="P1940" i="1" a="1"/>
  <c r="P1940" i="1"/>
  <c r="O1940" i="1" a="1"/>
  <c r="O1940" i="1"/>
  <c r="H1940" i="1" a="1"/>
  <c r="H1940" i="1"/>
  <c r="F1940" i="1" a="1"/>
  <c r="F1940" i="1"/>
  <c r="I1938" i="1" a="1"/>
  <c r="I1938" i="1" s="1"/>
  <c r="O1937" i="1" a="1"/>
  <c r="O1937" i="1" s="1"/>
  <c r="P1937" i="1" a="1"/>
  <c r="P1937" i="1" s="1"/>
  <c r="O1939" i="1" a="1"/>
  <c r="O1939" i="1" s="1"/>
  <c r="J1938" i="1" a="1"/>
  <c r="J1938" i="1" s="1"/>
  <c r="F1939" i="1" a="1"/>
  <c r="F1939" i="1" s="1"/>
  <c r="F1937" i="1" a="1"/>
  <c r="F1937" i="1" s="1"/>
  <c r="J1941" i="1" a="1"/>
  <c r="J1941" i="1" s="1"/>
  <c r="H1941" i="1" a="1"/>
  <c r="H1941" i="1"/>
  <c r="G1941" i="1" a="1"/>
  <c r="G1941" i="1" s="1"/>
  <c r="K1939" i="1" a="1"/>
  <c r="K1939" i="1" s="1"/>
  <c r="F1941" i="1" a="1"/>
  <c r="F1941" i="1" s="1"/>
  <c r="Q1940" i="1" a="1"/>
  <c r="Q1940" i="1" s="1"/>
  <c r="G1940" i="1" a="1"/>
  <c r="G1940" i="1" s="1"/>
  <c r="L1937" i="1" a="1"/>
  <c r="L1937" i="1"/>
  <c r="M1940" i="1" a="1"/>
  <c r="M1940" i="1" s="1"/>
  <c r="H1938" i="1" a="1"/>
  <c r="H1938" i="1"/>
  <c r="I1939" i="1" a="1"/>
  <c r="I1939" i="1"/>
  <c r="H1937" i="1" a="1"/>
  <c r="H1937" i="1"/>
  <c r="M1938" i="1" a="1"/>
  <c r="M1938" i="1"/>
  <c r="G1937" i="1" a="1"/>
  <c r="G1937" i="1"/>
  <c r="L1940" i="1" a="1"/>
  <c r="L1940" i="1" s="1"/>
  <c r="O1938" i="1" a="1"/>
  <c r="O1938" i="1" s="1"/>
  <c r="P1936" i="1" a="1"/>
  <c r="P1936" i="1"/>
  <c r="I1940" i="1" a="1"/>
  <c r="I1940" i="1"/>
  <c r="J1939" i="1" a="1"/>
  <c r="J1939" i="1"/>
  <c r="H1939" i="1" a="1"/>
  <c r="H1939" i="1"/>
  <c r="I1937" i="1" a="1"/>
  <c r="I1937" i="1"/>
  <c r="L1938" i="1" a="1"/>
  <c r="L1938" i="1"/>
  <c r="F1938" i="1" a="1"/>
  <c r="F1938" i="1" s="1"/>
  <c r="P1939" i="1" a="1"/>
  <c r="P1939" i="1" s="1"/>
  <c r="Q1936" i="1" a="1"/>
  <c r="Q1936" i="1" s="1"/>
  <c r="G1939" i="1" a="1"/>
  <c r="G1939" i="1" s="1"/>
  <c r="N1938" i="1" a="1"/>
  <c r="N1938" i="1" s="1"/>
  <c r="M1937" i="1" a="1"/>
  <c r="M1937" i="1" s="1"/>
  <c r="K1938" i="1" a="1"/>
  <c r="K1938" i="1" s="1"/>
  <c r="N1937" i="1" a="1"/>
  <c r="N1937" i="1" s="1"/>
  <c r="J1940" i="1" a="1"/>
  <c r="J1940" i="1"/>
  <c r="G1942" i="1" a="1"/>
  <c r="G1942" i="1" s="1"/>
  <c r="F1942" i="1" a="1"/>
  <c r="F1942" i="1" s="1"/>
  <c r="Q1939" i="1" a="1"/>
  <c r="Q1939" i="1" s="1"/>
  <c r="Q1941" i="1" a="1"/>
  <c r="Q1941" i="1" s="1"/>
  <c r="K1940" i="1" a="1"/>
  <c r="K1940" i="1" s="1"/>
  <c r="P1941" i="1" a="1"/>
  <c r="P1941" i="1" s="1"/>
  <c r="Q1938" i="1" a="1"/>
  <c r="Q1938" i="1" s="1"/>
  <c r="K1937" i="1" a="1"/>
  <c r="K1937" i="1"/>
  <c r="O1941" i="1" a="1"/>
  <c r="O1941" i="1"/>
  <c r="N1941" i="1" a="1"/>
  <c r="N1941" i="1"/>
  <c r="M1941" i="1" a="1"/>
  <c r="M1941" i="1"/>
  <c r="L1941" i="1" a="1"/>
  <c r="L1941" i="1"/>
  <c r="N1939" i="1" a="1"/>
  <c r="N1939" i="1" s="1"/>
  <c r="L1939" i="1" a="1"/>
  <c r="L1939" i="1" s="1"/>
  <c r="P1938" i="1" a="1"/>
  <c r="P1938" i="1"/>
  <c r="M1935" i="1" a="1"/>
  <c r="M1935" i="1"/>
  <c r="F1934" i="1" a="1"/>
  <c r="F1934" i="1"/>
  <c r="I1932" i="1" a="1"/>
  <c r="I1932" i="1"/>
  <c r="H1932" i="1" a="1"/>
  <c r="H1932" i="1"/>
  <c r="N1935" i="1" a="1"/>
  <c r="N1935" i="1" s="1"/>
  <c r="N1932" i="1" a="1"/>
  <c r="N1932" i="1"/>
  <c r="L1935" i="1" a="1"/>
  <c r="L1935" i="1" s="1"/>
  <c r="F1932" i="1" a="1"/>
  <c r="F1932" i="1" s="1"/>
  <c r="K1935" i="1" a="1"/>
  <c r="K1935" i="1" s="1"/>
  <c r="Q1934" i="1" a="1"/>
  <c r="Q1934" i="1" s="1"/>
  <c r="H1934" i="1" a="1"/>
  <c r="H1934" i="1" s="1"/>
  <c r="G1934" i="1" a="1"/>
  <c r="G1934" i="1" s="1"/>
  <c r="L1932" i="1" a="1"/>
  <c r="L1932" i="1" s="1"/>
  <c r="L1931" i="1" a="1"/>
  <c r="L1931" i="1"/>
  <c r="P1933" i="1" a="1"/>
  <c r="P1933" i="1" s="1"/>
  <c r="G1933" i="1" a="1"/>
  <c r="G1933" i="1" s="1"/>
  <c r="G1932" i="1" a="1"/>
  <c r="G1932" i="1" s="1"/>
  <c r="O1931" i="1" a="1"/>
  <c r="O1931" i="1" s="1"/>
  <c r="N1931" i="1" a="1"/>
  <c r="N1931" i="1" s="1"/>
  <c r="P1935" i="1" a="1"/>
  <c r="P1935" i="1"/>
  <c r="P1932" i="1" a="1"/>
  <c r="P1932" i="1" s="1"/>
  <c r="O1934" i="1" a="1"/>
  <c r="O1934" i="1"/>
  <c r="O1935" i="1" a="1"/>
  <c r="O1935" i="1"/>
  <c r="Q1933" i="1" a="1"/>
  <c r="Q1933" i="1"/>
  <c r="Q1931" i="1" a="1"/>
  <c r="Q1931" i="1"/>
  <c r="J1935" i="1" a="1"/>
  <c r="J1935" i="1"/>
  <c r="M1934" i="1" a="1"/>
  <c r="M1934" i="1" s="1"/>
  <c r="O1932" i="1" a="1"/>
  <c r="O1932" i="1" s="1"/>
  <c r="M1931" i="1" a="1"/>
  <c r="M1931" i="1"/>
  <c r="M1933" i="1" a="1"/>
  <c r="M1933" i="1"/>
  <c r="O1936" i="1" a="1"/>
  <c r="O1936" i="1"/>
  <c r="P1931" i="1" a="1"/>
  <c r="P1931" i="1"/>
  <c r="N1936" i="1" a="1"/>
  <c r="N1936" i="1" s="1"/>
  <c r="G1935" i="1" a="1"/>
  <c r="G1935" i="1" s="1"/>
  <c r="J1933" i="1" a="1"/>
  <c r="J1933" i="1"/>
  <c r="I1934" i="1" a="1"/>
  <c r="I1934" i="1" s="1"/>
  <c r="Q1935" i="1" a="1"/>
  <c r="Q1935" i="1" s="1"/>
  <c r="H1935" i="1" a="1"/>
  <c r="H1935" i="1" s="1"/>
  <c r="L1934" i="1" a="1"/>
  <c r="L1934" i="1" s="1"/>
  <c r="K1934" i="1" a="1"/>
  <c r="K1934" i="1" s="1"/>
  <c r="N1934" i="1" a="1"/>
  <c r="N1934" i="1" s="1"/>
  <c r="F1935" i="1" a="1"/>
  <c r="F1935" i="1" s="1"/>
  <c r="K1933" i="1" a="1"/>
  <c r="K1933" i="1"/>
  <c r="Q1932" i="1" a="1"/>
  <c r="Q1932" i="1" s="1"/>
  <c r="K1932" i="1" a="1"/>
  <c r="K1932" i="1" s="1"/>
  <c r="M1932" i="1" a="1"/>
  <c r="M1932" i="1" s="1"/>
  <c r="J1934" i="1" a="1"/>
  <c r="J1934" i="1" s="1"/>
  <c r="I1933" i="1" a="1"/>
  <c r="I1933" i="1"/>
  <c r="M1936" i="1" a="1"/>
  <c r="M1936" i="1"/>
  <c r="J1936" i="1" a="1"/>
  <c r="J1936" i="1" s="1"/>
  <c r="H1933" i="1" a="1"/>
  <c r="H1933" i="1"/>
  <c r="I1935" i="1" a="1"/>
  <c r="I1935" i="1"/>
  <c r="P1934" i="1" a="1"/>
  <c r="P1934" i="1"/>
  <c r="L1933" i="1" a="1"/>
  <c r="L1933" i="1"/>
  <c r="J1932" i="1" a="1"/>
  <c r="J1932" i="1"/>
  <c r="L1936" i="1" a="1"/>
  <c r="L1936" i="1" s="1"/>
  <c r="F1936" i="1" a="1"/>
  <c r="F1936" i="1" s="1"/>
  <c r="O1933" i="1" a="1"/>
  <c r="O1933" i="1"/>
  <c r="F1933" i="1" a="1"/>
  <c r="F1933" i="1"/>
  <c r="K1936" i="1" a="1"/>
  <c r="K1936" i="1"/>
  <c r="N1933" i="1" a="1"/>
  <c r="N1933" i="1" s="1"/>
  <c r="I1936" i="1" a="1"/>
  <c r="I1936" i="1" s="1"/>
  <c r="H1936" i="1" a="1"/>
  <c r="H1936" i="1" s="1"/>
  <c r="G1936" i="1" a="1"/>
  <c r="G1936" i="1"/>
  <c r="Q1929" i="1" a="1"/>
  <c r="Q1929" i="1" s="1"/>
  <c r="O1930" i="1" a="1"/>
  <c r="O1930" i="1" s="1"/>
  <c r="N1930" i="1" a="1"/>
  <c r="N1930" i="1" s="1"/>
  <c r="J1928" i="1" a="1"/>
  <c r="J1928" i="1" s="1"/>
  <c r="Q1928" i="1" a="1"/>
  <c r="Q1928" i="1" s="1"/>
  <c r="M1928" i="1" a="1"/>
  <c r="M1928" i="1" s="1"/>
  <c r="N1927" i="1" a="1"/>
  <c r="N1927" i="1" s="1"/>
  <c r="F1930" i="1" a="1"/>
  <c r="F1930" i="1"/>
  <c r="I1927" i="1" a="1"/>
  <c r="I1927" i="1" s="1"/>
  <c r="J1929" i="1" a="1"/>
  <c r="J1929" i="1" s="1"/>
  <c r="O1926" i="1" a="1"/>
  <c r="O1926" i="1" s="1"/>
  <c r="O1928" i="1" a="1"/>
  <c r="O1928" i="1"/>
  <c r="O1927" i="1" a="1"/>
  <c r="O1927" i="1"/>
  <c r="P1927" i="1" a="1"/>
  <c r="P1927" i="1"/>
  <c r="P1928" i="1" a="1"/>
  <c r="P1928" i="1" s="1"/>
  <c r="Q1927" i="1" a="1"/>
  <c r="Q1927" i="1"/>
  <c r="I1929" i="1" a="1"/>
  <c r="I1929" i="1"/>
  <c r="I1928" i="1" a="1"/>
  <c r="I1928" i="1"/>
  <c r="G1927" i="1" a="1"/>
  <c r="G1927" i="1"/>
  <c r="M1926" i="1" a="1"/>
  <c r="M1926" i="1"/>
  <c r="M1930" i="1" a="1"/>
  <c r="M1930" i="1" s="1"/>
  <c r="H1930" i="1" a="1"/>
  <c r="H1930" i="1" s="1"/>
  <c r="K1928" i="1" a="1"/>
  <c r="K1928" i="1"/>
  <c r="O1929" i="1" a="1"/>
  <c r="O1929" i="1"/>
  <c r="K1926" i="1" a="1"/>
  <c r="K1926" i="1" s="1"/>
  <c r="G1930" i="1" a="1"/>
  <c r="G1930" i="1" s="1"/>
  <c r="H1929" i="1" a="1"/>
  <c r="H1929" i="1" s="1"/>
  <c r="N1928" i="1" a="1"/>
  <c r="N1928" i="1" s="1"/>
  <c r="H1928" i="1" a="1"/>
  <c r="H1928" i="1"/>
  <c r="M1927" i="1" a="1"/>
  <c r="M1927" i="1" s="1"/>
  <c r="H1926" i="1" a="1"/>
  <c r="H1926" i="1" s="1"/>
  <c r="K1929" i="1" a="1"/>
  <c r="K1929" i="1" s="1"/>
  <c r="I1931" i="1" a="1"/>
  <c r="I1931" i="1" s="1"/>
  <c r="I1930" i="1" a="1"/>
  <c r="I1930" i="1" s="1"/>
  <c r="L1929" i="1" a="1"/>
  <c r="L1929" i="1" s="1"/>
  <c r="L1928" i="1" a="1"/>
  <c r="L1928" i="1" s="1"/>
  <c r="Q1926" i="1" a="1"/>
  <c r="Q1926" i="1"/>
  <c r="G1929" i="1" a="1"/>
  <c r="G1929" i="1" s="1"/>
  <c r="I1926" i="1" a="1"/>
  <c r="I1926" i="1" s="1"/>
  <c r="F1927" i="1" a="1"/>
  <c r="F1927" i="1"/>
  <c r="F1929" i="1" a="1"/>
  <c r="F1929" i="1"/>
  <c r="F1931" i="1" a="1"/>
  <c r="F1931" i="1"/>
  <c r="H1927" i="1" a="1"/>
  <c r="H1927" i="1"/>
  <c r="P1926" i="1" a="1"/>
  <c r="P1926" i="1" s="1"/>
  <c r="L1927" i="1" a="1"/>
  <c r="L1927" i="1"/>
  <c r="G1931" i="1" a="1"/>
  <c r="G1931" i="1"/>
  <c r="J1931" i="1" a="1"/>
  <c r="J1931" i="1"/>
  <c r="H1931" i="1" a="1"/>
  <c r="H1931" i="1"/>
  <c r="J1927" i="1" a="1"/>
  <c r="J1927" i="1"/>
  <c r="F1928" i="1" a="1"/>
  <c r="F1928" i="1" s="1"/>
  <c r="K1931" i="1" a="1"/>
  <c r="K1931" i="1" s="1"/>
  <c r="L1930" i="1" a="1"/>
  <c r="L1930" i="1"/>
  <c r="K1927" i="1" a="1"/>
  <c r="K1927" i="1" s="1"/>
  <c r="L1926" i="1" a="1"/>
  <c r="L1926" i="1" s="1"/>
  <c r="K1930" i="1" a="1"/>
  <c r="K1930" i="1" s="1"/>
  <c r="P1929" i="1" a="1"/>
  <c r="P1929" i="1" s="1"/>
  <c r="N1929" i="1" a="1"/>
  <c r="N1929" i="1" s="1"/>
  <c r="G1928" i="1" a="1"/>
  <c r="G1928" i="1"/>
  <c r="N1926" i="1" a="1"/>
  <c r="N1926" i="1" s="1"/>
  <c r="Q1930" i="1" a="1"/>
  <c r="Q1930" i="1" s="1"/>
  <c r="P1930" i="1" a="1"/>
  <c r="P1930" i="1" s="1"/>
  <c r="J1926" i="1" a="1"/>
  <c r="J1926" i="1" s="1"/>
  <c r="M1929" i="1" a="1"/>
  <c r="M1929" i="1" s="1"/>
  <c r="J1930" i="1" a="1"/>
  <c r="J1930" i="1" s="1"/>
  <c r="M1925" i="1" a="1"/>
  <c r="M1925" i="1" s="1"/>
  <c r="K1925" i="1" a="1"/>
  <c r="K1925" i="1"/>
  <c r="H1924" i="1" a="1"/>
  <c r="H1924" i="1" s="1"/>
  <c r="N1923" i="1" a="1"/>
  <c r="N1923" i="1"/>
  <c r="N1922" i="1" a="1"/>
  <c r="N1922" i="1"/>
  <c r="M1922" i="1" a="1"/>
  <c r="M1922" i="1"/>
  <c r="H1925" i="1" a="1"/>
  <c r="H1925" i="1"/>
  <c r="G1925" i="1" a="1"/>
  <c r="G1925" i="1"/>
  <c r="G1923" i="1" a="1"/>
  <c r="G1923" i="1" s="1"/>
  <c r="K1924" i="1" a="1"/>
  <c r="K1924" i="1"/>
  <c r="P1921" i="1" a="1"/>
  <c r="P1921" i="1"/>
  <c r="J1924" i="1" a="1"/>
  <c r="J1924" i="1"/>
  <c r="P1924" i="1" a="1"/>
  <c r="P1924" i="1"/>
  <c r="P1922" i="1" a="1"/>
  <c r="P1922" i="1"/>
  <c r="H1923" i="1" a="1"/>
  <c r="H1923" i="1"/>
  <c r="K1923" i="1" a="1"/>
  <c r="K1923" i="1" s="1"/>
  <c r="L1921" i="1" a="1"/>
  <c r="L1921" i="1" s="1"/>
  <c r="F1921" i="1" a="1"/>
  <c r="F1921" i="1" s="1"/>
  <c r="G1924" i="1" a="1"/>
  <c r="G1924" i="1" s="1"/>
  <c r="J1921" i="1" a="1"/>
  <c r="J1921" i="1" s="1"/>
  <c r="J1922" i="1" a="1"/>
  <c r="J1922" i="1" s="1"/>
  <c r="Q1921" i="1" a="1"/>
  <c r="Q1921" i="1" s="1"/>
  <c r="F1925" i="1" a="1"/>
  <c r="F1925" i="1"/>
  <c r="O1924" i="1" a="1"/>
  <c r="O1924" i="1" s="1"/>
  <c r="P1925" i="1" a="1"/>
  <c r="P1925" i="1" s="1"/>
  <c r="O1925" i="1" a="1"/>
  <c r="O1925" i="1" s="1"/>
  <c r="L1925" i="1" a="1"/>
  <c r="L1925" i="1" s="1"/>
  <c r="J1925" i="1" a="1"/>
  <c r="J1925" i="1" s="1"/>
  <c r="H1922" i="1" a="1"/>
  <c r="H1922" i="1" s="1"/>
  <c r="H1921" i="1" a="1"/>
  <c r="H1921" i="1" s="1"/>
  <c r="N1924" i="1" a="1"/>
  <c r="N1924" i="1" s="1"/>
  <c r="G1921" i="1" a="1"/>
  <c r="G1921" i="1"/>
  <c r="M1924" i="1" a="1"/>
  <c r="M1924" i="1"/>
  <c r="M1923" i="1" a="1"/>
  <c r="M1923" i="1"/>
  <c r="O1921" i="1" a="1"/>
  <c r="O1921" i="1"/>
  <c r="Q1923" i="1" a="1"/>
  <c r="Q1923" i="1"/>
  <c r="L1922" i="1" a="1"/>
  <c r="L1922" i="1"/>
  <c r="G1922" i="1" a="1"/>
  <c r="G1922" i="1" s="1"/>
  <c r="I1921" i="1" a="1"/>
  <c r="I1921" i="1"/>
  <c r="F1922" i="1" a="1"/>
  <c r="F1922" i="1"/>
  <c r="I1922" i="1" a="1"/>
  <c r="I1922" i="1"/>
  <c r="F1924" i="1" a="1"/>
  <c r="F1924" i="1"/>
  <c r="F1923" i="1" a="1"/>
  <c r="F1923" i="1"/>
  <c r="Q1922" i="1" a="1"/>
  <c r="Q1922" i="1"/>
  <c r="I1923" i="1" a="1"/>
  <c r="I1923" i="1" s="1"/>
  <c r="P1920" i="1" a="1"/>
  <c r="P1920" i="1"/>
  <c r="G1926" i="1" a="1"/>
  <c r="G1926" i="1" s="1"/>
  <c r="O1923" i="1" a="1"/>
  <c r="O1923" i="1" s="1"/>
  <c r="I1925" i="1" a="1"/>
  <c r="I1925" i="1" s="1"/>
  <c r="N1921" i="1" a="1"/>
  <c r="N1921" i="1" s="1"/>
  <c r="M1921" i="1" a="1"/>
  <c r="M1921" i="1" s="1"/>
  <c r="K1922" i="1" a="1"/>
  <c r="K1922" i="1"/>
  <c r="I1924" i="1" a="1"/>
  <c r="I1924" i="1" s="1"/>
  <c r="P1923" i="1" a="1"/>
  <c r="P1923" i="1" s="1"/>
  <c r="J1923" i="1" a="1"/>
  <c r="J1923" i="1" s="1"/>
  <c r="O1922" i="1" a="1"/>
  <c r="O1922" i="1" s="1"/>
  <c r="Q1920" i="1" a="1"/>
  <c r="Q1920" i="1" s="1"/>
  <c r="L1924" i="1" a="1"/>
  <c r="L1924" i="1" s="1"/>
  <c r="K1921" i="1" a="1"/>
  <c r="K1921" i="1" s="1"/>
  <c r="F1926" i="1" a="1"/>
  <c r="F1926" i="1" s="1"/>
  <c r="Q1925" i="1" a="1"/>
  <c r="Q1925" i="1"/>
  <c r="L1923" i="1" a="1"/>
  <c r="L1923" i="1"/>
  <c r="N1925" i="1" a="1"/>
  <c r="N1925" i="1"/>
  <c r="Q1924" i="1" a="1"/>
  <c r="Q1924" i="1"/>
  <c r="P1919" i="1" a="1"/>
  <c r="P1919" i="1"/>
  <c r="O1919" i="1" a="1"/>
  <c r="O1919" i="1"/>
  <c r="G1919" i="1" a="1"/>
  <c r="G1919" i="1" s="1"/>
  <c r="O1916" i="1" a="1"/>
  <c r="O1916" i="1"/>
  <c r="P1918" i="1" a="1"/>
  <c r="P1918" i="1"/>
  <c r="K1918" i="1" a="1"/>
  <c r="K1918" i="1"/>
  <c r="F1917" i="1" a="1"/>
  <c r="F1917" i="1"/>
  <c r="I1916" i="1" a="1"/>
  <c r="I1916" i="1"/>
  <c r="G1918" i="1" a="1"/>
  <c r="G1918" i="1" s="1"/>
  <c r="G1917" i="1" a="1"/>
  <c r="G1917" i="1" s="1"/>
  <c r="F1920" i="1" a="1"/>
  <c r="F1920" i="1"/>
  <c r="F1919" i="1" a="1"/>
  <c r="F1919" i="1" s="1"/>
  <c r="Q1919" i="1" a="1"/>
  <c r="Q1919" i="1" s="1"/>
  <c r="H1917" i="1" a="1"/>
  <c r="H1917" i="1" s="1"/>
  <c r="L1919" i="1" a="1"/>
  <c r="L1919" i="1" s="1"/>
  <c r="Q1918" i="1" a="1"/>
  <c r="Q1918" i="1" s="1"/>
  <c r="L1918" i="1" a="1"/>
  <c r="L1918" i="1"/>
  <c r="H1916" i="1" a="1"/>
  <c r="H1916" i="1" s="1"/>
  <c r="N1919" i="1" a="1"/>
  <c r="N1919" i="1" s="1"/>
  <c r="N1916" i="1" a="1"/>
  <c r="N1916" i="1" s="1"/>
  <c r="N1917" i="1" a="1"/>
  <c r="N1917" i="1" s="1"/>
  <c r="H1919" i="1" a="1"/>
  <c r="H1919" i="1" s="1"/>
  <c r="O1915" i="1" a="1"/>
  <c r="O1915" i="1" s="1"/>
  <c r="Q1916" i="1" a="1"/>
  <c r="Q1916" i="1"/>
  <c r="P1917" i="1" a="1"/>
  <c r="P1917" i="1" s="1"/>
  <c r="K1916" i="1" a="1"/>
  <c r="K1916" i="1" s="1"/>
  <c r="M1917" i="1" a="1"/>
  <c r="M1917" i="1"/>
  <c r="L1917" i="1" a="1"/>
  <c r="L1917" i="1"/>
  <c r="M1916" i="1" a="1"/>
  <c r="M1916" i="1"/>
  <c r="O1918" i="1" a="1"/>
  <c r="O1918" i="1"/>
  <c r="J1918" i="1" a="1"/>
  <c r="J1918" i="1"/>
  <c r="J1916" i="1" a="1"/>
  <c r="J1916" i="1" s="1"/>
  <c r="J1919" i="1" a="1"/>
  <c r="J1919" i="1"/>
  <c r="N1918" i="1" a="1"/>
  <c r="N1918" i="1"/>
  <c r="I1918" i="1" a="1"/>
  <c r="I1918" i="1"/>
  <c r="P1915" i="1" a="1"/>
  <c r="P1915" i="1"/>
  <c r="M1918" i="1" a="1"/>
  <c r="M1918" i="1" s="1"/>
  <c r="H1918" i="1" a="1"/>
  <c r="H1918" i="1" s="1"/>
  <c r="K1917" i="1" a="1"/>
  <c r="K1917" i="1" s="1"/>
  <c r="J1917" i="1" a="1"/>
  <c r="J1917" i="1"/>
  <c r="N1915" i="1" a="1"/>
  <c r="N1915" i="1" s="1"/>
  <c r="G1920" i="1" a="1"/>
  <c r="G1920" i="1" s="1"/>
  <c r="K1919" i="1" a="1"/>
  <c r="K1919" i="1" s="1"/>
  <c r="O1917" i="1" a="1"/>
  <c r="O1917" i="1" s="1"/>
  <c r="I1917" i="1" a="1"/>
  <c r="I1917" i="1" s="1"/>
  <c r="F1916" i="1" a="1"/>
  <c r="F1916" i="1" s="1"/>
  <c r="M1915" i="1" a="1"/>
  <c r="M1915" i="1" s="1"/>
  <c r="O1920" i="1" a="1"/>
  <c r="O1920" i="1" s="1"/>
  <c r="L1915" i="1" a="1"/>
  <c r="L1915" i="1" s="1"/>
  <c r="Q1917" i="1" a="1"/>
  <c r="Q1917" i="1" s="1"/>
  <c r="F1918" i="1" a="1"/>
  <c r="F1918" i="1" s="1"/>
  <c r="P1916" i="1" a="1"/>
  <c r="P1916" i="1"/>
  <c r="N1920" i="1" a="1"/>
  <c r="N1920" i="1"/>
  <c r="M1920" i="1" a="1"/>
  <c r="M1920" i="1" s="1"/>
  <c r="I1919" i="1" a="1"/>
  <c r="I1919" i="1" s="1"/>
  <c r="L1920" i="1" a="1"/>
  <c r="L1920" i="1"/>
  <c r="G1916" i="1" a="1"/>
  <c r="G1916" i="1"/>
  <c r="K1920" i="1" a="1"/>
  <c r="K1920" i="1"/>
  <c r="L1916" i="1" a="1"/>
  <c r="L1916" i="1"/>
  <c r="J1920" i="1" a="1"/>
  <c r="J1920" i="1" s="1"/>
  <c r="I1920" i="1" a="1"/>
  <c r="I1920" i="1" s="1"/>
  <c r="H1920" i="1" a="1"/>
  <c r="H1920" i="1"/>
  <c r="M1919" i="1" a="1"/>
  <c r="M1919" i="1"/>
  <c r="Q1915" i="1" a="1"/>
  <c r="Q1915" i="1"/>
  <c r="K1911" i="1" a="1"/>
  <c r="K1911" i="1" s="1"/>
  <c r="K1915" i="1" a="1"/>
  <c r="K1915" i="1" s="1"/>
  <c r="J1915" i="1" a="1"/>
  <c r="J1915" i="1" s="1"/>
  <c r="I1915" i="1" a="1"/>
  <c r="I1915" i="1" s="1"/>
  <c r="H1915" i="1" a="1"/>
  <c r="H1915" i="1"/>
  <c r="H1914" i="1" a="1"/>
  <c r="H1914" i="1" s="1"/>
  <c r="P1913" i="1" a="1"/>
  <c r="P1913" i="1" s="1"/>
  <c r="J1910" i="1" a="1"/>
  <c r="J1910" i="1" s="1"/>
  <c r="H1910" i="1" a="1"/>
  <c r="H1910" i="1" s="1"/>
  <c r="I1912" i="1" a="1"/>
  <c r="I1912" i="1" s="1"/>
  <c r="G1912" i="1" a="1"/>
  <c r="G1912" i="1"/>
  <c r="G1915" i="1" a="1"/>
  <c r="G1915" i="1" s="1"/>
  <c r="O1912" i="1" a="1"/>
  <c r="O1912" i="1" s="1"/>
  <c r="I1914" i="1" a="1"/>
  <c r="I1914" i="1" s="1"/>
  <c r="Q1912" i="1" a="1"/>
  <c r="Q1912" i="1" s="1"/>
  <c r="L1913" i="1" a="1"/>
  <c r="L1913" i="1"/>
  <c r="Q1910" i="1" a="1"/>
  <c r="Q1910" i="1"/>
  <c r="M1911" i="1" a="1"/>
  <c r="M1911" i="1"/>
  <c r="F1915" i="1" a="1"/>
  <c r="F1915" i="1" s="1"/>
  <c r="P1914" i="1" a="1"/>
  <c r="P1914" i="1" s="1"/>
  <c r="P1912" i="1" a="1"/>
  <c r="P1912" i="1"/>
  <c r="J1913" i="1" a="1"/>
  <c r="J1913" i="1"/>
  <c r="M1912" i="1" a="1"/>
  <c r="M1912" i="1"/>
  <c r="I1911" i="1" a="1"/>
  <c r="I1911" i="1"/>
  <c r="O1910" i="1" a="1"/>
  <c r="O1910" i="1"/>
  <c r="Q1914" i="1" a="1"/>
  <c r="Q1914" i="1" s="1"/>
  <c r="O1914" i="1" a="1"/>
  <c r="O1914" i="1"/>
  <c r="M1914" i="1" a="1"/>
  <c r="M1914" i="1"/>
  <c r="O1911" i="1" a="1"/>
  <c r="O1911" i="1" s="1"/>
  <c r="L1914" i="1" a="1"/>
  <c r="L1914" i="1" s="1"/>
  <c r="F1914" i="1" a="1"/>
  <c r="F1914" i="1" s="1"/>
  <c r="Q1913" i="1" a="1"/>
  <c r="Q1913" i="1" s="1"/>
  <c r="O1913" i="1" a="1"/>
  <c r="O1913" i="1" s="1"/>
  <c r="K1913" i="1" a="1"/>
  <c r="K1913" i="1"/>
  <c r="P1910" i="1" a="1"/>
  <c r="P1910" i="1" s="1"/>
  <c r="L1910" i="1" a="1"/>
  <c r="L1910" i="1" s="1"/>
  <c r="K1912" i="1" a="1"/>
  <c r="K1912" i="1" s="1"/>
  <c r="Q1911" i="1" a="1"/>
  <c r="Q1911" i="1" s="1"/>
  <c r="K1910" i="1" a="1"/>
  <c r="K1910" i="1"/>
  <c r="N1913" i="1" a="1"/>
  <c r="N1913" i="1" s="1"/>
  <c r="H1913" i="1" a="1"/>
  <c r="H1913" i="1" s="1"/>
  <c r="F1913" i="1" a="1"/>
  <c r="F1913" i="1" s="1"/>
  <c r="J1912" i="1" a="1"/>
  <c r="J1912" i="1" s="1"/>
  <c r="L1911" i="1" a="1"/>
  <c r="L1911" i="1"/>
  <c r="H1912" i="1" a="1"/>
  <c r="H1912" i="1"/>
  <c r="M1910" i="1" a="1"/>
  <c r="M1910" i="1"/>
  <c r="M1913" i="1" a="1"/>
  <c r="M1913" i="1"/>
  <c r="G1913" i="1" a="1"/>
  <c r="G1913" i="1" s="1"/>
  <c r="P1911" i="1" a="1"/>
  <c r="P1911" i="1"/>
  <c r="J1914" i="1" a="1"/>
  <c r="J1914" i="1"/>
  <c r="I1913" i="1" a="1"/>
  <c r="I1913" i="1"/>
  <c r="N1910" i="1" a="1"/>
  <c r="N1910" i="1"/>
  <c r="G1914" i="1" a="1"/>
  <c r="G1914" i="1"/>
  <c r="N1912" i="1" a="1"/>
  <c r="N1912" i="1"/>
  <c r="J1911" i="1" a="1"/>
  <c r="J1911" i="1"/>
  <c r="I1910" i="1" a="1"/>
  <c r="I1910" i="1"/>
  <c r="F1911" i="1" a="1"/>
  <c r="F1911" i="1" s="1"/>
  <c r="H1911" i="1" a="1"/>
  <c r="H1911" i="1" s="1"/>
  <c r="N1914" i="1" a="1"/>
  <c r="N1914" i="1" s="1"/>
  <c r="K1914" i="1" a="1"/>
  <c r="K1914" i="1" s="1"/>
  <c r="L1912" i="1" a="1"/>
  <c r="L1912" i="1" s="1"/>
  <c r="F1912" i="1" a="1"/>
  <c r="F1912" i="1" s="1"/>
  <c r="G1911" i="1" a="1"/>
  <c r="G1911" i="1"/>
  <c r="N1911" i="1" a="1"/>
  <c r="N1911" i="1" s="1"/>
  <c r="P1906" i="1" a="1"/>
  <c r="P1906" i="1" s="1"/>
  <c r="P1907" i="1" a="1"/>
  <c r="P1907" i="1" s="1"/>
  <c r="M1907" i="1" a="1"/>
  <c r="M1907" i="1" s="1"/>
  <c r="H1907" i="1" a="1"/>
  <c r="H1907" i="1" s="1"/>
  <c r="G1910" i="1" a="1"/>
  <c r="G1910" i="1" s="1"/>
  <c r="F1910" i="1" a="1"/>
  <c r="F1910" i="1" s="1"/>
  <c r="N1906" i="1" a="1"/>
  <c r="N1906" i="1" s="1"/>
  <c r="Q1909" i="1" a="1"/>
  <c r="Q1909" i="1"/>
  <c r="N1909" i="1" a="1"/>
  <c r="N1909" i="1"/>
  <c r="P1909" i="1" a="1"/>
  <c r="P1909" i="1"/>
  <c r="L1909" i="1" a="1"/>
  <c r="L1909" i="1"/>
  <c r="O1907" i="1" a="1"/>
  <c r="O1907" i="1"/>
  <c r="G1905" i="1" a="1"/>
  <c r="G1905" i="1" s="1"/>
  <c r="Q1905" i="1" a="1"/>
  <c r="Q1905" i="1" s="1"/>
  <c r="I1909" i="1" a="1"/>
  <c r="I1909" i="1"/>
  <c r="L1908" i="1" a="1"/>
  <c r="L1908" i="1"/>
  <c r="K1905" i="1" a="1"/>
  <c r="K1905" i="1"/>
  <c r="K1907" i="1" a="1"/>
  <c r="K1907" i="1"/>
  <c r="L1907" i="1" a="1"/>
  <c r="L1907" i="1"/>
  <c r="I1905" i="1" a="1"/>
  <c r="I1905" i="1"/>
  <c r="G1908" i="1" a="1"/>
  <c r="G1908" i="1" s="1"/>
  <c r="F1907" i="1" a="1"/>
  <c r="F1907" i="1" s="1"/>
  <c r="Q1907" i="1" a="1"/>
  <c r="Q1907" i="1" s="1"/>
  <c r="G1906" i="1" a="1"/>
  <c r="G1906" i="1" s="1"/>
  <c r="P1905" i="1" a="1"/>
  <c r="P1905" i="1" s="1"/>
  <c r="F1905" i="1" a="1"/>
  <c r="F1905" i="1" s="1"/>
  <c r="F1906" i="1" a="1"/>
  <c r="F1906" i="1" s="1"/>
  <c r="G1909" i="1" a="1"/>
  <c r="G1909" i="1"/>
  <c r="J1908" i="1" a="1"/>
  <c r="J1908" i="1" s="1"/>
  <c r="M1909" i="1" a="1"/>
  <c r="M1909" i="1"/>
  <c r="M1906" i="1" a="1"/>
  <c r="M1906" i="1" s="1"/>
  <c r="O1909" i="1" a="1"/>
  <c r="O1909" i="1" s="1"/>
  <c r="P1908" i="1" a="1"/>
  <c r="P1908" i="1"/>
  <c r="Q1904" i="1" a="1"/>
  <c r="Q1904" i="1"/>
  <c r="H1908" i="1" a="1"/>
  <c r="H1908" i="1" s="1"/>
  <c r="H1906" i="1" a="1"/>
  <c r="H1906" i="1"/>
  <c r="H1909" i="1" a="1"/>
  <c r="H1909" i="1"/>
  <c r="F1909" i="1" a="1"/>
  <c r="F1909" i="1"/>
  <c r="K1908" i="1" a="1"/>
  <c r="K1908" i="1"/>
  <c r="F1908" i="1" a="1"/>
  <c r="F1908" i="1"/>
  <c r="K1909" i="1" a="1"/>
  <c r="K1909" i="1"/>
  <c r="J1909" i="1" a="1"/>
  <c r="J1909" i="1" s="1"/>
  <c r="Q1906" i="1" a="1"/>
  <c r="Q1906" i="1" s="1"/>
  <c r="L1906" i="1" a="1"/>
  <c r="L1906" i="1"/>
  <c r="I1906" i="1" a="1"/>
  <c r="I1906" i="1"/>
  <c r="Q1908" i="1" a="1"/>
  <c r="Q1908" i="1"/>
  <c r="N1907" i="1" a="1"/>
  <c r="N1907" i="1"/>
  <c r="J1906" i="1" a="1"/>
  <c r="J1906" i="1"/>
  <c r="M1905" i="1" a="1"/>
  <c r="M1905" i="1" s="1"/>
  <c r="L1905" i="1" a="1"/>
  <c r="L1905" i="1" s="1"/>
  <c r="J1907" i="1" a="1"/>
  <c r="J1907" i="1" s="1"/>
  <c r="K1906" i="1" a="1"/>
  <c r="K1906" i="1" s="1"/>
  <c r="H1905" i="1" a="1"/>
  <c r="H1905" i="1" s="1"/>
  <c r="O1905" i="1" a="1"/>
  <c r="O1905" i="1" s="1"/>
  <c r="O1908" i="1" a="1"/>
  <c r="O1908" i="1"/>
  <c r="N1908" i="1" a="1"/>
  <c r="N1908" i="1" s="1"/>
  <c r="O1906" i="1" a="1"/>
  <c r="O1906" i="1"/>
  <c r="J1905" i="1" a="1"/>
  <c r="J1905" i="1"/>
  <c r="M1908" i="1" a="1"/>
  <c r="M1908" i="1"/>
  <c r="I1908" i="1" a="1"/>
  <c r="I1908" i="1" s="1"/>
  <c r="I1907" i="1" a="1"/>
  <c r="I1907" i="1" s="1"/>
  <c r="N1905" i="1" a="1"/>
  <c r="N1905" i="1"/>
  <c r="G1907" i="1" a="1"/>
  <c r="G1907" i="1" s="1"/>
  <c r="I1904" i="1" a="1"/>
  <c r="I1904" i="1"/>
  <c r="P1904" i="1" a="1"/>
  <c r="P1904" i="1"/>
  <c r="L1904" i="1" a="1"/>
  <c r="L1904" i="1"/>
  <c r="O1904" i="1" a="1"/>
  <c r="O1904" i="1"/>
  <c r="N1904" i="1" a="1"/>
  <c r="N1904" i="1"/>
  <c r="M1904" i="1" a="1"/>
  <c r="M1904" i="1"/>
  <c r="K1904" i="1" a="1"/>
  <c r="K1904" i="1"/>
  <c r="J1904" i="1" a="1"/>
  <c r="J1904" i="1" s="1"/>
  <c r="H1904" i="1" a="1"/>
  <c r="H1904" i="1"/>
  <c r="G1904" i="1" a="1"/>
  <c r="G1904" i="1"/>
  <c r="F1904" i="1" a="1"/>
  <c r="F1904" i="1"/>
  <c r="I2127" i="1" a="1"/>
  <c r="I2127" i="1"/>
  <c r="I2125" i="1" a="1"/>
  <c r="I2125" i="1"/>
  <c r="P2127" i="1" a="1"/>
  <c r="P2127" i="1" s="1"/>
  <c r="F2127" i="1" a="1"/>
  <c r="F2127" i="1" s="1"/>
  <c r="G2127" i="1" a="1"/>
  <c r="G2127" i="1" s="1"/>
  <c r="G2126" i="1" a="1"/>
  <c r="G2126" i="1" s="1"/>
  <c r="F2126" i="1" a="1"/>
  <c r="F2126" i="1" s="1"/>
  <c r="N2129" i="1" a="1"/>
  <c r="N2129" i="1" s="1"/>
  <c r="M2129" i="1" a="1"/>
  <c r="M2129" i="1" s="1"/>
  <c r="L2129" i="1" a="1"/>
  <c r="L2129" i="1" s="1"/>
  <c r="I2129" i="1" a="1"/>
  <c r="I2129" i="1" s="1"/>
  <c r="K2125" i="1" a="1"/>
  <c r="K2125" i="1"/>
  <c r="O2127" i="1" a="1"/>
  <c r="O2127" i="1" s="1"/>
  <c r="H2129" i="1" a="1"/>
  <c r="H2129" i="1"/>
  <c r="Q2128" i="1" a="1"/>
  <c r="Q2128" i="1" s="1"/>
  <c r="P2128" i="1" a="1"/>
  <c r="P2128" i="1" s="1"/>
  <c r="M2125" i="1" a="1"/>
  <c r="M2125" i="1" s="1"/>
  <c r="Q2127" i="1" a="1"/>
  <c r="Q2127" i="1"/>
  <c r="J2129" i="1" a="1"/>
  <c r="J2129" i="1"/>
  <c r="K2126" i="1" a="1"/>
  <c r="K2126" i="1"/>
  <c r="J2128" i="1" a="1"/>
  <c r="J2128" i="1"/>
  <c r="N2127" i="1" a="1"/>
  <c r="N2127" i="1"/>
  <c r="J2127" i="1" a="1"/>
  <c r="J2127" i="1"/>
  <c r="Q2124" i="1" a="1"/>
  <c r="Q2124" i="1"/>
  <c r="K2129" i="1" a="1"/>
  <c r="K2129" i="1"/>
  <c r="L2126" i="1" a="1"/>
  <c r="L2126" i="1" s="1"/>
  <c r="K2124" i="1" a="1"/>
  <c r="K2124" i="1"/>
  <c r="G2129" i="1" a="1"/>
  <c r="G2129" i="1"/>
  <c r="F2129" i="1" a="1"/>
  <c r="F2129" i="1" s="1"/>
  <c r="G2125" i="1" a="1"/>
  <c r="G2125" i="1"/>
  <c r="O2128" i="1" a="1"/>
  <c r="O2128" i="1" s="1"/>
  <c r="N2128" i="1" a="1"/>
  <c r="N2128" i="1" s="1"/>
  <c r="M2128" i="1" a="1"/>
  <c r="M2128" i="1"/>
  <c r="L2128" i="1" a="1"/>
  <c r="L2128" i="1" s="1"/>
  <c r="I2126" i="1" a="1"/>
  <c r="I2126" i="1" s="1"/>
  <c r="F2128" i="1" a="1"/>
  <c r="F2128" i="1" s="1"/>
  <c r="K2127" i="1" a="1"/>
  <c r="K2127" i="1" s="1"/>
  <c r="H2125" i="1" a="1"/>
  <c r="H2125" i="1" s="1"/>
  <c r="Q2126" i="1" a="1"/>
  <c r="Q2126" i="1" s="1"/>
  <c r="O2126" i="1" a="1"/>
  <c r="O2126" i="1" s="1"/>
  <c r="N2126" i="1" a="1"/>
  <c r="N2126" i="1"/>
  <c r="P2125" i="1" a="1"/>
  <c r="P2125" i="1" s="1"/>
  <c r="J2125" i="1" a="1"/>
  <c r="J2125" i="1"/>
  <c r="Q2125" i="1" a="1"/>
  <c r="Q2125" i="1" s="1"/>
  <c r="N2124" i="1" a="1"/>
  <c r="N2124" i="1" s="1"/>
  <c r="L2124" i="1" a="1"/>
  <c r="L2124" i="1"/>
  <c r="P2126" i="1" a="1"/>
  <c r="P2126" i="1" s="1"/>
  <c r="M2124" i="1" a="1"/>
  <c r="M2124" i="1"/>
  <c r="K2128" i="1" a="1"/>
  <c r="K2128" i="1"/>
  <c r="I2128" i="1" a="1"/>
  <c r="I2128" i="1"/>
  <c r="G2128" i="1" a="1"/>
  <c r="G2128" i="1"/>
  <c r="F2125" i="1" a="1"/>
  <c r="F2125" i="1"/>
  <c r="L2127" i="1" a="1"/>
  <c r="L2127" i="1"/>
  <c r="M2127" i="1" a="1"/>
  <c r="M2127" i="1"/>
  <c r="H2127" i="1" a="1"/>
  <c r="H2127" i="1" s="1"/>
  <c r="M2126" i="1" a="1"/>
  <c r="M2126" i="1" s="1"/>
  <c r="N2125" i="1" a="1"/>
  <c r="N2125" i="1"/>
  <c r="H2126" i="1" a="1"/>
  <c r="H2126" i="1"/>
  <c r="O2124" i="1" a="1"/>
  <c r="O2124" i="1" s="1"/>
  <c r="O2125" i="1" a="1"/>
  <c r="O2125" i="1" s="1"/>
  <c r="L2125" i="1" a="1"/>
  <c r="L2125" i="1" s="1"/>
  <c r="H2128" i="1" a="1"/>
  <c r="H2128" i="1"/>
  <c r="J2126" i="1" a="1"/>
  <c r="J2126" i="1" s="1"/>
  <c r="P2124" i="1" a="1"/>
  <c r="P2124" i="1" s="1"/>
  <c r="I2232" i="1" a="1"/>
  <c r="I2232" i="1" s="1"/>
  <c r="Q2229" i="1" a="1"/>
  <c r="Q2229" i="1" s="1"/>
  <c r="Q2230" i="1" s="1" a="1"/>
  <c r="Q2230" i="1" s="1"/>
  <c r="F2229" i="1" a="1"/>
  <c r="F2229" i="1" s="1"/>
  <c r="H2232" i="1" a="1"/>
  <c r="H2232" i="1"/>
  <c r="G2232" i="1" a="1"/>
  <c r="G2232" i="1" s="1"/>
  <c r="Q2231" i="1" a="1"/>
  <c r="Q2231" i="1" s="1"/>
  <c r="K2231" i="1" a="1"/>
  <c r="K2231" i="1"/>
  <c r="J2231" i="1" a="1"/>
  <c r="J2231" i="1"/>
  <c r="K2229" i="1" a="1"/>
  <c r="K2229" i="1" s="1"/>
  <c r="K2230" i="1" s="1" a="1"/>
  <c r="K2230" i="1" s="1"/>
  <c r="H2231" i="1" a="1"/>
  <c r="H2231" i="1" s="1"/>
  <c r="M2229" i="1" a="1"/>
  <c r="M2229" i="1"/>
  <c r="N2231" i="1" a="1"/>
  <c r="N2231" i="1"/>
  <c r="F2231" i="1" a="1"/>
  <c r="F2231" i="1" s="1"/>
  <c r="P2230" i="1" a="1"/>
  <c r="P2230" i="1"/>
  <c r="M2230" i="1" a="1"/>
  <c r="M2230" i="1" s="1"/>
  <c r="P2229" i="1" a="1"/>
  <c r="P2229" i="1" s="1"/>
  <c r="J2229" i="1" a="1"/>
  <c r="J2229" i="1" s="1"/>
  <c r="J2230" i="1" s="1" a="1"/>
  <c r="J2230" i="1" s="1"/>
  <c r="I2229" i="1" a="1"/>
  <c r="I2229" i="1"/>
  <c r="I2230" i="1" s="1" a="1"/>
  <c r="I2230" i="1" s="1"/>
  <c r="P2228" i="1" a="1"/>
  <c r="P2228" i="1"/>
  <c r="G2229" i="1" a="1"/>
  <c r="G2229" i="1" s="1"/>
  <c r="G2230" i="1" s="1" a="1"/>
  <c r="P2232" i="1" a="1"/>
  <c r="P2232" i="1" s="1"/>
  <c r="F2230" i="1" a="1"/>
  <c r="F2230" i="1" s="1"/>
  <c r="N2232" i="1" a="1"/>
  <c r="N2232" i="1" s="1"/>
  <c r="L2232" i="1" a="1"/>
  <c r="L2232" i="1" s="1"/>
  <c r="I2231" i="1" a="1"/>
  <c r="I2231" i="1" s="1"/>
  <c r="L2231" i="1" a="1"/>
  <c r="L2231" i="1"/>
  <c r="F2232" i="1" a="1"/>
  <c r="F2232" i="1" s="1"/>
  <c r="M2231" i="1" a="1"/>
  <c r="M2231" i="1" s="1"/>
  <c r="N2229" i="1" a="1"/>
  <c r="N2229" i="1"/>
  <c r="L2230" i="1" a="1"/>
  <c r="L2230" i="1" s="1"/>
  <c r="J2232" i="1" a="1"/>
  <c r="J2232" i="1" s="1"/>
  <c r="G2231" i="1" a="1"/>
  <c r="G2231" i="1"/>
  <c r="G2230" i="1"/>
  <c r="Q2232" i="1" a="1"/>
  <c r="Q2232" i="1"/>
  <c r="P2231" i="1" a="1"/>
  <c r="P2231" i="1"/>
  <c r="O2231" i="1" a="1"/>
  <c r="O2231" i="1"/>
  <c r="O2229" i="1" a="1"/>
  <c r="O2229" i="1"/>
  <c r="O2230" i="1" s="1" a="1"/>
  <c r="O2230" i="1" s="1"/>
  <c r="L2229" i="1" a="1"/>
  <c r="L2229" i="1" s="1"/>
  <c r="N2230" i="1" a="1"/>
  <c r="N2230" i="1"/>
  <c r="H2229" i="1" a="1"/>
  <c r="H2229" i="1" s="1"/>
  <c r="H2230" i="1" s="1" a="1"/>
  <c r="H2230" i="1" s="1"/>
  <c r="K2232" i="1" a="1"/>
  <c r="K2232" i="1" s="1"/>
  <c r="O2232" i="1" a="1"/>
  <c r="O2232" i="1" s="1"/>
  <c r="M2232" i="1" a="1"/>
  <c r="M2232" i="1" s="1"/>
  <c r="I2226" i="1" a="1"/>
  <c r="I2226" i="1" s="1"/>
  <c r="G2224" i="1" a="1"/>
  <c r="G2224" i="1" s="1"/>
  <c r="G2225" i="1" s="1" a="1"/>
  <c r="G2225" i="1" s="1"/>
  <c r="F2225" i="1" a="1"/>
  <c r="F2225" i="1" s="1"/>
  <c r="Q2222" i="1" a="1"/>
  <c r="Q2222" i="1" s="1"/>
  <c r="M2222" i="1" a="1"/>
  <c r="M2222" i="1" s="1"/>
  <c r="P2222" i="1" a="1"/>
  <c r="P2222" i="1" s="1"/>
  <c r="M2224" i="1" a="1"/>
  <c r="M2224" i="1"/>
  <c r="M2225" i="1" s="1" a="1"/>
  <c r="M2225" i="1" s="1"/>
  <c r="F2226" i="1" a="1"/>
  <c r="F2226" i="1" s="1"/>
  <c r="I2227" i="1" a="1"/>
  <c r="I2227" i="1"/>
  <c r="I2228" i="1" s="1" a="1"/>
  <c r="I2228" i="1" s="1"/>
  <c r="H2227" i="1" a="1"/>
  <c r="H2227" i="1"/>
  <c r="H2228" i="1" s="1" a="1"/>
  <c r="H2228" i="1" s="1"/>
  <c r="J2225" i="1" a="1"/>
  <c r="J2225" i="1"/>
  <c r="I2225" i="1"/>
  <c r="J2227" i="1" a="1"/>
  <c r="J2227" i="1"/>
  <c r="P2226" i="1" a="1"/>
  <c r="P2226" i="1"/>
  <c r="N2222" i="1" a="1"/>
  <c r="N2222" i="1"/>
  <c r="P2227" i="1" a="1"/>
  <c r="P2227" i="1" s="1"/>
  <c r="K2227" i="1" a="1"/>
  <c r="K2227" i="1" s="1"/>
  <c r="K2228" i="1" s="1" a="1"/>
  <c r="K2228" i="1" s="1"/>
  <c r="Q2226" i="1" a="1"/>
  <c r="Q2226" i="1" s="1"/>
  <c r="O2222" i="1" a="1"/>
  <c r="O2222" i="1"/>
  <c r="N2226" i="1" a="1"/>
  <c r="N2226" i="1" s="1"/>
  <c r="Q2224" i="1" a="1"/>
  <c r="Q2224" i="1" s="1"/>
  <c r="L2222" i="1" a="1"/>
  <c r="L2222" i="1" s="1"/>
  <c r="J2226" i="1" a="1"/>
  <c r="J2226" i="1" s="1"/>
  <c r="Q2225" i="1" a="1"/>
  <c r="Q2225" i="1" s="1"/>
  <c r="I2224" i="1" a="1"/>
  <c r="I2224" i="1" s="1"/>
  <c r="I2225" i="1" s="1" a="1"/>
  <c r="H2224" i="1" a="1"/>
  <c r="H2224" i="1" s="1"/>
  <c r="H2225" i="1" s="1" a="1"/>
  <c r="H2225" i="1" s="1"/>
  <c r="L2226" i="1" a="1"/>
  <c r="L2226" i="1"/>
  <c r="G2226" i="1" a="1"/>
  <c r="G2226" i="1" s="1"/>
  <c r="J2222" i="1" a="1"/>
  <c r="J2222" i="1" s="1"/>
  <c r="J2228" i="1" a="1"/>
  <c r="J2228" i="1" s="1"/>
  <c r="F2228" i="1" a="1"/>
  <c r="F2228" i="1" s="1"/>
  <c r="K2224" i="1" a="1"/>
  <c r="K2224" i="1" s="1"/>
  <c r="K2225" i="1" s="1" a="1"/>
  <c r="K2225" i="1" s="1"/>
  <c r="L2224" i="1" a="1"/>
  <c r="L2224" i="1"/>
  <c r="L2225" i="1" s="1" a="1"/>
  <c r="L2225" i="1" s="1"/>
  <c r="Q2227" i="1" a="1"/>
  <c r="Q2227" i="1"/>
  <c r="Q2228" i="1" s="1" a="1"/>
  <c r="Q2228" i="1" s="1"/>
  <c r="O2227" i="1" a="1"/>
  <c r="O2227" i="1" s="1"/>
  <c r="O2228" i="1" s="1" a="1"/>
  <c r="O2228" i="1" s="1"/>
  <c r="M2227" i="1" a="1"/>
  <c r="M2227" i="1"/>
  <c r="M2228" i="1" s="1" a="1"/>
  <c r="M2228" i="1" s="1"/>
  <c r="L2227" i="1" a="1"/>
  <c r="L2227" i="1"/>
  <c r="L2228" i="1" s="1" a="1"/>
  <c r="L2228" i="1" s="1"/>
  <c r="J2224" i="1" a="1"/>
  <c r="J2224" i="1"/>
  <c r="F2227" i="1" a="1"/>
  <c r="F2227" i="1"/>
  <c r="N2227" i="1" a="1"/>
  <c r="N2227" i="1" s="1"/>
  <c r="N2228" i="1" s="1" a="1"/>
  <c r="N2228" i="1" s="1"/>
  <c r="H2226" i="1" a="1"/>
  <c r="H2226" i="1"/>
  <c r="F2224" i="1" a="1"/>
  <c r="F2224" i="1"/>
  <c r="O2224" i="1" a="1"/>
  <c r="O2224" i="1"/>
  <c r="O2225" i="1" s="1" a="1"/>
  <c r="O2225" i="1" s="1"/>
  <c r="N2224" i="1" a="1"/>
  <c r="N2224" i="1" s="1"/>
  <c r="N2225" i="1" s="1" a="1"/>
  <c r="N2225" i="1" s="1"/>
  <c r="P2224" i="1" a="1"/>
  <c r="P2224" i="1" s="1"/>
  <c r="P2225" i="1" s="1" a="1"/>
  <c r="P2225" i="1" s="1"/>
  <c r="G2227" i="1" a="1"/>
  <c r="G2227" i="1" s="1"/>
  <c r="G2228" i="1" s="1" a="1"/>
  <c r="G2228" i="1" s="1"/>
  <c r="O2226" i="1" a="1"/>
  <c r="O2226" i="1" s="1"/>
  <c r="M2226" i="1" a="1"/>
  <c r="M2226" i="1" s="1"/>
  <c r="K2226" i="1" a="1"/>
  <c r="K2226" i="1" s="1"/>
  <c r="K2222" i="1" a="1"/>
  <c r="K2222" i="1" s="1"/>
  <c r="F2219" i="1" a="1"/>
  <c r="F2219" i="1" s="1"/>
  <c r="F2220" i="1" s="1" a="1"/>
  <c r="F2220" i="1" s="1"/>
  <c r="G2219" i="1" a="1"/>
  <c r="G2219" i="1" s="1"/>
  <c r="G2220" i="1" s="1" a="1"/>
  <c r="G2220" i="1" s="1"/>
  <c r="Q2217" i="1" a="1"/>
  <c r="Q2217" i="1" s="1"/>
  <c r="Q2218" i="1" s="1" a="1"/>
  <c r="Q2218" i="1" s="1"/>
  <c r="Q2219" i="1" a="1"/>
  <c r="Q2219" i="1"/>
  <c r="P2219" i="1" a="1"/>
  <c r="P2219" i="1"/>
  <c r="P2220" i="1" s="1" a="1"/>
  <c r="L2217" i="1" a="1"/>
  <c r="L2217" i="1"/>
  <c r="L2219" i="1" a="1"/>
  <c r="L2219" i="1"/>
  <c r="O2217" i="1" a="1"/>
  <c r="O2217" i="1"/>
  <c r="O2218" i="1" s="1" a="1"/>
  <c r="O2218" i="1" s="1"/>
  <c r="G2217" i="1" a="1"/>
  <c r="G2217" i="1"/>
  <c r="G2218" i="1" s="1" a="1"/>
  <c r="G2218" i="1" s="1"/>
  <c r="N2219" i="1" a="1"/>
  <c r="N2219" i="1"/>
  <c r="N2220" i="1" s="1" a="1"/>
  <c r="N2220" i="1" s="1"/>
  <c r="N2217" i="1" a="1"/>
  <c r="N2217" i="1" s="1"/>
  <c r="N2218" i="1" s="1" a="1"/>
  <c r="N2218" i="1" s="1"/>
  <c r="M2219" i="1" a="1"/>
  <c r="M2219" i="1"/>
  <c r="M2220" i="1" s="1" a="1"/>
  <c r="M2220" i="1" s="1"/>
  <c r="K2219" i="1" a="1"/>
  <c r="K2219" i="1" s="1"/>
  <c r="K2220" i="1" s="1" a="1"/>
  <c r="K2220" i="1" s="1"/>
  <c r="M2217" i="1" a="1"/>
  <c r="M2217" i="1" s="1"/>
  <c r="M2218" i="1" s="1" a="1"/>
  <c r="M2218" i="1" s="1"/>
  <c r="I2217" i="1" a="1"/>
  <c r="I2217" i="1"/>
  <c r="I2218" i="1" s="1" a="1"/>
  <c r="I2218" i="1" s="1"/>
  <c r="H2219" i="1" a="1"/>
  <c r="H2219" i="1" s="1"/>
  <c r="H2220" i="1" s="1" a="1"/>
  <c r="H2220" i="1" s="1"/>
  <c r="I2219" i="1" a="1"/>
  <c r="I2219" i="1" s="1"/>
  <c r="I2220" i="1" s="1" a="1"/>
  <c r="I2220" i="1" s="1"/>
  <c r="K2217" i="1" a="1"/>
  <c r="K2217" i="1" s="1"/>
  <c r="K2218" i="1" s="1" a="1"/>
  <c r="K2218" i="1" s="1"/>
  <c r="H2217" i="1" a="1"/>
  <c r="H2217" i="1" s="1"/>
  <c r="H2218" i="1" s="1" a="1"/>
  <c r="H2218" i="1" s="1"/>
  <c r="L2218" i="1" a="1"/>
  <c r="L2218" i="1" s="1"/>
  <c r="F2218" i="1" a="1"/>
  <c r="F2218" i="1" s="1"/>
  <c r="F2217" i="1" a="1"/>
  <c r="F2217" i="1"/>
  <c r="I2222" i="1" a="1"/>
  <c r="I2222" i="1"/>
  <c r="H2222" i="1" a="1"/>
  <c r="H2222" i="1"/>
  <c r="G2222" i="1" a="1"/>
  <c r="G2222" i="1"/>
  <c r="F2222" i="1" a="1"/>
  <c r="F2222" i="1"/>
  <c r="Q2221" i="1" a="1"/>
  <c r="Q2221" i="1"/>
  <c r="P2221" i="1" a="1"/>
  <c r="P2221" i="1" s="1"/>
  <c r="O2221" i="1" a="1"/>
  <c r="O2221" i="1" s="1"/>
  <c r="P2220" i="1"/>
  <c r="N2221" i="1" a="1"/>
  <c r="N2221" i="1"/>
  <c r="O2219" i="1" a="1"/>
  <c r="O2219" i="1" s="1"/>
  <c r="O2220" i="1" s="1" a="1"/>
  <c r="O2220" i="1" s="1"/>
  <c r="J2221" i="1" a="1"/>
  <c r="J2221" i="1" s="1"/>
  <c r="L2220" i="1" a="1"/>
  <c r="L2220" i="1"/>
  <c r="M2221" i="1" a="1"/>
  <c r="M2221" i="1" s="1"/>
  <c r="J2219" i="1" a="1"/>
  <c r="J2219" i="1"/>
  <c r="J2220" i="1" s="1" a="1"/>
  <c r="J2220" i="1" s="1"/>
  <c r="P2217" i="1" a="1"/>
  <c r="P2217" i="1" s="1"/>
  <c r="P2218" i="1" s="1" a="1"/>
  <c r="P2218" i="1" s="1"/>
  <c r="L2221" i="1" a="1"/>
  <c r="L2221" i="1" s="1"/>
  <c r="K2221" i="1" a="1"/>
  <c r="K2221" i="1" s="1"/>
  <c r="I2221" i="1" a="1"/>
  <c r="I2221" i="1" s="1"/>
  <c r="Q2220" i="1" a="1"/>
  <c r="Q2220" i="1" s="1"/>
  <c r="J2217" i="1" a="1"/>
  <c r="J2217" i="1" s="1"/>
  <c r="J2218" i="1" s="1" a="1"/>
  <c r="J2218" i="1" s="1"/>
  <c r="H2221" i="1" a="1"/>
  <c r="H2221" i="1" s="1"/>
  <c r="G2221" i="1" a="1"/>
  <c r="G2221" i="1" s="1"/>
  <c r="F2221" i="1" a="1"/>
  <c r="F2221" i="1" s="1"/>
  <c r="N2211" i="1" a="1"/>
  <c r="N2211" i="1" s="1"/>
  <c r="F2212" i="1" a="1"/>
  <c r="F2212" i="1" s="1"/>
  <c r="M2214" i="1" a="1"/>
  <c r="M2214" i="1" s="1"/>
  <c r="M2215" i="1" s="1" a="1"/>
  <c r="M2215" i="1" s="1"/>
  <c r="J2211" i="1" a="1"/>
  <c r="J2211" i="1"/>
  <c r="O2216" i="1" a="1"/>
  <c r="O2216" i="1"/>
  <c r="N2214" i="1" a="1"/>
  <c r="N2214" i="1" s="1"/>
  <c r="N2215" i="1" s="1" a="1"/>
  <c r="N2215" i="1" s="1"/>
  <c r="L2212" i="1" a="1"/>
  <c r="L2212" i="1"/>
  <c r="L2216" i="1" a="1"/>
  <c r="L2216" i="1"/>
  <c r="N2216" i="1" a="1"/>
  <c r="N2216" i="1"/>
  <c r="M2216" i="1" a="1"/>
  <c r="M2216" i="1"/>
  <c r="Q2210" i="1" a="1"/>
  <c r="Q2210" i="1" s="1"/>
  <c r="G2212" i="1" a="1"/>
  <c r="G2212" i="1" s="1"/>
  <c r="K2216" i="1" a="1"/>
  <c r="K2216" i="1" s="1"/>
  <c r="F2214" i="1" a="1"/>
  <c r="F2214" i="1" s="1"/>
  <c r="F2215" i="1" s="1" a="1"/>
  <c r="F2215" i="1" s="1"/>
  <c r="P2210" i="1" a="1"/>
  <c r="P2210" i="1"/>
  <c r="I2216" i="1" a="1"/>
  <c r="I2216" i="1"/>
  <c r="H2216" i="1" a="1"/>
  <c r="H2216" i="1"/>
  <c r="Q2214" i="1" a="1"/>
  <c r="Q2214" i="1"/>
  <c r="Q2215" i="1" s="1" a="1"/>
  <c r="Q2215" i="1" s="1"/>
  <c r="O2214" i="1" a="1"/>
  <c r="O2214" i="1" s="1"/>
  <c r="O2215" i="1" s="1" a="1"/>
  <c r="O2215" i="1" s="1"/>
  <c r="P2212" i="1" a="1"/>
  <c r="P2212" i="1" s="1"/>
  <c r="G2216" i="1" a="1"/>
  <c r="G2216" i="1" s="1"/>
  <c r="F2216" i="1" a="1"/>
  <c r="F2216" i="1"/>
  <c r="I2214" i="1" a="1"/>
  <c r="I2214" i="1" s="1"/>
  <c r="P2211" i="1" a="1"/>
  <c r="P2211" i="1"/>
  <c r="P2214" i="1" a="1"/>
  <c r="P2214" i="1" s="1"/>
  <c r="P2215" i="1" s="1" a="1"/>
  <c r="P2215" i="1" s="1"/>
  <c r="G2214" i="1" a="1"/>
  <c r="G2214" i="1"/>
  <c r="G2215" i="1" s="1" a="1"/>
  <c r="G2215" i="1" s="1"/>
  <c r="N2212" i="1" a="1"/>
  <c r="N2212" i="1" s="1"/>
  <c r="K2212" i="1" a="1"/>
  <c r="K2212" i="1" s="1"/>
  <c r="G2211" i="1" a="1"/>
  <c r="G2211" i="1"/>
  <c r="O2211" i="1" a="1"/>
  <c r="O2211" i="1" s="1"/>
  <c r="H2214" i="1" a="1"/>
  <c r="H2214" i="1" s="1"/>
  <c r="H2215" i="1" s="1" a="1"/>
  <c r="H2215" i="1" s="1"/>
  <c r="J2212" i="1" a="1"/>
  <c r="J2212" i="1" s="1"/>
  <c r="H2212" i="1" a="1"/>
  <c r="H2212" i="1"/>
  <c r="J2214" i="1" a="1"/>
  <c r="J2214" i="1"/>
  <c r="J2215" i="1" s="1" a="1"/>
  <c r="J2215" i="1" s="1"/>
  <c r="H2211" i="1" a="1"/>
  <c r="H2211" i="1"/>
  <c r="Q2212" i="1" a="1"/>
  <c r="Q2212" i="1" s="1"/>
  <c r="L2214" i="1" a="1"/>
  <c r="L2214" i="1" s="1"/>
  <c r="L2215" i="1" s="1" a="1"/>
  <c r="F2211" i="1" a="1"/>
  <c r="F2211" i="1" s="1"/>
  <c r="K2211" i="1" a="1"/>
  <c r="K2211" i="1" s="1"/>
  <c r="I2212" i="1" a="1"/>
  <c r="I2212" i="1" s="1"/>
  <c r="I2215" i="1" a="1"/>
  <c r="I2215" i="1"/>
  <c r="Q2216" i="1" a="1"/>
  <c r="Q2216" i="1"/>
  <c r="I2211" i="1" a="1"/>
  <c r="I2211" i="1"/>
  <c r="K2215" i="1"/>
  <c r="M2211" i="1" a="1"/>
  <c r="M2211" i="1" s="1"/>
  <c r="O2212" i="1" a="1"/>
  <c r="O2212" i="1"/>
  <c r="K2214" i="1" a="1"/>
  <c r="K2214" i="1"/>
  <c r="K2215" i="1" s="1" a="1"/>
  <c r="M2212" i="1" a="1"/>
  <c r="M2212" i="1" s="1"/>
  <c r="L2211" i="1" a="1"/>
  <c r="L2211" i="1" s="1"/>
  <c r="Q2211" i="1" a="1"/>
  <c r="Q2211" i="1" s="1"/>
  <c r="P2216" i="1" a="1"/>
  <c r="P2216" i="1" s="1"/>
  <c r="J2216" i="1" a="1"/>
  <c r="J2216" i="1" s="1"/>
  <c r="L2215" i="1"/>
  <c r="M2205" i="1" a="1"/>
  <c r="M2205" i="1" s="1"/>
  <c r="Q2208" i="1" a="1"/>
  <c r="Q2208" i="1"/>
  <c r="J2210" i="1" a="1"/>
  <c r="J2210" i="1"/>
  <c r="H2210" i="1" a="1"/>
  <c r="H2210" i="1" s="1"/>
  <c r="I2206" i="1" a="1"/>
  <c r="I2206" i="1"/>
  <c r="P2209" i="1" a="1"/>
  <c r="P2209" i="1" s="1"/>
  <c r="K2209" i="1" a="1"/>
  <c r="K2209" i="1" s="1"/>
  <c r="K2207" i="1" a="1"/>
  <c r="K2207" i="1"/>
  <c r="F2208" i="1" a="1"/>
  <c r="F2208" i="1" s="1"/>
  <c r="F2206" i="1" a="1"/>
  <c r="F2206" i="1" s="1"/>
  <c r="P2205" i="1" a="1"/>
  <c r="P2205" i="1"/>
  <c r="F2209" i="1" a="1"/>
  <c r="F2209" i="1"/>
  <c r="I2210" i="1" a="1"/>
  <c r="I2210" i="1" s="1"/>
  <c r="Q2209" i="1" a="1"/>
  <c r="Q2209" i="1" s="1"/>
  <c r="O2209" i="1" a="1"/>
  <c r="O2209" i="1" s="1"/>
  <c r="M2209" i="1" a="1"/>
  <c r="M2209" i="1" s="1"/>
  <c r="G2209" i="1" a="1"/>
  <c r="G2209" i="1"/>
  <c r="N2207" i="1" a="1"/>
  <c r="N2207" i="1" s="1"/>
  <c r="O2207" i="1" a="1"/>
  <c r="O2207" i="1" s="1"/>
  <c r="J2207" i="1" a="1"/>
  <c r="J2207" i="1"/>
  <c r="J2209" i="1" a="1"/>
  <c r="J2209" i="1"/>
  <c r="L2205" i="1" a="1"/>
  <c r="L2205" i="1"/>
  <c r="I2209" i="1" a="1"/>
  <c r="I2209" i="1" s="1"/>
  <c r="P2208" i="1" a="1"/>
  <c r="P2208" i="1"/>
  <c r="P2207" i="1" a="1"/>
  <c r="P2207" i="1" s="1"/>
  <c r="G2206" i="1" a="1"/>
  <c r="G2206" i="1" s="1"/>
  <c r="K2206" i="1" a="1"/>
  <c r="K2206" i="1" s="1"/>
  <c r="N2205" i="1" a="1"/>
  <c r="N2205" i="1"/>
  <c r="J2206" i="1" a="1"/>
  <c r="J2206" i="1"/>
  <c r="M2207" i="1" a="1"/>
  <c r="M2207" i="1" s="1"/>
  <c r="O2208" i="1" a="1"/>
  <c r="O2208" i="1"/>
  <c r="N2208" i="1" a="1"/>
  <c r="N2208" i="1"/>
  <c r="P2206" i="1" a="1"/>
  <c r="P2206" i="1" s="1"/>
  <c r="I2208" i="1" a="1"/>
  <c r="I2208" i="1"/>
  <c r="N2206" i="1" a="1"/>
  <c r="N2206" i="1" s="1"/>
  <c r="F2207" i="1" a="1"/>
  <c r="F2207" i="1" s="1"/>
  <c r="M2206" i="1" a="1"/>
  <c r="M2206" i="1" s="1"/>
  <c r="J2208" i="1" a="1"/>
  <c r="J2208" i="1" s="1"/>
  <c r="L2206" i="1" a="1"/>
  <c r="L2206" i="1" s="1"/>
  <c r="H2206" i="1" a="1"/>
  <c r="H2206" i="1"/>
  <c r="H2208" i="1" a="1"/>
  <c r="H2208" i="1"/>
  <c r="O2205" i="1" a="1"/>
  <c r="O2205" i="1" s="1"/>
  <c r="L2210" i="1" a="1"/>
  <c r="L2210" i="1" s="1"/>
  <c r="F2210" i="1" a="1"/>
  <c r="F2210" i="1" s="1"/>
  <c r="N2209" i="1" a="1"/>
  <c r="N2209" i="1"/>
  <c r="K2208" i="1" a="1"/>
  <c r="K2208" i="1" s="1"/>
  <c r="L2207" i="1" a="1"/>
  <c r="L2207" i="1" s="1"/>
  <c r="L2208" i="1" a="1"/>
  <c r="L2208" i="1" s="1"/>
  <c r="H2207" i="1" a="1"/>
  <c r="H2207" i="1"/>
  <c r="H2209" i="1" a="1"/>
  <c r="H2209" i="1"/>
  <c r="Q2207" i="1" a="1"/>
  <c r="Q2207" i="1" s="1"/>
  <c r="Q2205" i="1" a="1"/>
  <c r="Q2205" i="1"/>
  <c r="I2207" i="1" a="1"/>
  <c r="I2207" i="1"/>
  <c r="G2207" i="1" a="1"/>
  <c r="G2207" i="1" s="1"/>
  <c r="M2208" i="1" a="1"/>
  <c r="M2208" i="1" s="1"/>
  <c r="O2206" i="1" a="1"/>
  <c r="O2206" i="1" s="1"/>
  <c r="L2209" i="1" a="1"/>
  <c r="L2209" i="1"/>
  <c r="Q2206" i="1" a="1"/>
  <c r="Q2206" i="1"/>
  <c r="O2210" i="1" a="1"/>
  <c r="O2210" i="1"/>
  <c r="N2210" i="1" a="1"/>
  <c r="N2210" i="1"/>
  <c r="M2210" i="1" a="1"/>
  <c r="M2210" i="1"/>
  <c r="K2210" i="1" a="1"/>
  <c r="K2210" i="1" s="1"/>
  <c r="G2210" i="1" a="1"/>
  <c r="G2210" i="1"/>
  <c r="G2208" i="1" a="1"/>
  <c r="G2208" i="1" s="1"/>
  <c r="L2204" i="1" a="1"/>
  <c r="L2204" i="1" s="1"/>
  <c r="I2204" i="1" a="1"/>
  <c r="I2204" i="1"/>
  <c r="J2202" i="1" a="1"/>
  <c r="J2202" i="1" s="1"/>
  <c r="M2200" i="1" a="1"/>
  <c r="M2200" i="1"/>
  <c r="K2204" i="1" a="1"/>
  <c r="K2204" i="1"/>
  <c r="Q2201" i="1" a="1"/>
  <c r="Q2201" i="1"/>
  <c r="H2204" i="1" a="1"/>
  <c r="H2204" i="1" s="1"/>
  <c r="F2202" i="1" a="1"/>
  <c r="F2202" i="1" s="1"/>
  <c r="L2203" i="1" a="1"/>
  <c r="L2203" i="1" s="1"/>
  <c r="O2201" i="1" a="1"/>
  <c r="O2201" i="1" s="1"/>
  <c r="N2200" i="1" a="1"/>
  <c r="N2200" i="1" s="1"/>
  <c r="F2203" i="1" a="1"/>
  <c r="F2203" i="1" s="1"/>
  <c r="P2203" i="1" a="1"/>
  <c r="P2203" i="1" s="1"/>
  <c r="J2201" i="1" a="1"/>
  <c r="J2201" i="1"/>
  <c r="L2201" i="1" a="1"/>
  <c r="L2201" i="1" s="1"/>
  <c r="K2202" i="1" a="1"/>
  <c r="K2202" i="1" s="1"/>
  <c r="P2200" i="1" a="1"/>
  <c r="P2200" i="1"/>
  <c r="H2202" i="1" a="1"/>
  <c r="H2202" i="1"/>
  <c r="H2201" i="1" a="1"/>
  <c r="H2201" i="1" s="1"/>
  <c r="Q2200" i="1" a="1"/>
  <c r="Q2200" i="1" s="1"/>
  <c r="O2200" i="1" a="1"/>
  <c r="O2200" i="1" s="1"/>
  <c r="M2202" i="1" a="1"/>
  <c r="M2202" i="1"/>
  <c r="O2203" i="1" a="1"/>
  <c r="O2203" i="1"/>
  <c r="K2205" i="1" a="1"/>
  <c r="K2205" i="1" s="1"/>
  <c r="F2204" i="1" a="1"/>
  <c r="F2204" i="1"/>
  <c r="O2202" i="1" a="1"/>
  <c r="O2202" i="1"/>
  <c r="F2201" i="1" a="1"/>
  <c r="F2201" i="1" s="1"/>
  <c r="L2200" i="1" a="1"/>
  <c r="L2200" i="1"/>
  <c r="K2200" i="1" a="1"/>
  <c r="K2200" i="1" s="1"/>
  <c r="J2205" i="1" a="1"/>
  <c r="J2205" i="1"/>
  <c r="G2201" i="1" a="1"/>
  <c r="G2201" i="1"/>
  <c r="M2203" i="1" a="1"/>
  <c r="M2203" i="1" s="1"/>
  <c r="N2201" i="1" a="1"/>
  <c r="N2201" i="1"/>
  <c r="I2205" i="1" a="1"/>
  <c r="I2205" i="1"/>
  <c r="N2202" i="1" a="1"/>
  <c r="N2202" i="1"/>
  <c r="O2204" i="1" a="1"/>
  <c r="O2204" i="1" s="1"/>
  <c r="I2203" i="1" a="1"/>
  <c r="I2203" i="1"/>
  <c r="G2203" i="1" a="1"/>
  <c r="G2203" i="1" s="1"/>
  <c r="G2204" i="1" a="1"/>
  <c r="G2204" i="1" s="1"/>
  <c r="Q2203" i="1" a="1"/>
  <c r="Q2203" i="1" s="1"/>
  <c r="P2201" i="1" a="1"/>
  <c r="P2201" i="1" s="1"/>
  <c r="K2203" i="1" a="1"/>
  <c r="K2203" i="1" s="1"/>
  <c r="G2202" i="1" a="1"/>
  <c r="G2202" i="1" s="1"/>
  <c r="L2202" i="1" a="1"/>
  <c r="L2202" i="1" s="1"/>
  <c r="I2201" i="1" a="1"/>
  <c r="I2201" i="1" s="1"/>
  <c r="H2203" i="1" a="1"/>
  <c r="H2203" i="1"/>
  <c r="H2205" i="1" a="1"/>
  <c r="H2205" i="1"/>
  <c r="N2203" i="1" a="1"/>
  <c r="N2203" i="1" s="1"/>
  <c r="Q2204" i="1" a="1"/>
  <c r="Q2204" i="1" s="1"/>
  <c r="M2204" i="1" a="1"/>
  <c r="M2204" i="1" s="1"/>
  <c r="J2204" i="1" a="1"/>
  <c r="J2204" i="1"/>
  <c r="J2203" i="1" a="1"/>
  <c r="J2203" i="1"/>
  <c r="Q2202" i="1" a="1"/>
  <c r="Q2202" i="1" s="1"/>
  <c r="P2202" i="1" a="1"/>
  <c r="P2202" i="1"/>
  <c r="I2202" i="1" a="1"/>
  <c r="I2202" i="1"/>
  <c r="H2200" i="1" a="1"/>
  <c r="H2200" i="1" s="1"/>
  <c r="M2201" i="1" a="1"/>
  <c r="M2201" i="1" s="1"/>
  <c r="K2201" i="1" a="1"/>
  <c r="K2201" i="1"/>
  <c r="I2200" i="1" a="1"/>
  <c r="I2200" i="1"/>
  <c r="J2200" i="1" a="1"/>
  <c r="J2200" i="1"/>
  <c r="G2205" i="1" a="1"/>
  <c r="G2205" i="1" s="1"/>
  <c r="F2205" i="1" a="1"/>
  <c r="F2205" i="1"/>
  <c r="P2204" i="1" a="1"/>
  <c r="P2204" i="1"/>
  <c r="N2204" i="1" a="1"/>
  <c r="N2204" i="1"/>
  <c r="O2197" i="1" a="1"/>
  <c r="O2197" i="1" s="1"/>
  <c r="K2197" i="1" a="1"/>
  <c r="K2197" i="1"/>
  <c r="J2196" i="1" a="1"/>
  <c r="J2196" i="1" s="1"/>
  <c r="N2196" i="1" a="1"/>
  <c r="N2196" i="1" s="1"/>
  <c r="I2195" i="1" a="1"/>
  <c r="I2195" i="1" s="1"/>
  <c r="P2197" i="1" a="1"/>
  <c r="P2197" i="1" s="1"/>
  <c r="K2199" i="1" a="1"/>
  <c r="K2199" i="1" s="1"/>
  <c r="J2199" i="1" a="1"/>
  <c r="J2199" i="1"/>
  <c r="N2198" i="1" a="1"/>
  <c r="N2198" i="1" s="1"/>
  <c r="I2199" i="1" a="1"/>
  <c r="I2199" i="1" s="1"/>
  <c r="H2199" i="1" a="1"/>
  <c r="H2199" i="1"/>
  <c r="G2199" i="1" a="1"/>
  <c r="G2199" i="1"/>
  <c r="F2199" i="1" a="1"/>
  <c r="F2199" i="1" s="1"/>
  <c r="Q2198" i="1" a="1"/>
  <c r="Q2198" i="1" s="1"/>
  <c r="P2198" i="1" a="1"/>
  <c r="P2198" i="1" s="1"/>
  <c r="Q2197" i="1" a="1"/>
  <c r="Q2197" i="1"/>
  <c r="M2197" i="1" a="1"/>
  <c r="M2197" i="1"/>
  <c r="G2196" i="1" a="1"/>
  <c r="G2196" i="1" s="1"/>
  <c r="H2196" i="1" a="1"/>
  <c r="H2196" i="1"/>
  <c r="L2197" i="1" a="1"/>
  <c r="L2197" i="1"/>
  <c r="J2197" i="1" a="1"/>
  <c r="J2197" i="1" s="1"/>
  <c r="P2196" i="1" a="1"/>
  <c r="P2196" i="1" s="1"/>
  <c r="K2196" i="1" a="1"/>
  <c r="K2196" i="1"/>
  <c r="Q2195" i="1" a="1"/>
  <c r="Q2195" i="1"/>
  <c r="P2195" i="1" a="1"/>
  <c r="P2195" i="1"/>
  <c r="L2196" i="1" a="1"/>
  <c r="L2196" i="1" s="1"/>
  <c r="M2195" i="1" a="1"/>
  <c r="M2195" i="1"/>
  <c r="O2196" i="1" a="1"/>
  <c r="O2196" i="1"/>
  <c r="I2196" i="1" a="1"/>
  <c r="I2196" i="1"/>
  <c r="F2196" i="1" a="1"/>
  <c r="F2196" i="1" s="1"/>
  <c r="F2200" i="1" a="1"/>
  <c r="F2200" i="1"/>
  <c r="G2200" i="1" a="1"/>
  <c r="G2200" i="1" s="1"/>
  <c r="Q2199" i="1" a="1"/>
  <c r="Q2199" i="1" s="1"/>
  <c r="H2195" i="1" a="1"/>
  <c r="H2195" i="1" s="1"/>
  <c r="O2198" i="1" a="1"/>
  <c r="O2198" i="1" s="1"/>
  <c r="N2197" i="1" a="1"/>
  <c r="N2197" i="1"/>
  <c r="Q2196" i="1" a="1"/>
  <c r="Q2196" i="1"/>
  <c r="M2196" i="1" a="1"/>
  <c r="M2196" i="1" s="1"/>
  <c r="O2195" i="1" a="1"/>
  <c r="O2195" i="1" s="1"/>
  <c r="P2199" i="1" a="1"/>
  <c r="P2199" i="1"/>
  <c r="F2197" i="1" a="1"/>
  <c r="F2197" i="1"/>
  <c r="O2199" i="1" a="1"/>
  <c r="O2199" i="1" s="1"/>
  <c r="N2199" i="1" a="1"/>
  <c r="N2199" i="1" s="1"/>
  <c r="H2198" i="1" a="1"/>
  <c r="H2198" i="1" s="1"/>
  <c r="G2198" i="1" a="1"/>
  <c r="G2198" i="1"/>
  <c r="K2195" i="1" a="1"/>
  <c r="K2195" i="1"/>
  <c r="J2195" i="1" a="1"/>
  <c r="J2195" i="1" s="1"/>
  <c r="I2198" i="1" a="1"/>
  <c r="I2198" i="1"/>
  <c r="L2195" i="1" a="1"/>
  <c r="L2195" i="1" s="1"/>
  <c r="F2195" i="1" a="1"/>
  <c r="F2195" i="1"/>
  <c r="L2198" i="1" a="1"/>
  <c r="L2198" i="1" s="1"/>
  <c r="G2195" i="1" a="1"/>
  <c r="G2195" i="1"/>
  <c r="M2199" i="1" a="1"/>
  <c r="M2199" i="1"/>
  <c r="G2197" i="1" a="1"/>
  <c r="G2197" i="1"/>
  <c r="K2198" i="1" a="1"/>
  <c r="K2198" i="1" s="1"/>
  <c r="I2197" i="1" a="1"/>
  <c r="I2197" i="1"/>
  <c r="H2197" i="1" a="1"/>
  <c r="H2197" i="1"/>
  <c r="N2195" i="1" a="1"/>
  <c r="N2195" i="1"/>
  <c r="L2199" i="1" a="1"/>
  <c r="L2199" i="1" s="1"/>
  <c r="M2198" i="1" a="1"/>
  <c r="M2198" i="1"/>
  <c r="J2198" i="1" a="1"/>
  <c r="J2198" i="1" s="1"/>
  <c r="F2198" i="1" a="1"/>
  <c r="F2198" i="1" s="1"/>
  <c r="N2190" i="1" a="1"/>
  <c r="N2190" i="1" s="1"/>
  <c r="M2190" i="1" a="1"/>
  <c r="M2190" i="1"/>
  <c r="O2191" i="1" a="1"/>
  <c r="O2191" i="1"/>
  <c r="K2191" i="1" a="1"/>
  <c r="K2191" i="1"/>
  <c r="F2190" i="1" a="1"/>
  <c r="F2190" i="1" s="1"/>
  <c r="M2194" i="1" a="1"/>
  <c r="M2194" i="1" s="1"/>
  <c r="I2192" i="1" a="1"/>
  <c r="I2192" i="1"/>
  <c r="J2194" i="1" a="1"/>
  <c r="J2194" i="1"/>
  <c r="O2190" i="1" a="1"/>
  <c r="O2190" i="1" s="1"/>
  <c r="I2194" i="1" a="1"/>
  <c r="I2194" i="1" s="1"/>
  <c r="Q2193" i="1" a="1"/>
  <c r="Q2193" i="1" s="1"/>
  <c r="F2194" i="1" a="1"/>
  <c r="F2194" i="1"/>
  <c r="P2193" i="1" a="1"/>
  <c r="P2193" i="1" s="1"/>
  <c r="N2193" i="1" a="1"/>
  <c r="N2193" i="1" s="1"/>
  <c r="K2193" i="1" a="1"/>
  <c r="K2193" i="1" s="1"/>
  <c r="P2191" i="1" a="1"/>
  <c r="P2191" i="1" s="1"/>
  <c r="F2191" i="1" a="1"/>
  <c r="F2191" i="1" s="1"/>
  <c r="G2190" i="1" a="1"/>
  <c r="G2190" i="1" s="1"/>
  <c r="I2193" i="1" a="1"/>
  <c r="I2193" i="1"/>
  <c r="H2193" i="1" a="1"/>
  <c r="H2193" i="1"/>
  <c r="Q2190" i="1" a="1"/>
  <c r="Q2190" i="1"/>
  <c r="G2191" i="1" a="1"/>
  <c r="G2191" i="1" s="1"/>
  <c r="M2192" i="1" a="1"/>
  <c r="M2192" i="1"/>
  <c r="O2192" i="1" a="1"/>
  <c r="O2192" i="1"/>
  <c r="Q2191" i="1" a="1"/>
  <c r="Q2191" i="1"/>
  <c r="H2190" i="1" a="1"/>
  <c r="H2190" i="1" s="1"/>
  <c r="I2191" i="1" a="1"/>
  <c r="I2191" i="1" s="1"/>
  <c r="L2190" i="1" a="1"/>
  <c r="L2190" i="1" s="1"/>
  <c r="G2192" i="1" a="1"/>
  <c r="G2192" i="1" s="1"/>
  <c r="P2194" i="1" a="1"/>
  <c r="P2194" i="1"/>
  <c r="P2192" i="1" a="1"/>
  <c r="P2192" i="1"/>
  <c r="G2194" i="1" a="1"/>
  <c r="G2194" i="1" s="1"/>
  <c r="H2192" i="1" a="1"/>
  <c r="H2192" i="1"/>
  <c r="K2192" i="1" a="1"/>
  <c r="K2192" i="1" s="1"/>
  <c r="J2193" i="1" a="1"/>
  <c r="J2193" i="1" s="1"/>
  <c r="J2191" i="1" a="1"/>
  <c r="J2191" i="1" s="1"/>
  <c r="O2194" i="1" a="1"/>
  <c r="O2194" i="1"/>
  <c r="K2194" i="1" a="1"/>
  <c r="K2194" i="1" s="1"/>
  <c r="P2190" i="1" a="1"/>
  <c r="P2190" i="1" s="1"/>
  <c r="G2193" i="1" a="1"/>
  <c r="G2193" i="1" s="1"/>
  <c r="N2192" i="1" a="1"/>
  <c r="N2192" i="1"/>
  <c r="J2190" i="1" a="1"/>
  <c r="J2190" i="1" s="1"/>
  <c r="I2190" i="1" a="1"/>
  <c r="I2190" i="1" s="1"/>
  <c r="Q2194" i="1" a="1"/>
  <c r="Q2194" i="1" s="1"/>
  <c r="P2188" i="1" a="1"/>
  <c r="P2188" i="1" s="1"/>
  <c r="M2193" i="1" a="1"/>
  <c r="M2193" i="1" s="1"/>
  <c r="M2191" i="1" a="1"/>
  <c r="M2191" i="1" s="1"/>
  <c r="L2191" i="1" a="1"/>
  <c r="L2191" i="1" s="1"/>
  <c r="Q2192" i="1" a="1"/>
  <c r="Q2192" i="1"/>
  <c r="N2194" i="1" a="1"/>
  <c r="N2194" i="1"/>
  <c r="N2191" i="1" a="1"/>
  <c r="N2191" i="1" s="1"/>
  <c r="L2192" i="1" a="1"/>
  <c r="L2192" i="1"/>
  <c r="F2192" i="1" a="1"/>
  <c r="F2192" i="1"/>
  <c r="L2194" i="1" a="1"/>
  <c r="L2194" i="1"/>
  <c r="J2192" i="1" a="1"/>
  <c r="J2192" i="1" s="1"/>
  <c r="Q2188" i="1" a="1"/>
  <c r="Q2188" i="1"/>
  <c r="H2194" i="1" a="1"/>
  <c r="H2194" i="1" s="1"/>
  <c r="F2193" i="1" a="1"/>
  <c r="F2193" i="1" s="1"/>
  <c r="O2193" i="1" a="1"/>
  <c r="O2193" i="1"/>
  <c r="L2193" i="1" a="1"/>
  <c r="L2193" i="1"/>
  <c r="H2191" i="1" a="1"/>
  <c r="H2191" i="1" s="1"/>
  <c r="K2190" i="1" a="1"/>
  <c r="K2190" i="1"/>
  <c r="G2187" i="1" a="1"/>
  <c r="G2187" i="1" s="1"/>
  <c r="N2186" i="1" a="1"/>
  <c r="N2186" i="1" s="1"/>
  <c r="J2186" i="1" a="1"/>
  <c r="J2186" i="1"/>
  <c r="N2184" i="1" a="1"/>
  <c r="N2184" i="1"/>
  <c r="J2184" i="1" a="1"/>
  <c r="J2184" i="1" s="1"/>
  <c r="L2188" i="1" a="1"/>
  <c r="L2188" i="1" s="1"/>
  <c r="Q2184" i="1" a="1"/>
  <c r="Q2184" i="1" s="1"/>
  <c r="K2185" i="1" a="1"/>
  <c r="K2185" i="1"/>
  <c r="G2186" i="1" a="1"/>
  <c r="G2186" i="1" s="1"/>
  <c r="K2188" i="1" a="1"/>
  <c r="K2188" i="1" s="1"/>
  <c r="J2188" i="1" a="1"/>
  <c r="J2188" i="1" s="1"/>
  <c r="I2188" i="1" a="1"/>
  <c r="I2188" i="1" s="1"/>
  <c r="G2188" i="1" a="1"/>
  <c r="G2188" i="1" s="1"/>
  <c r="F2188" i="1" a="1"/>
  <c r="F2188" i="1" s="1"/>
  <c r="F2184" i="1" a="1"/>
  <c r="F2184" i="1" s="1"/>
  <c r="Q2187" i="1" a="1"/>
  <c r="Q2187" i="1"/>
  <c r="P2187" i="1" a="1"/>
  <c r="P2187" i="1"/>
  <c r="H2187" i="1" a="1"/>
  <c r="H2187" i="1" s="1"/>
  <c r="F2187" i="1" a="1"/>
  <c r="F2187" i="1"/>
  <c r="J2185" i="1" a="1"/>
  <c r="J2185" i="1"/>
  <c r="Q2186" i="1" a="1"/>
  <c r="Q2186" i="1"/>
  <c r="P2186" i="1" a="1"/>
  <c r="P2186" i="1" s="1"/>
  <c r="O2186" i="1" a="1"/>
  <c r="O2186" i="1" s="1"/>
  <c r="K2186" i="1" a="1"/>
  <c r="K2186" i="1" s="1"/>
  <c r="L2186" i="1" a="1"/>
  <c r="L2186" i="1" s="1"/>
  <c r="F2186" i="1" a="1"/>
  <c r="F2186" i="1"/>
  <c r="I2186" i="1" a="1"/>
  <c r="I2186" i="1"/>
  <c r="M2185" i="1" a="1"/>
  <c r="M2185" i="1" s="1"/>
  <c r="Q2183" i="1" a="1"/>
  <c r="Q2183" i="1"/>
  <c r="P2184" i="1" a="1"/>
  <c r="P2184" i="1" s="1"/>
  <c r="L2183" i="1" a="1"/>
  <c r="L2183" i="1" s="1"/>
  <c r="F2185" i="1" a="1"/>
  <c r="F2185" i="1" s="1"/>
  <c r="O2187" i="1" a="1"/>
  <c r="O2187" i="1"/>
  <c r="J2187" i="1" a="1"/>
  <c r="J2187" i="1" s="1"/>
  <c r="N2187" i="1" a="1"/>
  <c r="N2187" i="1" s="1"/>
  <c r="I2184" i="1" a="1"/>
  <c r="I2184" i="1" s="1"/>
  <c r="M2187" i="1" a="1"/>
  <c r="M2187" i="1" s="1"/>
  <c r="K2187" i="1" a="1"/>
  <c r="K2187" i="1"/>
  <c r="L2185" i="1" a="1"/>
  <c r="L2185" i="1" s="1"/>
  <c r="M2186" i="1" a="1"/>
  <c r="M2186" i="1" s="1"/>
  <c r="L2187" i="1" a="1"/>
  <c r="L2187" i="1" s="1"/>
  <c r="N2185" i="1" a="1"/>
  <c r="N2185" i="1" s="1"/>
  <c r="M2183" i="1" a="1"/>
  <c r="M2183" i="1" s="1"/>
  <c r="I2187" i="1" a="1"/>
  <c r="I2187" i="1"/>
  <c r="H2186" i="1" a="1"/>
  <c r="H2186" i="1"/>
  <c r="Q2185" i="1" a="1"/>
  <c r="Q2185" i="1" s="1"/>
  <c r="H2185" i="1" a="1"/>
  <c r="H2185" i="1" s="1"/>
  <c r="L2184" i="1" a="1"/>
  <c r="L2184" i="1"/>
  <c r="K2184" i="1" a="1"/>
  <c r="K2184" i="1"/>
  <c r="I2185" i="1" a="1"/>
  <c r="I2185" i="1"/>
  <c r="M2184" i="1" a="1"/>
  <c r="M2184" i="1" s="1"/>
  <c r="G2184" i="1" a="1"/>
  <c r="G2184" i="1"/>
  <c r="G2185" i="1" a="1"/>
  <c r="G2185" i="1" s="1"/>
  <c r="H2184" i="1" a="1"/>
  <c r="H2184" i="1" s="1"/>
  <c r="O2185" i="1" a="1"/>
  <c r="O2185" i="1"/>
  <c r="N2183" i="1" a="1"/>
  <c r="N2183" i="1"/>
  <c r="P2185" i="1" a="1"/>
  <c r="P2185" i="1" s="1"/>
  <c r="O2184" i="1" a="1"/>
  <c r="O2184" i="1"/>
  <c r="O2183" i="1" a="1"/>
  <c r="O2183" i="1"/>
  <c r="P2183" i="1" a="1"/>
  <c r="P2183" i="1" s="1"/>
  <c r="O2188" i="1" a="1"/>
  <c r="O2188" i="1" s="1"/>
  <c r="N2188" i="1" a="1"/>
  <c r="N2188" i="1"/>
  <c r="M2188" i="1" a="1"/>
  <c r="M2188" i="1" s="1"/>
  <c r="H2188" i="1" a="1"/>
  <c r="H2188" i="1" s="1"/>
  <c r="I2182" i="1" a="1"/>
  <c r="I2182" i="1" s="1"/>
  <c r="K2181" i="1" a="1"/>
  <c r="K2181" i="1" s="1"/>
  <c r="J2180" i="1" a="1"/>
  <c r="J2180" i="1" s="1"/>
  <c r="O2178" i="1" a="1"/>
  <c r="O2178" i="1" s="1"/>
  <c r="N2182" i="1" a="1"/>
  <c r="N2182" i="1" s="1"/>
  <c r="F2180" i="1" a="1"/>
  <c r="F2180" i="1" s="1"/>
  <c r="I2179" i="1" a="1"/>
  <c r="I2179" i="1"/>
  <c r="N2178" i="1" a="1"/>
  <c r="N2178" i="1" s="1"/>
  <c r="H2178" i="1" a="1"/>
  <c r="H2178" i="1" s="1"/>
  <c r="L2182" i="1" a="1"/>
  <c r="L2182" i="1" s="1"/>
  <c r="L2181" i="1" a="1"/>
  <c r="L2181" i="1" s="1"/>
  <c r="P2179" i="1" a="1"/>
  <c r="P2179" i="1" s="1"/>
  <c r="J2182" i="1" a="1"/>
  <c r="J2182" i="1"/>
  <c r="K2179" i="1" a="1"/>
  <c r="K2179" i="1"/>
  <c r="G2182" i="1" a="1"/>
  <c r="G2182" i="1" s="1"/>
  <c r="Q2179" i="1" a="1"/>
  <c r="Q2179" i="1" s="1"/>
  <c r="L2179" i="1" a="1"/>
  <c r="L2179" i="1"/>
  <c r="O2179" i="1" a="1"/>
  <c r="O2179" i="1" s="1"/>
  <c r="H2180" i="1" a="1"/>
  <c r="H2180" i="1"/>
  <c r="M2178" i="1" a="1"/>
  <c r="M2178" i="1"/>
  <c r="K2180" i="1" a="1"/>
  <c r="K2180" i="1"/>
  <c r="K2183" i="1" a="1"/>
  <c r="K2183" i="1"/>
  <c r="J2183" i="1" a="1"/>
  <c r="J2183" i="1"/>
  <c r="J2179" i="1" a="1"/>
  <c r="J2179" i="1" s="1"/>
  <c r="O2180" i="1" a="1"/>
  <c r="O2180" i="1"/>
  <c r="H2179" i="1" a="1"/>
  <c r="H2179" i="1" s="1"/>
  <c r="I2183" i="1" a="1"/>
  <c r="I2183" i="1"/>
  <c r="M2179" i="1" a="1"/>
  <c r="M2179" i="1" s="1"/>
  <c r="H2183" i="1" a="1"/>
  <c r="H2183" i="1" s="1"/>
  <c r="G2183" i="1" a="1"/>
  <c r="G2183" i="1"/>
  <c r="Q2182" i="1" a="1"/>
  <c r="Q2182" i="1"/>
  <c r="P2182" i="1" a="1"/>
  <c r="P2182" i="1" s="1"/>
  <c r="P2180" i="1" a="1"/>
  <c r="P2180" i="1" s="1"/>
  <c r="O2182" i="1" a="1"/>
  <c r="O2182" i="1" s="1"/>
  <c r="M2182" i="1" a="1"/>
  <c r="M2182" i="1" s="1"/>
  <c r="O2181" i="1" a="1"/>
  <c r="O2181" i="1" s="1"/>
  <c r="F2181" i="1" a="1"/>
  <c r="F2181" i="1" s="1"/>
  <c r="M2181" i="1" a="1"/>
  <c r="M2181" i="1" s="1"/>
  <c r="K2182" i="1" a="1"/>
  <c r="K2182" i="1" s="1"/>
  <c r="F2182" i="1" a="1"/>
  <c r="F2182" i="1"/>
  <c r="J2178" i="1" a="1"/>
  <c r="J2178" i="1" s="1"/>
  <c r="G2180" i="1" a="1"/>
  <c r="G2180" i="1"/>
  <c r="F2179" i="1" a="1"/>
  <c r="F2179" i="1" s="1"/>
  <c r="N2181" i="1" a="1"/>
  <c r="N2181" i="1" s="1"/>
  <c r="L2180" i="1" a="1"/>
  <c r="L2180" i="1" s="1"/>
  <c r="N2179" i="1" a="1"/>
  <c r="N2179" i="1"/>
  <c r="Q2181" i="1" a="1"/>
  <c r="Q2181" i="1" s="1"/>
  <c r="H2181" i="1" a="1"/>
  <c r="H2181" i="1" s="1"/>
  <c r="K2178" i="1" a="1"/>
  <c r="K2178" i="1"/>
  <c r="H2182" i="1" a="1"/>
  <c r="H2182" i="1"/>
  <c r="P2181" i="1" a="1"/>
  <c r="P2181" i="1" s="1"/>
  <c r="J2181" i="1" a="1"/>
  <c r="J2181" i="1" s="1"/>
  <c r="L2178" i="1" a="1"/>
  <c r="L2178" i="1" s="1"/>
  <c r="G2181" i="1" a="1"/>
  <c r="G2181" i="1" s="1"/>
  <c r="P2178" i="1" a="1"/>
  <c r="P2178" i="1" s="1"/>
  <c r="Q2180" i="1" a="1"/>
  <c r="Q2180" i="1"/>
  <c r="I2180" i="1" a="1"/>
  <c r="I2180" i="1" s="1"/>
  <c r="N2180" i="1" a="1"/>
  <c r="N2180" i="1"/>
  <c r="Q2178" i="1" a="1"/>
  <c r="Q2178" i="1"/>
  <c r="M2180" i="1" a="1"/>
  <c r="M2180" i="1"/>
  <c r="I2181" i="1" a="1"/>
  <c r="I2181" i="1" s="1"/>
  <c r="F2183" i="1" a="1"/>
  <c r="F2183" i="1"/>
  <c r="G2179" i="1" a="1"/>
  <c r="G2179" i="1" s="1"/>
  <c r="I2178" i="1" a="1"/>
  <c r="I2178" i="1" s="1"/>
  <c r="J2173" i="1" a="1"/>
  <c r="J2173" i="1"/>
  <c r="H2175" i="1" a="1"/>
  <c r="H2175" i="1" s="1"/>
  <c r="P2174" i="1" a="1"/>
  <c r="P2174" i="1"/>
  <c r="O2173" i="1" a="1"/>
  <c r="O2173" i="1"/>
  <c r="L2175" i="1" a="1"/>
  <c r="L2175" i="1"/>
  <c r="O2177" i="1" a="1"/>
  <c r="O2177" i="1" s="1"/>
  <c r="H2177" i="1" a="1"/>
  <c r="H2177" i="1" s="1"/>
  <c r="M2177" i="1" a="1"/>
  <c r="M2177" i="1" s="1"/>
  <c r="Q2175" i="1" a="1"/>
  <c r="Q2175" i="1" s="1"/>
  <c r="L2177" i="1" a="1"/>
  <c r="L2177" i="1" s="1"/>
  <c r="F2177" i="1" a="1"/>
  <c r="F2177" i="1"/>
  <c r="K2176" i="1" a="1"/>
  <c r="K2176" i="1" s="1"/>
  <c r="F2176" i="1" a="1"/>
  <c r="F2176" i="1" s="1"/>
  <c r="P2175" i="1" a="1"/>
  <c r="P2175" i="1"/>
  <c r="O2175" i="1" a="1"/>
  <c r="O2175" i="1"/>
  <c r="O2174" i="1" a="1"/>
  <c r="O2174" i="1" s="1"/>
  <c r="N2175" i="1" a="1"/>
  <c r="N2175" i="1" s="1"/>
  <c r="H2174" i="1" a="1"/>
  <c r="H2174" i="1" s="1"/>
  <c r="N2174" i="1" a="1"/>
  <c r="N2174" i="1" s="1"/>
  <c r="G2174" i="1" a="1"/>
  <c r="G2174" i="1" s="1"/>
  <c r="K2173" i="1" a="1"/>
  <c r="K2173" i="1" s="1"/>
  <c r="M2175" i="1" a="1"/>
  <c r="M2175" i="1"/>
  <c r="I2175" i="1" a="1"/>
  <c r="I2175" i="1"/>
  <c r="L2174" i="1" a="1"/>
  <c r="L2174" i="1"/>
  <c r="K2174" i="1" a="1"/>
  <c r="K2174" i="1"/>
  <c r="J2175" i="1" a="1"/>
  <c r="J2175" i="1" s="1"/>
  <c r="M2173" i="1" a="1"/>
  <c r="M2173" i="1" s="1"/>
  <c r="Q2172" i="1" a="1"/>
  <c r="Q2172" i="1" s="1"/>
  <c r="G2175" i="1" a="1"/>
  <c r="G2175" i="1" s="1"/>
  <c r="J2177" i="1" a="1"/>
  <c r="J2177" i="1" s="1"/>
  <c r="N2176" i="1" a="1"/>
  <c r="N2176" i="1"/>
  <c r="G2177" i="1" a="1"/>
  <c r="G2177" i="1"/>
  <c r="M2176" i="1" a="1"/>
  <c r="M2176" i="1"/>
  <c r="H2176" i="1" a="1"/>
  <c r="H2176" i="1" s="1"/>
  <c r="M2174" i="1" a="1"/>
  <c r="M2174" i="1" s="1"/>
  <c r="I2173" i="1" a="1"/>
  <c r="I2173" i="1"/>
  <c r="I2176" i="1" a="1"/>
  <c r="I2176" i="1" s="1"/>
  <c r="P2173" i="1" a="1"/>
  <c r="P2173" i="1" s="1"/>
  <c r="K2175" i="1" a="1"/>
  <c r="K2175" i="1" s="1"/>
  <c r="J2174" i="1" a="1"/>
  <c r="J2174" i="1"/>
  <c r="G2173" i="1" a="1"/>
  <c r="G2173" i="1" s="1"/>
  <c r="N2173" i="1" a="1"/>
  <c r="N2173" i="1" s="1"/>
  <c r="O2176" i="1" a="1"/>
  <c r="O2176" i="1"/>
  <c r="G2176" i="1" a="1"/>
  <c r="G2176" i="1"/>
  <c r="G2178" i="1" a="1"/>
  <c r="G2178" i="1" s="1"/>
  <c r="F2178" i="1" a="1"/>
  <c r="F2178" i="1" s="1"/>
  <c r="J2176" i="1" a="1"/>
  <c r="J2176" i="1" s="1"/>
  <c r="Q2177" i="1" a="1"/>
  <c r="Q2177" i="1"/>
  <c r="P2177" i="1" a="1"/>
  <c r="P2177" i="1" s="1"/>
  <c r="L2173" i="1" a="1"/>
  <c r="L2173" i="1" s="1"/>
  <c r="H2173" i="1" a="1"/>
  <c r="H2173" i="1" s="1"/>
  <c r="P2172" i="1" a="1"/>
  <c r="P2172" i="1"/>
  <c r="L2176" i="1" a="1"/>
  <c r="L2176" i="1"/>
  <c r="K2177" i="1" a="1"/>
  <c r="K2177" i="1"/>
  <c r="Q2173" i="1" a="1"/>
  <c r="Q2173" i="1" s="1"/>
  <c r="P2176" i="1" a="1"/>
  <c r="P2176" i="1" s="1"/>
  <c r="I2177" i="1" a="1"/>
  <c r="I2177" i="1" s="1"/>
  <c r="Q2176" i="1" a="1"/>
  <c r="Q2176" i="1" s="1"/>
  <c r="F2175" i="1" a="1"/>
  <c r="F2175" i="1" s="1"/>
  <c r="I2174" i="1" a="1"/>
  <c r="I2174" i="1"/>
  <c r="N2177" i="1" a="1"/>
  <c r="N2177" i="1"/>
  <c r="Q2174" i="1" a="1"/>
  <c r="Q2174" i="1"/>
  <c r="F2174" i="1" a="1"/>
  <c r="F2174" i="1" s="1"/>
  <c r="F2173" i="1" a="1"/>
  <c r="F2173" i="1"/>
  <c r="G2171" i="1" a="1"/>
  <c r="G2171" i="1"/>
  <c r="P2170" i="1" a="1"/>
  <c r="P2170" i="1" s="1"/>
  <c r="I2168" i="1" a="1"/>
  <c r="I2168" i="1"/>
  <c r="O2167" i="1" a="1"/>
  <c r="O2167" i="1" s="1"/>
  <c r="H2171" i="1" a="1"/>
  <c r="H2171" i="1" s="1"/>
  <c r="P2168" i="1" a="1"/>
  <c r="P2168" i="1" s="1"/>
  <c r="M2170" i="1" a="1"/>
  <c r="M2170" i="1"/>
  <c r="L2171" i="1" a="1"/>
  <c r="L2171" i="1"/>
  <c r="Q2170" i="1" a="1"/>
  <c r="Q2170" i="1"/>
  <c r="J2168" i="1" a="1"/>
  <c r="J2168" i="1" s="1"/>
  <c r="P2167" i="1" a="1"/>
  <c r="P2167" i="1" s="1"/>
  <c r="H2170" i="1" a="1"/>
  <c r="H2170" i="1"/>
  <c r="I2170" i="1" a="1"/>
  <c r="I2170" i="1"/>
  <c r="Q2169" i="1" a="1"/>
  <c r="Q2169" i="1" s="1"/>
  <c r="H2169" i="1" a="1"/>
  <c r="H2169" i="1" s="1"/>
  <c r="J2169" i="1" a="1"/>
  <c r="J2169" i="1" s="1"/>
  <c r="L2168" i="1" a="1"/>
  <c r="L2168" i="1" s="1"/>
  <c r="K2169" i="1" a="1"/>
  <c r="K2169" i="1" s="1"/>
  <c r="F2169" i="1" a="1"/>
  <c r="F2169" i="1"/>
  <c r="K2171" i="1" a="1"/>
  <c r="K2171" i="1"/>
  <c r="K2168" i="1" a="1"/>
  <c r="K2168" i="1" s="1"/>
  <c r="I2171" i="1" a="1"/>
  <c r="I2171" i="1"/>
  <c r="O2170" i="1" a="1"/>
  <c r="O2170" i="1"/>
  <c r="K2170" i="1" a="1"/>
  <c r="K2170" i="1"/>
  <c r="N2168" i="1" a="1"/>
  <c r="N2168" i="1" s="1"/>
  <c r="H2168" i="1" a="1"/>
  <c r="H2168" i="1" s="1"/>
  <c r="G2168" i="1" a="1"/>
  <c r="G2168" i="1" s="1"/>
  <c r="M2167" i="1" a="1"/>
  <c r="M2167" i="1" s="1"/>
  <c r="N2167" i="1" a="1"/>
  <c r="N2167" i="1"/>
  <c r="O2172" i="1" a="1"/>
  <c r="O2172" i="1"/>
  <c r="J2171" i="1" a="1"/>
  <c r="J2171" i="1" s="1"/>
  <c r="M2168" i="1" a="1"/>
  <c r="M2168" i="1" s="1"/>
  <c r="L2170" i="1" a="1"/>
  <c r="L2170" i="1" s="1"/>
  <c r="L2172" i="1" a="1"/>
  <c r="L2172" i="1" s="1"/>
  <c r="I2172" i="1" a="1"/>
  <c r="I2172" i="1" s="1"/>
  <c r="N2171" i="1" a="1"/>
  <c r="N2171" i="1" s="1"/>
  <c r="O2171" i="1" a="1"/>
  <c r="O2171" i="1"/>
  <c r="F2171" i="1" a="1"/>
  <c r="F2171" i="1" s="1"/>
  <c r="F2170" i="1" a="1"/>
  <c r="F2170" i="1" s="1"/>
  <c r="Q2167" i="1" a="1"/>
  <c r="Q2167" i="1" s="1"/>
  <c r="N2172" i="1" a="1"/>
  <c r="N2172" i="1"/>
  <c r="M2172" i="1" a="1"/>
  <c r="M2172" i="1"/>
  <c r="K2172" i="1" a="1"/>
  <c r="K2172" i="1" s="1"/>
  <c r="Q2171" i="1" a="1"/>
  <c r="Q2171" i="1" s="1"/>
  <c r="P2171" i="1" a="1"/>
  <c r="P2171" i="1" s="1"/>
  <c r="N2169" i="1" a="1"/>
  <c r="N2169" i="1" s="1"/>
  <c r="G2169" i="1" a="1"/>
  <c r="G2169" i="1"/>
  <c r="O2168" i="1" a="1"/>
  <c r="O2168" i="1"/>
  <c r="J2172" i="1" a="1"/>
  <c r="J2172" i="1"/>
  <c r="M2169" i="1" a="1"/>
  <c r="M2169" i="1" s="1"/>
  <c r="N2170" i="1" a="1"/>
  <c r="N2170" i="1"/>
  <c r="L2169" i="1" a="1"/>
  <c r="L2169" i="1"/>
  <c r="I2169" i="1" a="1"/>
  <c r="I2169" i="1" s="1"/>
  <c r="J2170" i="1" a="1"/>
  <c r="J2170" i="1" s="1"/>
  <c r="P2169" i="1" a="1"/>
  <c r="P2169" i="1" s="1"/>
  <c r="O2169" i="1" a="1"/>
  <c r="O2169" i="1" s="1"/>
  <c r="Q2168" i="1" a="1"/>
  <c r="Q2168" i="1" s="1"/>
  <c r="G2170" i="1" a="1"/>
  <c r="G2170" i="1"/>
  <c r="H2172" i="1" a="1"/>
  <c r="H2172" i="1"/>
  <c r="G2172" i="1" a="1"/>
  <c r="G2172" i="1" s="1"/>
  <c r="F2172" i="1" a="1"/>
  <c r="F2172" i="1" s="1"/>
  <c r="M2171" i="1" a="1"/>
  <c r="M2171" i="1" s="1"/>
  <c r="F2168" i="1" a="1"/>
  <c r="F2168" i="1" s="1"/>
  <c r="L2167" i="1" a="1"/>
  <c r="L2167" i="1" s="1"/>
  <c r="P2166" i="1" a="1"/>
  <c r="P2166" i="1"/>
  <c r="P2164" i="1" a="1"/>
  <c r="P2164" i="1" s="1"/>
  <c r="I2163" i="1" a="1"/>
  <c r="I2163" i="1" s="1"/>
  <c r="P2163" i="1" a="1"/>
  <c r="P2163" i="1" s="1"/>
  <c r="Q2163" i="1" a="1"/>
  <c r="Q2163" i="1" s="1"/>
  <c r="H2162" i="1" a="1"/>
  <c r="H2162" i="1"/>
  <c r="M2163" i="1" a="1"/>
  <c r="M2163" i="1"/>
  <c r="O2166" i="1" a="1"/>
  <c r="O2166" i="1" s="1"/>
  <c r="N2166" i="1" a="1"/>
  <c r="N2166" i="1" s="1"/>
  <c r="M2166" i="1" a="1"/>
  <c r="M2166" i="1" s="1"/>
  <c r="G2166" i="1" a="1"/>
  <c r="G2166" i="1" s="1"/>
  <c r="N2162" i="1" a="1"/>
  <c r="N2162" i="1" s="1"/>
  <c r="F2166" i="1" a="1"/>
  <c r="F2166" i="1"/>
  <c r="P2162" i="1" a="1"/>
  <c r="P2162" i="1"/>
  <c r="O2161" i="1" a="1"/>
  <c r="O2161" i="1"/>
  <c r="Q2164" i="1" a="1"/>
  <c r="Q2164" i="1"/>
  <c r="N2163" i="1" a="1"/>
  <c r="N2163" i="1" s="1"/>
  <c r="K2162" i="1" a="1"/>
  <c r="K2162" i="1" s="1"/>
  <c r="M2162" i="1" a="1"/>
  <c r="M2162" i="1" s="1"/>
  <c r="I2162" i="1" a="1"/>
  <c r="I2162" i="1" s="1"/>
  <c r="G2164" i="1" a="1"/>
  <c r="G2164" i="1" s="1"/>
  <c r="L2162" i="1" a="1"/>
  <c r="L2162" i="1" s="1"/>
  <c r="O2163" i="1" a="1"/>
  <c r="O2163" i="1"/>
  <c r="F2162" i="1" a="1"/>
  <c r="F2162" i="1" s="1"/>
  <c r="K2166" i="1" a="1"/>
  <c r="K2166" i="1" s="1"/>
  <c r="K2167" i="1" a="1"/>
  <c r="K2167" i="1" s="1"/>
  <c r="L2163" i="1" a="1"/>
  <c r="L2163" i="1" s="1"/>
  <c r="J2167" i="1" a="1"/>
  <c r="J2167" i="1" s="1"/>
  <c r="P2161" i="1" a="1"/>
  <c r="P2161" i="1"/>
  <c r="I2167" i="1" a="1"/>
  <c r="I2167" i="1"/>
  <c r="H2167" i="1" a="1"/>
  <c r="H2167" i="1"/>
  <c r="H2164" i="1" a="1"/>
  <c r="H2164" i="1" s="1"/>
  <c r="Q2162" i="1" a="1"/>
  <c r="Q2162" i="1" s="1"/>
  <c r="J2163" i="1" a="1"/>
  <c r="J2163" i="1" s="1"/>
  <c r="N2161" i="1" a="1"/>
  <c r="N2161" i="1"/>
  <c r="M2161" i="1" a="1"/>
  <c r="M2161" i="1"/>
  <c r="J2162" i="1" a="1"/>
  <c r="J2162" i="1" s="1"/>
  <c r="F2167" i="1" a="1"/>
  <c r="F2167" i="1" s="1"/>
  <c r="L2164" i="1" a="1"/>
  <c r="L2164" i="1"/>
  <c r="I2166" i="1" a="1"/>
  <c r="I2166" i="1" s="1"/>
  <c r="H2166" i="1" a="1"/>
  <c r="H2166" i="1"/>
  <c r="M2164" i="1" a="1"/>
  <c r="M2164" i="1"/>
  <c r="O2164" i="1" a="1"/>
  <c r="O2164" i="1"/>
  <c r="N2164" i="1" a="1"/>
  <c r="N2164" i="1" s="1"/>
  <c r="F2163" i="1" a="1"/>
  <c r="F2163" i="1" s="1"/>
  <c r="G2167" i="1" a="1"/>
  <c r="G2167" i="1"/>
  <c r="Q2166" i="1" a="1"/>
  <c r="Q2166" i="1"/>
  <c r="F2164" i="1" a="1"/>
  <c r="F2164" i="1" s="1"/>
  <c r="H2163" i="1" a="1"/>
  <c r="H2163" i="1" s="1"/>
  <c r="G2162" i="1" a="1"/>
  <c r="G2162" i="1" s="1"/>
  <c r="L2161" i="1" a="1"/>
  <c r="L2161" i="1"/>
  <c r="O2162" i="1" a="1"/>
  <c r="O2162" i="1" s="1"/>
  <c r="I2164" i="1" a="1"/>
  <c r="I2164" i="1" s="1"/>
  <c r="L2166" i="1" a="1"/>
  <c r="L2166" i="1" s="1"/>
  <c r="J2166" i="1" a="1"/>
  <c r="J2166" i="1" s="1"/>
  <c r="G2163" i="1" a="1"/>
  <c r="G2163" i="1" s="1"/>
  <c r="K2164" i="1" a="1"/>
  <c r="K2164" i="1" s="1"/>
  <c r="J2164" i="1" a="1"/>
  <c r="J2164" i="1" s="1"/>
  <c r="K2163" i="1" a="1"/>
  <c r="K2163" i="1"/>
  <c r="Q2161" i="1" a="1"/>
  <c r="Q2161" i="1" s="1"/>
  <c r="N2157" i="1" a="1"/>
  <c r="N2157" i="1" s="1"/>
  <c r="H2157" i="1" a="1"/>
  <c r="H2157" i="1" s="1"/>
  <c r="Q2160" i="1" a="1"/>
  <c r="Q2160" i="1" s="1"/>
  <c r="P2160" i="1" a="1"/>
  <c r="P2160" i="1"/>
  <c r="N2160" i="1" a="1"/>
  <c r="N2160" i="1"/>
  <c r="M2160" i="1" a="1"/>
  <c r="M2160" i="1" s="1"/>
  <c r="L2160" i="1" a="1"/>
  <c r="L2160" i="1"/>
  <c r="L2158" i="1" a="1"/>
  <c r="L2158" i="1"/>
  <c r="K2158" i="1" a="1"/>
  <c r="K2158" i="1" s="1"/>
  <c r="J2160" i="1" a="1"/>
  <c r="J2160" i="1"/>
  <c r="O2159" i="1" a="1"/>
  <c r="O2159" i="1"/>
  <c r="H2159" i="1" a="1"/>
  <c r="H2159" i="1"/>
  <c r="H2160" i="1" a="1"/>
  <c r="H2160" i="1" s="1"/>
  <c r="G2160" i="1" a="1"/>
  <c r="G2160" i="1" s="1"/>
  <c r="P2157" i="1" a="1"/>
  <c r="P2157" i="1" s="1"/>
  <c r="Q2156" i="1" a="1"/>
  <c r="Q2156" i="1"/>
  <c r="M2156" i="1" a="1"/>
  <c r="M2156" i="1" s="1"/>
  <c r="M2159" i="1" a="1"/>
  <c r="M2159" i="1" s="1"/>
  <c r="J2159" i="1" a="1"/>
  <c r="J2159" i="1" s="1"/>
  <c r="I2156" i="1" a="1"/>
  <c r="I2156" i="1" s="1"/>
  <c r="P2158" i="1" a="1"/>
  <c r="P2158" i="1" s="1"/>
  <c r="I2158" i="1" a="1"/>
  <c r="I2158" i="1" s="1"/>
  <c r="I2159" i="1" a="1"/>
  <c r="I2159" i="1" s="1"/>
  <c r="G2159" i="1" a="1"/>
  <c r="G2159" i="1" s="1"/>
  <c r="Q2157" i="1" a="1"/>
  <c r="Q2157" i="1" s="1"/>
  <c r="J2156" i="1" a="1"/>
  <c r="J2156" i="1" s="1"/>
  <c r="F2159" i="1" a="1"/>
  <c r="F2159" i="1" s="1"/>
  <c r="G2158" i="1" a="1"/>
  <c r="G2158" i="1" s="1"/>
  <c r="O2157" i="1" a="1"/>
  <c r="O2157" i="1"/>
  <c r="H2158" i="1" a="1"/>
  <c r="H2158" i="1"/>
  <c r="I2157" i="1" a="1"/>
  <c r="I2157" i="1"/>
  <c r="N2159" i="1" a="1"/>
  <c r="N2159" i="1" s="1"/>
  <c r="G2157" i="1" a="1"/>
  <c r="G2157" i="1"/>
  <c r="K2156" i="1" a="1"/>
  <c r="K2156" i="1" s="1"/>
  <c r="I2160" i="1" a="1"/>
  <c r="I2160" i="1" s="1"/>
  <c r="L2159" i="1" a="1"/>
  <c r="L2159" i="1"/>
  <c r="K2161" i="1" a="1"/>
  <c r="K2161" i="1"/>
  <c r="J2161" i="1" a="1"/>
  <c r="J2161" i="1" s="1"/>
  <c r="N2158" i="1" a="1"/>
  <c r="N2158" i="1"/>
  <c r="M2158" i="1" a="1"/>
  <c r="M2158" i="1"/>
  <c r="O2160" i="1" a="1"/>
  <c r="O2160" i="1"/>
  <c r="F2160" i="1" a="1"/>
  <c r="F2160" i="1"/>
  <c r="P2159" i="1" a="1"/>
  <c r="P2159" i="1"/>
  <c r="Q2159" i="1" a="1"/>
  <c r="Q2159" i="1"/>
  <c r="O2158" i="1" a="1"/>
  <c r="O2158" i="1" s="1"/>
  <c r="J2158" i="1" a="1"/>
  <c r="J2158" i="1"/>
  <c r="H2156" i="1" a="1"/>
  <c r="H2156" i="1" s="1"/>
  <c r="K2157" i="1" a="1"/>
  <c r="K2157" i="1" s="1"/>
  <c r="K2159" i="1" a="1"/>
  <c r="K2159" i="1"/>
  <c r="L2156" i="1" a="1"/>
  <c r="L2156" i="1" s="1"/>
  <c r="I2161" i="1" a="1"/>
  <c r="I2161" i="1" s="1"/>
  <c r="K2160" i="1" a="1"/>
  <c r="K2160" i="1" s="1"/>
  <c r="M2157" i="1" a="1"/>
  <c r="M2157" i="1" s="1"/>
  <c r="P2156" i="1" a="1"/>
  <c r="P2156" i="1" s="1"/>
  <c r="H2161" i="1" a="1"/>
  <c r="H2161" i="1" s="1"/>
  <c r="Q2158" i="1" a="1"/>
  <c r="Q2158" i="1" s="1"/>
  <c r="N2156" i="1" a="1"/>
  <c r="N2156" i="1"/>
  <c r="J2157" i="1" a="1"/>
  <c r="J2157" i="1" s="1"/>
  <c r="F2158" i="1" a="1"/>
  <c r="F2158" i="1" s="1"/>
  <c r="L2157" i="1" a="1"/>
  <c r="L2157" i="1"/>
  <c r="O2156" i="1" a="1"/>
  <c r="O2156" i="1"/>
  <c r="G2161" i="1" a="1"/>
  <c r="G2161" i="1" s="1"/>
  <c r="F2161" i="1" a="1"/>
  <c r="F2161" i="1" s="1"/>
  <c r="F2157" i="1" a="1"/>
  <c r="F2157" i="1" s="1"/>
  <c r="J2151" i="1" a="1"/>
  <c r="J2151" i="1"/>
  <c r="P2155" i="1" a="1"/>
  <c r="P2155" i="1"/>
  <c r="J2154" i="1" a="1"/>
  <c r="J2154" i="1" s="1"/>
  <c r="G2154" i="1" a="1"/>
  <c r="G2154" i="1"/>
  <c r="P2151" i="1" a="1"/>
  <c r="P2151" i="1"/>
  <c r="O2155" i="1" a="1"/>
  <c r="O2155" i="1"/>
  <c r="N2153" i="1" a="1"/>
  <c r="N2153" i="1" s="1"/>
  <c r="F2151" i="1" a="1"/>
  <c r="F2151" i="1"/>
  <c r="O2152" i="1" a="1"/>
  <c r="O2152" i="1" s="1"/>
  <c r="G2152" i="1" a="1"/>
  <c r="G2152" i="1" s="1"/>
  <c r="K2155" i="1" a="1"/>
  <c r="K2155" i="1"/>
  <c r="F2155" i="1" a="1"/>
  <c r="F2155" i="1" s="1"/>
  <c r="O2154" i="1" a="1"/>
  <c r="O2154" i="1"/>
  <c r="F2154" i="1" a="1"/>
  <c r="F2154" i="1" s="1"/>
  <c r="J2153" i="1" a="1"/>
  <c r="J2153" i="1" s="1"/>
  <c r="G2153" i="1" a="1"/>
  <c r="G2153" i="1" s="1"/>
  <c r="J2152" i="1" a="1"/>
  <c r="J2152" i="1" s="1"/>
  <c r="F2152" i="1" a="1"/>
  <c r="F2152" i="1" s="1"/>
  <c r="G2155" i="1" a="1"/>
  <c r="G2155" i="1"/>
  <c r="Q2151" i="1" a="1"/>
  <c r="Q2151" i="1" s="1"/>
  <c r="G2151" i="1" a="1"/>
  <c r="G2151" i="1"/>
  <c r="N2155" i="1" a="1"/>
  <c r="N2155" i="1" s="1"/>
  <c r="M2155" i="1" a="1"/>
  <c r="M2155" i="1"/>
  <c r="I2153" i="1" a="1"/>
  <c r="I2153" i="1" s="1"/>
  <c r="H2155" i="1" a="1"/>
  <c r="H2155" i="1"/>
  <c r="H2151" i="1" a="1"/>
  <c r="H2151" i="1" s="1"/>
  <c r="P2153" i="1" a="1"/>
  <c r="P2153" i="1"/>
  <c r="J2155" i="1" a="1"/>
  <c r="J2155" i="1"/>
  <c r="K2154" i="1" a="1"/>
  <c r="K2154" i="1" s="1"/>
  <c r="I2155" i="1" a="1"/>
  <c r="I2155" i="1"/>
  <c r="P2154" i="1" a="1"/>
  <c r="P2154" i="1"/>
  <c r="K2152" i="1" a="1"/>
  <c r="K2152" i="1" s="1"/>
  <c r="O2153" i="1" a="1"/>
  <c r="O2153" i="1"/>
  <c r="L2154" i="1" a="1"/>
  <c r="L2154" i="1"/>
  <c r="I2151" i="1" a="1"/>
  <c r="I2151" i="1"/>
  <c r="Q2153" i="1" a="1"/>
  <c r="Q2153" i="1" s="1"/>
  <c r="K2153" i="1" a="1"/>
  <c r="K2153" i="1" s="1"/>
  <c r="H2153" i="1" a="1"/>
  <c r="H2153" i="1" s="1"/>
  <c r="I2152" i="1" a="1"/>
  <c r="I2152" i="1" s="1"/>
  <c r="F2153" i="1" a="1"/>
  <c r="F2153" i="1" s="1"/>
  <c r="M2152" i="1" a="1"/>
  <c r="M2152" i="1" s="1"/>
  <c r="L2151" i="1" a="1"/>
  <c r="L2151" i="1"/>
  <c r="N2152" i="1" a="1"/>
  <c r="N2152" i="1" s="1"/>
  <c r="P2150" i="1" a="1"/>
  <c r="P2150" i="1" s="1"/>
  <c r="M2151" i="1" a="1"/>
  <c r="M2151" i="1" s="1"/>
  <c r="O2151" i="1" a="1"/>
  <c r="O2151" i="1" s="1"/>
  <c r="L2152" i="1" a="1"/>
  <c r="L2152" i="1" s="1"/>
  <c r="N2151" i="1" a="1"/>
  <c r="N2151" i="1" s="1"/>
  <c r="N2154" i="1" a="1"/>
  <c r="N2154" i="1" s="1"/>
  <c r="M2154" i="1" a="1"/>
  <c r="M2154" i="1" s="1"/>
  <c r="I2154" i="1" a="1"/>
  <c r="I2154" i="1" s="1"/>
  <c r="Q2150" i="1" a="1"/>
  <c r="Q2150" i="1" s="1"/>
  <c r="Q2152" i="1" a="1"/>
  <c r="Q2152" i="1" s="1"/>
  <c r="H2152" i="1" a="1"/>
  <c r="H2152" i="1" s="1"/>
  <c r="M2153" i="1" a="1"/>
  <c r="M2153" i="1" s="1"/>
  <c r="L2155" i="1" a="1"/>
  <c r="L2155" i="1" s="1"/>
  <c r="P2152" i="1" a="1"/>
  <c r="P2152" i="1" s="1"/>
  <c r="Q2154" i="1" a="1"/>
  <c r="Q2154" i="1" s="1"/>
  <c r="H2154" i="1" a="1"/>
  <c r="H2154" i="1"/>
  <c r="L2153" i="1" a="1"/>
  <c r="L2153" i="1"/>
  <c r="K2151" i="1" a="1"/>
  <c r="K2151" i="1" s="1"/>
  <c r="G2156" i="1" a="1"/>
  <c r="G2156" i="1"/>
  <c r="F2156" i="1" a="1"/>
  <c r="F2156" i="1" s="1"/>
  <c r="Q2155" i="1" a="1"/>
  <c r="Q2155" i="1"/>
  <c r="N2149" i="1" a="1"/>
  <c r="N2149" i="1" s="1"/>
  <c r="N2148" i="1" a="1"/>
  <c r="N2148" i="1"/>
  <c r="J2148" i="1" a="1"/>
  <c r="J2148" i="1" s="1"/>
  <c r="J2146" i="1" a="1"/>
  <c r="J2146" i="1" s="1"/>
  <c r="K2146" i="1" a="1"/>
  <c r="K2146" i="1" s="1"/>
  <c r="N2146" i="1" a="1"/>
  <c r="N2146" i="1" s="1"/>
  <c r="L2147" i="1" a="1"/>
  <c r="L2147" i="1" s="1"/>
  <c r="Q2149" i="1" a="1"/>
  <c r="Q2149" i="1" s="1"/>
  <c r="J2150" i="1" a="1"/>
  <c r="J2150" i="1" s="1"/>
  <c r="I2147" i="1" a="1"/>
  <c r="I2147" i="1" s="1"/>
  <c r="G2146" i="1" a="1"/>
  <c r="G2146" i="1" s="1"/>
  <c r="Q2147" i="1" a="1"/>
  <c r="Q2147" i="1" s="1"/>
  <c r="M2149" i="1" a="1"/>
  <c r="M2149" i="1"/>
  <c r="H2149" i="1" a="1"/>
  <c r="H2149" i="1"/>
  <c r="O2148" i="1" a="1"/>
  <c r="O2148" i="1"/>
  <c r="M2148" i="1" a="1"/>
  <c r="M2148" i="1" s="1"/>
  <c r="H2147" i="1" a="1"/>
  <c r="H2147" i="1"/>
  <c r="M2146" i="1" a="1"/>
  <c r="M2146" i="1" s="1"/>
  <c r="J2147" i="1" a="1"/>
  <c r="J2147" i="1"/>
  <c r="G2147" i="1" a="1"/>
  <c r="G2147" i="1" s="1"/>
  <c r="G2148" i="1" a="1"/>
  <c r="G2148" i="1" s="1"/>
  <c r="M2147" i="1" a="1"/>
  <c r="M2147" i="1"/>
  <c r="P2145" i="1" a="1"/>
  <c r="P2145" i="1"/>
  <c r="P2147" i="1" a="1"/>
  <c r="P2147" i="1"/>
  <c r="L2148" i="1" a="1"/>
  <c r="L2148" i="1"/>
  <c r="O2147" i="1" a="1"/>
  <c r="O2147" i="1" s="1"/>
  <c r="Q2146" i="1" a="1"/>
  <c r="Q2146" i="1"/>
  <c r="I2148" i="1" a="1"/>
  <c r="I2148" i="1"/>
  <c r="O2150" i="1" a="1"/>
  <c r="O2150" i="1"/>
  <c r="F2146" i="1" a="1"/>
  <c r="F2146" i="1"/>
  <c r="N2150" i="1" a="1"/>
  <c r="N2150" i="1" s="1"/>
  <c r="M2150" i="1" a="1"/>
  <c r="M2150" i="1" s="1"/>
  <c r="L2150" i="1" a="1"/>
  <c r="L2150" i="1"/>
  <c r="I2150" i="1" a="1"/>
  <c r="I2150" i="1" s="1"/>
  <c r="O2146" i="1" a="1"/>
  <c r="O2146" i="1" s="1"/>
  <c r="P2149" i="1" a="1"/>
  <c r="P2149" i="1" s="1"/>
  <c r="Q2148" i="1" a="1"/>
  <c r="Q2148" i="1"/>
  <c r="H2150" i="1" a="1"/>
  <c r="H2150" i="1" s="1"/>
  <c r="K2149" i="1" a="1"/>
  <c r="K2149" i="1" s="1"/>
  <c r="F2150" i="1" a="1"/>
  <c r="F2150" i="1" s="1"/>
  <c r="O2149" i="1" a="1"/>
  <c r="O2149" i="1" s="1"/>
  <c r="L2149" i="1" a="1"/>
  <c r="L2149" i="1"/>
  <c r="J2149" i="1" a="1"/>
  <c r="J2149" i="1"/>
  <c r="F2149" i="1" a="1"/>
  <c r="F2149" i="1"/>
  <c r="I2149" i="1" a="1"/>
  <c r="I2149" i="1" s="1"/>
  <c r="G2149" i="1" a="1"/>
  <c r="G2149" i="1" s="1"/>
  <c r="P2148" i="1" a="1"/>
  <c r="P2148" i="1"/>
  <c r="L2146" i="1" a="1"/>
  <c r="L2146" i="1"/>
  <c r="K2148" i="1" a="1"/>
  <c r="K2148" i="1" s="1"/>
  <c r="H2148" i="1" a="1"/>
  <c r="H2148" i="1" s="1"/>
  <c r="F2148" i="1" a="1"/>
  <c r="F2148" i="1" s="1"/>
  <c r="N2147" i="1" a="1"/>
  <c r="N2147" i="1"/>
  <c r="K2147" i="1" a="1"/>
  <c r="K2147" i="1"/>
  <c r="F2147" i="1" a="1"/>
  <c r="F2147" i="1"/>
  <c r="Q2145" i="1" a="1"/>
  <c r="Q2145" i="1" s="1"/>
  <c r="P2146" i="1" a="1"/>
  <c r="P2146" i="1"/>
  <c r="H2146" i="1" a="1"/>
  <c r="H2146" i="1" s="1"/>
  <c r="O2145" i="1" a="1"/>
  <c r="O2145" i="1"/>
  <c r="K2150" i="1" a="1"/>
  <c r="K2150" i="1" s="1"/>
  <c r="G2150" i="1" a="1"/>
  <c r="G2150" i="1" s="1"/>
  <c r="I2146" i="1" a="1"/>
  <c r="I2146" i="1"/>
  <c r="N2142" i="1" a="1"/>
  <c r="N2142" i="1" s="1"/>
  <c r="P2140" i="1" a="1"/>
  <c r="P2140" i="1"/>
  <c r="Q2144" i="1" a="1"/>
  <c r="Q2144" i="1"/>
  <c r="K2144" i="1" a="1"/>
  <c r="K2144" i="1"/>
  <c r="G2143" i="1" a="1"/>
  <c r="G2143" i="1"/>
  <c r="J2142" i="1" a="1"/>
  <c r="J2142" i="1" s="1"/>
  <c r="M2141" i="1" a="1"/>
  <c r="M2141" i="1" s="1"/>
  <c r="L2141" i="1" a="1"/>
  <c r="L2141" i="1" s="1"/>
  <c r="J2141" i="1" a="1"/>
  <c r="J2141" i="1" s="1"/>
  <c r="H2142" i="1" a="1"/>
  <c r="H2142" i="1" s="1"/>
  <c r="L2140" i="1" a="1"/>
  <c r="L2140" i="1" s="1"/>
  <c r="L2143" i="1" a="1"/>
  <c r="L2143" i="1" s="1"/>
  <c r="H2145" i="1" a="1"/>
  <c r="H2145" i="1" s="1"/>
  <c r="P2144" i="1" a="1"/>
  <c r="P2144" i="1"/>
  <c r="J2144" i="1" a="1"/>
  <c r="J2144" i="1" s="1"/>
  <c r="F2143" i="1" a="1"/>
  <c r="F2143" i="1" s="1"/>
  <c r="G2141" i="1" a="1"/>
  <c r="G2141" i="1"/>
  <c r="I2141" i="1" a="1"/>
  <c r="I2141" i="1"/>
  <c r="H2143" i="1" a="1"/>
  <c r="H2143" i="1"/>
  <c r="J2143" i="1" a="1"/>
  <c r="J2143" i="1" s="1"/>
  <c r="G2144" i="1" a="1"/>
  <c r="G2144" i="1"/>
  <c r="N2144" i="1" a="1"/>
  <c r="N2144" i="1"/>
  <c r="I2144" i="1" a="1"/>
  <c r="I2144" i="1" s="1"/>
  <c r="F2144" i="1" a="1"/>
  <c r="F2144" i="1"/>
  <c r="Q2142" i="1" a="1"/>
  <c r="Q2142" i="1" s="1"/>
  <c r="Q2141" i="1" a="1"/>
  <c r="Q2141" i="1" s="1"/>
  <c r="P2143" i="1" a="1"/>
  <c r="P2143" i="1" s="1"/>
  <c r="P2142" i="1" a="1"/>
  <c r="P2142" i="1" s="1"/>
  <c r="M2142" i="1" a="1"/>
  <c r="M2142" i="1" s="1"/>
  <c r="G2145" i="1" a="1"/>
  <c r="G2145" i="1" s="1"/>
  <c r="N2140" i="1" a="1"/>
  <c r="N2140" i="1" s="1"/>
  <c r="K2143" i="1" a="1"/>
  <c r="K2143" i="1" s="1"/>
  <c r="Q2140" i="1" a="1"/>
  <c r="Q2140" i="1" s="1"/>
  <c r="O2141" i="1" a="1"/>
  <c r="O2141" i="1"/>
  <c r="N2141" i="1" a="1"/>
  <c r="N2141" i="1" s="1"/>
  <c r="M2140" i="1" a="1"/>
  <c r="M2140" i="1" s="1"/>
  <c r="F2145" i="1" a="1"/>
  <c r="F2145" i="1" s="1"/>
  <c r="H2144" i="1" a="1"/>
  <c r="H2144" i="1" s="1"/>
  <c r="Q2143" i="1" a="1"/>
  <c r="Q2143" i="1"/>
  <c r="M2143" i="1" a="1"/>
  <c r="M2143" i="1" s="1"/>
  <c r="I2142" i="1" a="1"/>
  <c r="I2142" i="1" s="1"/>
  <c r="P2141" i="1" a="1"/>
  <c r="P2141" i="1" s="1"/>
  <c r="H2141" i="1" a="1"/>
  <c r="H2141" i="1" s="1"/>
  <c r="N2143" i="1" a="1"/>
  <c r="N2143" i="1" s="1"/>
  <c r="G2142" i="1" a="1"/>
  <c r="G2142" i="1" s="1"/>
  <c r="K2140" i="1" a="1"/>
  <c r="K2140" i="1"/>
  <c r="N2145" i="1" a="1"/>
  <c r="N2145" i="1"/>
  <c r="M2145" i="1" a="1"/>
  <c r="M2145" i="1"/>
  <c r="O2140" i="1" a="1"/>
  <c r="O2140" i="1"/>
  <c r="L2145" i="1" a="1"/>
  <c r="L2145" i="1"/>
  <c r="I2145" i="1" a="1"/>
  <c r="I2145" i="1"/>
  <c r="M2144" i="1" a="1"/>
  <c r="M2144" i="1" s="1"/>
  <c r="L2144" i="1" a="1"/>
  <c r="L2144" i="1"/>
  <c r="L2142" i="1" a="1"/>
  <c r="L2142" i="1" s="1"/>
  <c r="O2142" i="1" a="1"/>
  <c r="O2142" i="1" s="1"/>
  <c r="K2141" i="1" a="1"/>
  <c r="K2141" i="1" s="1"/>
  <c r="K2142" i="1" a="1"/>
  <c r="K2142" i="1" s="1"/>
  <c r="F2142" i="1" a="1"/>
  <c r="F2142" i="1" s="1"/>
  <c r="O2143" i="1" a="1"/>
  <c r="O2143" i="1" s="1"/>
  <c r="I2143" i="1" a="1"/>
  <c r="I2143" i="1" s="1"/>
  <c r="F2141" i="1" a="1"/>
  <c r="F2141" i="1"/>
  <c r="K2145" i="1" a="1"/>
  <c r="K2145" i="1"/>
  <c r="J2145" i="1" a="1"/>
  <c r="J2145" i="1"/>
  <c r="O2144" i="1" a="1"/>
  <c r="O2144" i="1" s="1"/>
  <c r="I2136" i="1" a="1"/>
  <c r="I2136" i="1" s="1"/>
  <c r="J2137" i="1" a="1"/>
  <c r="J2137" i="1" s="1"/>
  <c r="Q2135" i="1" a="1"/>
  <c r="Q2135" i="1" s="1"/>
  <c r="L2135" i="1" a="1"/>
  <c r="L2135" i="1" s="1"/>
  <c r="M2135" i="1" a="1"/>
  <c r="M2135" i="1" s="1"/>
  <c r="Q2136" i="1" a="1"/>
  <c r="Q2136" i="1"/>
  <c r="J2140" i="1" a="1"/>
  <c r="J2140" i="1" s="1"/>
  <c r="I2140" i="1" a="1"/>
  <c r="I2140" i="1" s="1"/>
  <c r="H2140" i="1" a="1"/>
  <c r="H2140" i="1"/>
  <c r="I2137" i="1" a="1"/>
  <c r="I2137" i="1"/>
  <c r="I2135" i="1" a="1"/>
  <c r="I2135" i="1"/>
  <c r="G2140" i="1" a="1"/>
  <c r="G2140" i="1"/>
  <c r="P2135" i="1" a="1"/>
  <c r="P2135" i="1"/>
  <c r="N2139" i="1" a="1"/>
  <c r="N2139" i="1"/>
  <c r="Q2137" i="1" a="1"/>
  <c r="Q2137" i="1"/>
  <c r="N2136" i="1" a="1"/>
  <c r="N2136" i="1"/>
  <c r="F2140" i="1" a="1"/>
  <c r="F2140" i="1" s="1"/>
  <c r="P2137" i="1" a="1"/>
  <c r="P2137" i="1"/>
  <c r="Q2139" i="1" a="1"/>
  <c r="Q2139" i="1" s="1"/>
  <c r="P2139" i="1" a="1"/>
  <c r="P2139" i="1" s="1"/>
  <c r="O2138" i="1" a="1"/>
  <c r="O2138" i="1" s="1"/>
  <c r="F2136" i="1" a="1"/>
  <c r="F2136" i="1" s="1"/>
  <c r="O2135" i="1" a="1"/>
  <c r="O2135" i="1" s="1"/>
  <c r="H2137" i="1" a="1"/>
  <c r="H2137" i="1"/>
  <c r="O2139" i="1" a="1"/>
  <c r="O2139" i="1"/>
  <c r="M2139" i="1" a="1"/>
  <c r="M2139" i="1"/>
  <c r="G2139" i="1" a="1"/>
  <c r="G2139" i="1" s="1"/>
  <c r="M2137" i="1" a="1"/>
  <c r="M2137" i="1" s="1"/>
  <c r="L2136" i="1" a="1"/>
  <c r="L2136" i="1" s="1"/>
  <c r="L2139" i="1" a="1"/>
  <c r="L2139" i="1" s="1"/>
  <c r="K2139" i="1" a="1"/>
  <c r="K2139" i="1" s="1"/>
  <c r="J2139" i="1" a="1"/>
  <c r="J2139" i="1" s="1"/>
  <c r="I2139" i="1" a="1"/>
  <c r="I2139" i="1" s="1"/>
  <c r="H2139" i="1" a="1"/>
  <c r="H2139" i="1" s="1"/>
  <c r="F2139" i="1" a="1"/>
  <c r="F2139" i="1"/>
  <c r="Q2138" i="1" a="1"/>
  <c r="Q2138" i="1"/>
  <c r="P2138" i="1" a="1"/>
  <c r="P2138" i="1" s="1"/>
  <c r="N2138" i="1" a="1"/>
  <c r="N2138" i="1" s="1"/>
  <c r="M2138" i="1" a="1"/>
  <c r="M2138" i="1" s="1"/>
  <c r="H2138" i="1" a="1"/>
  <c r="H2138" i="1" s="1"/>
  <c r="P2136" i="1" a="1"/>
  <c r="P2136" i="1" s="1"/>
  <c r="O2136" i="1" a="1"/>
  <c r="O2136" i="1" s="1"/>
  <c r="L2138" i="1" a="1"/>
  <c r="L2138" i="1" s="1"/>
  <c r="I2138" i="1" a="1"/>
  <c r="I2138" i="1"/>
  <c r="M2136" i="1" a="1"/>
  <c r="M2136" i="1"/>
  <c r="K2138" i="1" a="1"/>
  <c r="K2138" i="1" s="1"/>
  <c r="G2136" i="1" a="1"/>
  <c r="G2136" i="1" s="1"/>
  <c r="J2138" i="1" a="1"/>
  <c r="J2138" i="1"/>
  <c r="O2137" i="1" a="1"/>
  <c r="O2137" i="1" s="1"/>
  <c r="J2136" i="1" a="1"/>
  <c r="J2136" i="1" s="1"/>
  <c r="N2135" i="1" a="1"/>
  <c r="N2135" i="1" s="1"/>
  <c r="H2135" i="1" a="1"/>
  <c r="H2135" i="1"/>
  <c r="K2137" i="1" a="1"/>
  <c r="K2137" i="1"/>
  <c r="F2138" i="1" a="1"/>
  <c r="F2138" i="1"/>
  <c r="N2137" i="1" a="1"/>
  <c r="N2137" i="1" s="1"/>
  <c r="F2137" i="1" a="1"/>
  <c r="F2137" i="1" s="1"/>
  <c r="H2136" i="1" a="1"/>
  <c r="H2136" i="1" s="1"/>
  <c r="G2135" i="1" a="1"/>
  <c r="G2135" i="1" s="1"/>
  <c r="K2136" i="1" a="1"/>
  <c r="K2136" i="1" s="1"/>
  <c r="J2135" i="1" a="1"/>
  <c r="J2135" i="1" s="1"/>
  <c r="G2138" i="1" a="1"/>
  <c r="G2138" i="1" s="1"/>
  <c r="L2137" i="1" a="1"/>
  <c r="L2137" i="1"/>
  <c r="G2137" i="1" a="1"/>
  <c r="G2137" i="1"/>
  <c r="K2135" i="1" a="1"/>
  <c r="K2135" i="1"/>
  <c r="P2131" i="1" a="1"/>
  <c r="P2131" i="1"/>
  <c r="L2130" i="1" a="1"/>
  <c r="L2130" i="1"/>
  <c r="G2134" i="1" a="1"/>
  <c r="G2134" i="1" s="1"/>
  <c r="N2132" i="1" a="1"/>
  <c r="N2132" i="1" s="1"/>
  <c r="F2135" i="1" a="1"/>
  <c r="F2135" i="1"/>
  <c r="J2132" i="1" a="1"/>
  <c r="J2132" i="1" s="1"/>
  <c r="O2134" i="1" a="1"/>
  <c r="O2134" i="1" s="1"/>
  <c r="Q2132" i="1" a="1"/>
  <c r="Q2132" i="1" s="1"/>
  <c r="N2134" i="1" a="1"/>
  <c r="N2134" i="1"/>
  <c r="J2131" i="1" a="1"/>
  <c r="J2131" i="1"/>
  <c r="G2132" i="1" a="1"/>
  <c r="G2132" i="1" s="1"/>
  <c r="L2134" i="1" a="1"/>
  <c r="L2134" i="1" s="1"/>
  <c r="Q2133" i="1" a="1"/>
  <c r="Q2133" i="1"/>
  <c r="N2133" i="1" a="1"/>
  <c r="N2133" i="1" s="1"/>
  <c r="F2133" i="1" a="1"/>
  <c r="F2133" i="1" s="1"/>
  <c r="N2130" i="1" a="1"/>
  <c r="N2130" i="1"/>
  <c r="M2130" i="1" a="1"/>
  <c r="M2130" i="1"/>
  <c r="I2132" i="1" a="1"/>
  <c r="I2132" i="1"/>
  <c r="L2133" i="1" a="1"/>
  <c r="L2133" i="1"/>
  <c r="Q2130" i="1" a="1"/>
  <c r="Q2130" i="1" s="1"/>
  <c r="O2129" i="1" a="1"/>
  <c r="O2129" i="1"/>
  <c r="M2131" i="1" a="1"/>
  <c r="M2131" i="1" s="1"/>
  <c r="Q2131" i="1" a="1"/>
  <c r="Q2131" i="1" s="1"/>
  <c r="H2132" i="1" a="1"/>
  <c r="H2132" i="1" s="1"/>
  <c r="H2130" i="1" a="1"/>
  <c r="H2130" i="1" s="1"/>
  <c r="P2132" i="1" a="1"/>
  <c r="P2132" i="1" s="1"/>
  <c r="M2132" i="1" a="1"/>
  <c r="M2132" i="1"/>
  <c r="K2131" i="1" a="1"/>
  <c r="K2131" i="1" s="1"/>
  <c r="K2130" i="1" a="1"/>
  <c r="K2130" i="1"/>
  <c r="K2133" i="1" a="1"/>
  <c r="K2133" i="1" s="1"/>
  <c r="L2131" i="1" a="1"/>
  <c r="L2131" i="1" s="1"/>
  <c r="I2133" i="1" a="1"/>
  <c r="I2133" i="1" s="1"/>
  <c r="F2131" i="1" a="1"/>
  <c r="F2131" i="1"/>
  <c r="G2133" i="1" a="1"/>
  <c r="G2133" i="1"/>
  <c r="Q2134" i="1" a="1"/>
  <c r="Q2134" i="1" s="1"/>
  <c r="O2130" i="1" a="1"/>
  <c r="O2130" i="1" s="1"/>
  <c r="K2132" i="1" a="1"/>
  <c r="K2132" i="1" s="1"/>
  <c r="J2134" i="1" a="1"/>
  <c r="J2134" i="1"/>
  <c r="Q2129" i="1" a="1"/>
  <c r="Q2129" i="1" s="1"/>
  <c r="P2133" i="1" a="1"/>
  <c r="P2133" i="1" s="1"/>
  <c r="H2131" i="1" a="1"/>
  <c r="H2131" i="1" s="1"/>
  <c r="P2130" i="1" a="1"/>
  <c r="P2130" i="1"/>
  <c r="I2131" i="1" a="1"/>
  <c r="I2131" i="1"/>
  <c r="P2134" i="1" a="1"/>
  <c r="P2134" i="1"/>
  <c r="M2134" i="1" a="1"/>
  <c r="M2134" i="1" s="1"/>
  <c r="F2130" i="1" a="1"/>
  <c r="F2130" i="1"/>
  <c r="N2131" i="1" a="1"/>
  <c r="N2131" i="1"/>
  <c r="G2131" i="1" a="1"/>
  <c r="G2131" i="1" s="1"/>
  <c r="F2132" i="1" a="1"/>
  <c r="F2132" i="1"/>
  <c r="H2134" i="1" a="1"/>
  <c r="H2134" i="1"/>
  <c r="F2134" i="1" a="1"/>
  <c r="F2134" i="1" s="1"/>
  <c r="I2130" i="1" a="1"/>
  <c r="I2130" i="1" s="1"/>
  <c r="K2134" i="1" a="1"/>
  <c r="K2134" i="1" s="1"/>
  <c r="J2130" i="1" a="1"/>
  <c r="J2130" i="1"/>
  <c r="L2132" i="1" a="1"/>
  <c r="L2132" i="1" s="1"/>
  <c r="P2129" i="1" a="1"/>
  <c r="P2129" i="1"/>
  <c r="O2132" i="1" a="1"/>
  <c r="O2132" i="1" s="1"/>
  <c r="O2131" i="1" a="1"/>
  <c r="O2131" i="1" s="1"/>
  <c r="I2134" i="1" a="1"/>
  <c r="I2134" i="1" s="1"/>
  <c r="G2130" i="1" a="1"/>
  <c r="G2130" i="1"/>
  <c r="O2133" i="1" a="1"/>
  <c r="O2133" i="1" s="1"/>
  <c r="M2133" i="1" a="1"/>
  <c r="M2133" i="1" s="1"/>
  <c r="J2133" i="1" a="1"/>
  <c r="J2133" i="1"/>
  <c r="H2133" i="1" a="1"/>
  <c r="H2133" i="1"/>
  <c r="P1676" i="1" a="1"/>
  <c r="P1676" i="1" s="1"/>
  <c r="L1676" i="1" a="1"/>
  <c r="L1676" i="1"/>
  <c r="K1676" i="1" a="1"/>
  <c r="K1676" i="1" s="1"/>
  <c r="Q1676" i="1" a="1"/>
  <c r="Q1676" i="1" s="1"/>
  <c r="J1676" i="1" a="1"/>
  <c r="J1676" i="1" s="1"/>
  <c r="P1675" i="1" a="1"/>
  <c r="P1675" i="1"/>
  <c r="I1675" i="1" a="1"/>
  <c r="I1675" i="1"/>
  <c r="N1675" i="1" a="1"/>
  <c r="N1675" i="1"/>
  <c r="P1674" i="1" a="1"/>
  <c r="P1674" i="1"/>
  <c r="M1675" i="1" a="1"/>
  <c r="M1675" i="1"/>
  <c r="F1675" i="1" a="1"/>
  <c r="F1675" i="1"/>
  <c r="M1676" i="1" a="1"/>
  <c r="M1676" i="1"/>
  <c r="O1675" i="1" a="1"/>
  <c r="O1675" i="1"/>
  <c r="N1676" i="1" a="1"/>
  <c r="N1676" i="1" s="1"/>
  <c r="G1676" i="1" a="1"/>
  <c r="G1676" i="1" s="1"/>
  <c r="Q1675" i="1" a="1"/>
  <c r="Q1675" i="1" s="1"/>
  <c r="G1675" i="1" a="1"/>
  <c r="G1675" i="1" s="1"/>
  <c r="K1675" i="1" a="1"/>
  <c r="K1675" i="1"/>
  <c r="Q1674" i="1" a="1"/>
  <c r="Q1674" i="1"/>
  <c r="L1675" i="1" a="1"/>
  <c r="L1675" i="1" s="1"/>
  <c r="F1676" i="1" a="1"/>
  <c r="F1676" i="1"/>
  <c r="O1674" i="1" a="1"/>
  <c r="O1674" i="1"/>
  <c r="H1676" i="1" a="1"/>
  <c r="H1676" i="1"/>
  <c r="J1675" i="1" a="1"/>
  <c r="J1675" i="1"/>
  <c r="O1676" i="1" a="1"/>
  <c r="O1676" i="1"/>
  <c r="I1676" i="1" a="1"/>
  <c r="I1676" i="1"/>
  <c r="H1675" i="1" a="1"/>
  <c r="H1675" i="1"/>
  <c r="M1670" i="1" a="1"/>
  <c r="M1670" i="1"/>
  <c r="P1673" i="1" a="1"/>
  <c r="P1673" i="1" s="1"/>
  <c r="I1673" i="1" a="1"/>
  <c r="I1673" i="1" s="1"/>
  <c r="I1670" i="1" a="1"/>
  <c r="I1670" i="1" s="1"/>
  <c r="K1673" i="1" a="1"/>
  <c r="K1673" i="1" s="1"/>
  <c r="M1672" i="1" a="1"/>
  <c r="M1672" i="1" s="1"/>
  <c r="F1672" i="1" a="1"/>
  <c r="F1672" i="1" s="1"/>
  <c r="N1669" i="1" a="1"/>
  <c r="N1669" i="1"/>
  <c r="L1669" i="1" a="1"/>
  <c r="L1669" i="1"/>
  <c r="G1671" i="1" a="1"/>
  <c r="G1671" i="1"/>
  <c r="N1670" i="1" a="1"/>
  <c r="N1670" i="1"/>
  <c r="J1670" i="1" a="1"/>
  <c r="J1670" i="1"/>
  <c r="H1670" i="1" a="1"/>
  <c r="H1670" i="1"/>
  <c r="M1673" i="1" a="1"/>
  <c r="M1673" i="1"/>
  <c r="G1673" i="1" a="1"/>
  <c r="G1673" i="1"/>
  <c r="H1672" i="1" a="1"/>
  <c r="H1672" i="1"/>
  <c r="J1671" i="1" a="1"/>
  <c r="J1671" i="1"/>
  <c r="O1669" i="1" a="1"/>
  <c r="O1669" i="1" s="1"/>
  <c r="M1674" i="1" a="1"/>
  <c r="M1674" i="1"/>
  <c r="Q1673" i="1" a="1"/>
  <c r="Q1673" i="1"/>
  <c r="L1673" i="1" a="1"/>
  <c r="L1673" i="1"/>
  <c r="L1674" i="1" a="1"/>
  <c r="L1674" i="1" s="1"/>
  <c r="K1674" i="1" a="1"/>
  <c r="K1674" i="1"/>
  <c r="I1674" i="1" a="1"/>
  <c r="I1674" i="1"/>
  <c r="Q1669" i="1" a="1"/>
  <c r="Q1669" i="1"/>
  <c r="L1670" i="1" a="1"/>
  <c r="L1670" i="1"/>
  <c r="Q1670" i="1" a="1"/>
  <c r="Q1670" i="1"/>
  <c r="J1674" i="1" a="1"/>
  <c r="J1674" i="1"/>
  <c r="O1672" i="1" a="1"/>
  <c r="O1672" i="1"/>
  <c r="O1671" i="1" a="1"/>
  <c r="O1671" i="1"/>
  <c r="K1672" i="1" a="1"/>
  <c r="K1672" i="1"/>
  <c r="P1669" i="1" a="1"/>
  <c r="P1669" i="1" s="1"/>
  <c r="H1674" i="1" a="1"/>
  <c r="H1674" i="1" s="1"/>
  <c r="I1672" i="1" a="1"/>
  <c r="I1672" i="1" s="1"/>
  <c r="M1671" i="1" a="1"/>
  <c r="M1671" i="1" s="1"/>
  <c r="O1673" i="1" a="1"/>
  <c r="O1673" i="1" s="1"/>
  <c r="K1669" i="1" a="1"/>
  <c r="K1669" i="1"/>
  <c r="I1671" i="1" a="1"/>
  <c r="I1671" i="1"/>
  <c r="N1673" i="1" a="1"/>
  <c r="N1673" i="1"/>
  <c r="P1671" i="1" a="1"/>
  <c r="P1671" i="1" s="1"/>
  <c r="H1673" i="1" a="1"/>
  <c r="H1673" i="1" s="1"/>
  <c r="J1673" i="1" a="1"/>
  <c r="J1673" i="1"/>
  <c r="N1671" i="1" a="1"/>
  <c r="N1671" i="1"/>
  <c r="Q1671" i="1" a="1"/>
  <c r="Q1671" i="1"/>
  <c r="P1672" i="1" a="1"/>
  <c r="P1672" i="1"/>
  <c r="J1672" i="1" a="1"/>
  <c r="J1672" i="1" s="1"/>
  <c r="G1670" i="1" a="1"/>
  <c r="G1670" i="1"/>
  <c r="P1670" i="1" a="1"/>
  <c r="P1670" i="1" s="1"/>
  <c r="L1671" i="1" a="1"/>
  <c r="L1671" i="1"/>
  <c r="H1671" i="1" a="1"/>
  <c r="H1671" i="1"/>
  <c r="K1670" i="1" a="1"/>
  <c r="K1670" i="1" s="1"/>
  <c r="F1673" i="1" a="1"/>
  <c r="F1673" i="1"/>
  <c r="N1672" i="1" a="1"/>
  <c r="N1672" i="1"/>
  <c r="Q1672" i="1" a="1"/>
  <c r="Q1672" i="1"/>
  <c r="L1672" i="1" a="1"/>
  <c r="L1672" i="1"/>
  <c r="M1669" i="1" a="1"/>
  <c r="M1669" i="1"/>
  <c r="G1672" i="1" a="1"/>
  <c r="G1672" i="1"/>
  <c r="O1670" i="1" a="1"/>
  <c r="O1670" i="1"/>
  <c r="K1671" i="1" a="1"/>
  <c r="K1671" i="1"/>
  <c r="N1674" i="1" a="1"/>
  <c r="N1674" i="1" s="1"/>
  <c r="G1674" i="1" a="1"/>
  <c r="G1674" i="1" s="1"/>
  <c r="F1674" i="1" a="1"/>
  <c r="F1674" i="1"/>
  <c r="F1671" i="1" a="1"/>
  <c r="F1671" i="1" s="1"/>
  <c r="F1670" i="1" a="1"/>
  <c r="F1670" i="1" s="1"/>
  <c r="P1662" i="1" a="1"/>
  <c r="P1662" i="1" s="1"/>
  <c r="G1661" i="1" a="1"/>
  <c r="G1661" i="1"/>
  <c r="P1660" i="1" a="1"/>
  <c r="P1660" i="1"/>
  <c r="P1661" i="1" a="1"/>
  <c r="P1661" i="1"/>
  <c r="Q1667" i="1" a="1"/>
  <c r="Q1667" i="1" s="1"/>
  <c r="O1662" i="1" a="1"/>
  <c r="O1662" i="1"/>
  <c r="N1660" i="1" a="1"/>
  <c r="N1660" i="1"/>
  <c r="L1667" i="1" a="1"/>
  <c r="L1667" i="1" s="1"/>
  <c r="O1660" i="1" a="1"/>
  <c r="O1660" i="1"/>
  <c r="H1661" i="1" a="1"/>
  <c r="H1661" i="1" s="1"/>
  <c r="F1661" i="1" a="1"/>
  <c r="F1661" i="1" s="1"/>
  <c r="N1662" i="1" a="1"/>
  <c r="N1662" i="1" s="1"/>
  <c r="H1669" i="1" a="1"/>
  <c r="H1669" i="1" s="1"/>
  <c r="O1668" i="1" a="1"/>
  <c r="O1668" i="1"/>
  <c r="F1667" i="1" a="1"/>
  <c r="F1667" i="1"/>
  <c r="M1661" i="1" a="1"/>
  <c r="M1661" i="1" s="1"/>
  <c r="Q1662" i="1" a="1"/>
  <c r="Q1662" i="1"/>
  <c r="J1669" i="1" a="1"/>
  <c r="J1669" i="1"/>
  <c r="J1661" i="1" a="1"/>
  <c r="J1661" i="1" s="1"/>
  <c r="I1669" i="1" a="1"/>
  <c r="I1669" i="1" s="1"/>
  <c r="G1669" i="1" a="1"/>
  <c r="G1669" i="1" s="1"/>
  <c r="J1662" i="1" a="1"/>
  <c r="J1662" i="1"/>
  <c r="K1667" i="1" a="1"/>
  <c r="K1667" i="1"/>
  <c r="O1667" i="1" a="1"/>
  <c r="O1667" i="1" s="1"/>
  <c r="Q1661" i="1" a="1"/>
  <c r="Q1661" i="1" s="1"/>
  <c r="O1661" i="1" a="1"/>
  <c r="O1661" i="1" s="1"/>
  <c r="N1661" i="1" a="1"/>
  <c r="N1661" i="1" s="1"/>
  <c r="Q1660" i="1" a="1"/>
  <c r="Q1660" i="1" s="1"/>
  <c r="I1661" i="1" a="1"/>
  <c r="I1661" i="1" s="1"/>
  <c r="K1668" i="1" a="1"/>
  <c r="K1668" i="1" s="1"/>
  <c r="J1668" i="1" a="1"/>
  <c r="J1668" i="1"/>
  <c r="G1662" i="1" a="1"/>
  <c r="G1662" i="1"/>
  <c r="H1667" i="1" a="1"/>
  <c r="H1667" i="1"/>
  <c r="L1661" i="1" a="1"/>
  <c r="L1661" i="1" s="1"/>
  <c r="F1669" i="1" a="1"/>
  <c r="F1669" i="1" s="1"/>
  <c r="P1668" i="1" a="1"/>
  <c r="P1668" i="1" s="1"/>
  <c r="Q1668" i="1" a="1"/>
  <c r="Q1668" i="1"/>
  <c r="N1668" i="1" a="1"/>
  <c r="N1668" i="1" s="1"/>
  <c r="M1668" i="1" a="1"/>
  <c r="M1668" i="1" s="1"/>
  <c r="M1667" i="1" a="1"/>
  <c r="M1667" i="1" s="1"/>
  <c r="L1668" i="1" a="1"/>
  <c r="L1668" i="1" s="1"/>
  <c r="I1668" i="1" a="1"/>
  <c r="I1668" i="1" s="1"/>
  <c r="L1662" i="1" a="1"/>
  <c r="L1662" i="1"/>
  <c r="H1668" i="1" a="1"/>
  <c r="H1668" i="1"/>
  <c r="G1668" i="1" a="1"/>
  <c r="G1668" i="1" s="1"/>
  <c r="N1667" i="1" a="1"/>
  <c r="N1667" i="1"/>
  <c r="J1667" i="1" a="1"/>
  <c r="J1667" i="1"/>
  <c r="F1662" i="1" a="1"/>
  <c r="F1662" i="1" s="1"/>
  <c r="K1661" i="1" a="1"/>
  <c r="K1661" i="1"/>
  <c r="K1662" i="1" a="1"/>
  <c r="K1662" i="1"/>
  <c r="G1667" i="1" a="1"/>
  <c r="G1667" i="1"/>
  <c r="I1662" i="1" a="1"/>
  <c r="I1662" i="1" s="1"/>
  <c r="M1662" i="1" a="1"/>
  <c r="M1662" i="1" s="1"/>
  <c r="F1668" i="1" a="1"/>
  <c r="F1668" i="1"/>
  <c r="P1667" i="1" a="1"/>
  <c r="P1667" i="1" s="1"/>
  <c r="I1667" i="1" a="1"/>
  <c r="I1667" i="1" s="1"/>
  <c r="H1662" i="1" a="1"/>
  <c r="H1662" i="1" s="1"/>
  <c r="P1654" i="1" a="1"/>
  <c r="P1654" i="1"/>
  <c r="N1654" i="1" a="1"/>
  <c r="N1654" i="1" s="1"/>
  <c r="M1654" i="1" a="1"/>
  <c r="M1654" i="1"/>
  <c r="K1654" i="1" a="1"/>
  <c r="K1654" i="1"/>
  <c r="G1654" i="1" a="1"/>
  <c r="G1654" i="1"/>
  <c r="J1654" i="1" a="1"/>
  <c r="J1654" i="1" s="1"/>
  <c r="L1660" i="1" a="1"/>
  <c r="L1660" i="1" s="1"/>
  <c r="M1660" i="1" a="1"/>
  <c r="M1660" i="1"/>
  <c r="L1654" i="1" a="1"/>
  <c r="L1654" i="1" s="1"/>
  <c r="K1660" i="1" a="1"/>
  <c r="K1660" i="1"/>
  <c r="J1660" i="1" a="1"/>
  <c r="J1660" i="1"/>
  <c r="I1660" i="1" a="1"/>
  <c r="I1660" i="1"/>
  <c r="Q1654" i="1" a="1"/>
  <c r="Q1654" i="1" s="1"/>
  <c r="H1660" i="1" a="1"/>
  <c r="H1660" i="1"/>
  <c r="H1654" i="1" a="1"/>
  <c r="H1654" i="1"/>
  <c r="G1660" i="1" a="1"/>
  <c r="G1660" i="1"/>
  <c r="F1660" i="1" a="1"/>
  <c r="F1660" i="1" s="1"/>
  <c r="O1654" i="1" a="1"/>
  <c r="O1654" i="1"/>
  <c r="F1654" i="1" a="1"/>
  <c r="F1654" i="1"/>
  <c r="I1654" i="1" a="1"/>
  <c r="I1654" i="1"/>
  <c r="I1643" i="1" a="1"/>
  <c r="I1643" i="1" s="1"/>
  <c r="K1643" i="1" a="1"/>
  <c r="K1643" i="1" s="1"/>
  <c r="J1643" i="1" a="1"/>
  <c r="J1643" i="1" s="1"/>
  <c r="L1646" i="1" a="1"/>
  <c r="L1646" i="1"/>
  <c r="O1643" i="1" a="1"/>
  <c r="O1643" i="1" s="1"/>
  <c r="M1642" i="1" a="1"/>
  <c r="M1642" i="1"/>
  <c r="G1643" i="1" a="1"/>
  <c r="G1643" i="1"/>
  <c r="N1642" i="1" a="1"/>
  <c r="N1642" i="1" s="1"/>
  <c r="Q1643" i="1" a="1"/>
  <c r="Q1643" i="1" s="1"/>
  <c r="H1642" i="1" a="1"/>
  <c r="H1642" i="1" s="1"/>
  <c r="N1643" i="1" a="1"/>
  <c r="N1643" i="1" s="1"/>
  <c r="H1643" i="1" a="1"/>
  <c r="H1643" i="1"/>
  <c r="F1646" i="1" a="1"/>
  <c r="F1646" i="1"/>
  <c r="O1642" i="1" a="1"/>
  <c r="O1642" i="1"/>
  <c r="N1646" i="1" a="1"/>
  <c r="N1646" i="1" s="1"/>
  <c r="M1643" i="1" a="1"/>
  <c r="M1643" i="1"/>
  <c r="L1642" i="1" a="1"/>
  <c r="L1642" i="1" s="1"/>
  <c r="F1643" i="1" a="1"/>
  <c r="F1643" i="1"/>
  <c r="L1643" i="1" a="1"/>
  <c r="L1643" i="1" s="1"/>
  <c r="K1647" i="1" a="1"/>
  <c r="K1647" i="1" s="1"/>
  <c r="G1646" i="1" a="1"/>
  <c r="G1646" i="1"/>
  <c r="J1642" i="1" a="1"/>
  <c r="J1642" i="1"/>
  <c r="Q1647" i="1" a="1"/>
  <c r="Q1647" i="1"/>
  <c r="P1647" i="1" a="1"/>
  <c r="P1647" i="1"/>
  <c r="O1647" i="1" a="1"/>
  <c r="O1647" i="1" s="1"/>
  <c r="J1647" i="1" a="1"/>
  <c r="J1647" i="1" s="1"/>
  <c r="I1642" i="1" a="1"/>
  <c r="I1642" i="1"/>
  <c r="N1647" i="1" a="1"/>
  <c r="N1647" i="1"/>
  <c r="M1647" i="1" a="1"/>
  <c r="M1647" i="1"/>
  <c r="P1642" i="1" a="1"/>
  <c r="P1642" i="1"/>
  <c r="L1647" i="1" a="1"/>
  <c r="L1647" i="1" s="1"/>
  <c r="I1647" i="1" a="1"/>
  <c r="I1647" i="1" s="1"/>
  <c r="M1646" i="1" a="1"/>
  <c r="M1646" i="1" s="1"/>
  <c r="P1643" i="1" a="1"/>
  <c r="P1643" i="1" s="1"/>
  <c r="H1647" i="1" a="1"/>
  <c r="H1647" i="1" s="1"/>
  <c r="G1647" i="1" a="1"/>
  <c r="G1647" i="1" s="1"/>
  <c r="J1646" i="1" a="1"/>
  <c r="J1646" i="1" s="1"/>
  <c r="F1647" i="1" a="1"/>
  <c r="F1647" i="1" s="1"/>
  <c r="Q1646" i="1" a="1"/>
  <c r="Q1646" i="1"/>
  <c r="Q1642" i="1" a="1"/>
  <c r="Q1642" i="1" s="1"/>
  <c r="P1646" i="1" a="1"/>
  <c r="P1646" i="1"/>
  <c r="I1646" i="1" a="1"/>
  <c r="I1646" i="1" s="1"/>
  <c r="O1646" i="1" a="1"/>
  <c r="O1646" i="1" s="1"/>
  <c r="K1646" i="1" a="1"/>
  <c r="K1646" i="1" s="1"/>
  <c r="H1646" i="1" a="1"/>
  <c r="H1646" i="1" s="1"/>
  <c r="K1642" i="1" a="1"/>
  <c r="K1642" i="1"/>
  <c r="Q1629" i="1" a="1"/>
  <c r="Q1629" i="1"/>
  <c r="F1628" i="1" a="1"/>
  <c r="F1628" i="1" s="1"/>
  <c r="G1627" i="1" a="1"/>
  <c r="G1627" i="1" s="1"/>
  <c r="G1629" i="1" a="1"/>
  <c r="G1629" i="1" s="1"/>
  <c r="P1629" i="1" a="1"/>
  <c r="P1629" i="1" s="1"/>
  <c r="N1627" i="1" a="1"/>
  <c r="N1627" i="1" s="1"/>
  <c r="K1627" i="1" a="1"/>
  <c r="K1627" i="1"/>
  <c r="J1628" i="1" a="1"/>
  <c r="J1628" i="1" s="1"/>
  <c r="H1628" i="1" a="1"/>
  <c r="H1628" i="1" s="1"/>
  <c r="G1628" i="1" a="1"/>
  <c r="G1628" i="1"/>
  <c r="K1629" i="1" a="1"/>
  <c r="K1629" i="1" s="1"/>
  <c r="O1628" i="1" a="1"/>
  <c r="O1628" i="1" s="1"/>
  <c r="I1629" i="1" a="1"/>
  <c r="I1629" i="1" s="1"/>
  <c r="J1627" i="1" a="1"/>
  <c r="J1627" i="1"/>
  <c r="M1629" i="1" a="1"/>
  <c r="M1629" i="1" s="1"/>
  <c r="J1629" i="1" a="1"/>
  <c r="J1629" i="1"/>
  <c r="H1629" i="1" a="1"/>
  <c r="H1629" i="1"/>
  <c r="P1627" i="1" a="1"/>
  <c r="P1627" i="1" s="1"/>
  <c r="O1627" i="1" a="1"/>
  <c r="O1627" i="1" s="1"/>
  <c r="I1627" i="1" a="1"/>
  <c r="I1627" i="1" s="1"/>
  <c r="N1628" i="1" a="1"/>
  <c r="N1628" i="1" s="1"/>
  <c r="H1627" i="1" a="1"/>
  <c r="H1627" i="1"/>
  <c r="G1642" i="1" a="1"/>
  <c r="G1642" i="1" s="1"/>
  <c r="Q1627" i="1" a="1"/>
  <c r="Q1627" i="1"/>
  <c r="F1629" i="1" a="1"/>
  <c r="F1629" i="1"/>
  <c r="M1628" i="1" a="1"/>
  <c r="M1628" i="1"/>
  <c r="L1628" i="1" a="1"/>
  <c r="L1628" i="1" s="1"/>
  <c r="I1628" i="1" a="1"/>
  <c r="I1628" i="1" s="1"/>
  <c r="L1629" i="1" a="1"/>
  <c r="L1629" i="1" s="1"/>
  <c r="O1629" i="1" a="1"/>
  <c r="O1629" i="1"/>
  <c r="N1629" i="1" a="1"/>
  <c r="N1629" i="1" s="1"/>
  <c r="Q1628" i="1" a="1"/>
  <c r="Q1628" i="1"/>
  <c r="P1628" i="1" a="1"/>
  <c r="P1628" i="1"/>
  <c r="L1627" i="1" a="1"/>
  <c r="L1627" i="1" s="1"/>
  <c r="M1627" i="1" a="1"/>
  <c r="M1627" i="1" s="1"/>
  <c r="F1642" i="1" a="1"/>
  <c r="F1642" i="1"/>
  <c r="K1628" i="1" a="1"/>
  <c r="K1628" i="1"/>
  <c r="F1622" i="1" a="1"/>
  <c r="F1622" i="1" s="1"/>
  <c r="F1627" i="1" a="1"/>
  <c r="F1627" i="1"/>
  <c r="I1624" i="1" a="1"/>
  <c r="I1624" i="1"/>
  <c r="L1623" i="1" a="1"/>
  <c r="L1623" i="1" s="1"/>
  <c r="P1626" i="1" a="1"/>
  <c r="P1626" i="1" s="1"/>
  <c r="L1624" i="1" a="1"/>
  <c r="L1624" i="1" s="1"/>
  <c r="H1624" i="1" a="1"/>
  <c r="H1624" i="1" s="1"/>
  <c r="Q1626" i="1" a="1"/>
  <c r="Q1626" i="1"/>
  <c r="O1626" i="1" a="1"/>
  <c r="O1626" i="1"/>
  <c r="N1626" i="1" a="1"/>
  <c r="N1626" i="1"/>
  <c r="G1623" i="1" a="1"/>
  <c r="G1623" i="1" s="1"/>
  <c r="M1626" i="1" a="1"/>
  <c r="M1626" i="1"/>
  <c r="L1626" i="1" a="1"/>
  <c r="L1626" i="1" s="1"/>
  <c r="G1624" i="1" a="1"/>
  <c r="G1624" i="1"/>
  <c r="N1625" i="1" a="1"/>
  <c r="N1625" i="1" s="1"/>
  <c r="K1625" i="1" a="1"/>
  <c r="K1625" i="1"/>
  <c r="O1621" i="1" a="1"/>
  <c r="O1621" i="1" s="1"/>
  <c r="P1623" i="1" a="1"/>
  <c r="P1623" i="1" s="1"/>
  <c r="J1624" i="1" a="1"/>
  <c r="J1624" i="1"/>
  <c r="J1626" i="1" a="1"/>
  <c r="J1626" i="1"/>
  <c r="O1625" i="1" a="1"/>
  <c r="O1625" i="1"/>
  <c r="M1625" i="1" a="1"/>
  <c r="M1625" i="1"/>
  <c r="G1625" i="1" a="1"/>
  <c r="G1625" i="1"/>
  <c r="H1622" i="1" a="1"/>
  <c r="H1622" i="1" s="1"/>
  <c r="I1622" i="1" a="1"/>
  <c r="I1622" i="1" s="1"/>
  <c r="N1622" i="1" a="1"/>
  <c r="N1622" i="1" s="1"/>
  <c r="K1624" i="1" a="1"/>
  <c r="K1624" i="1"/>
  <c r="G1626" i="1" a="1"/>
  <c r="G1626" i="1"/>
  <c r="N1624" i="1" a="1"/>
  <c r="N1624" i="1" s="1"/>
  <c r="Q1622" i="1" a="1"/>
  <c r="Q1622" i="1" s="1"/>
  <c r="F1626" i="1" a="1"/>
  <c r="F1626" i="1"/>
  <c r="P1625" i="1" a="1"/>
  <c r="P1625" i="1" s="1"/>
  <c r="K1623" i="1" a="1"/>
  <c r="K1623" i="1"/>
  <c r="I1623" i="1" a="1"/>
  <c r="I1623" i="1"/>
  <c r="O1622" i="1" a="1"/>
  <c r="O1622" i="1"/>
  <c r="K1622" i="1" a="1"/>
  <c r="K1622" i="1"/>
  <c r="Q1621" i="1" a="1"/>
  <c r="Q1621" i="1"/>
  <c r="K1626" i="1" a="1"/>
  <c r="K1626" i="1"/>
  <c r="O1623" i="1" a="1"/>
  <c r="O1623" i="1" s="1"/>
  <c r="I1626" i="1" a="1"/>
  <c r="I1626" i="1" s="1"/>
  <c r="M1622" i="1" a="1"/>
  <c r="M1622" i="1" s="1"/>
  <c r="Q1624" i="1" a="1"/>
  <c r="Q1624" i="1" s="1"/>
  <c r="H1623" i="1" a="1"/>
  <c r="H1623" i="1"/>
  <c r="G1622" i="1" a="1"/>
  <c r="G1622" i="1"/>
  <c r="O1624" i="1" a="1"/>
  <c r="O1624" i="1"/>
  <c r="F1623" i="1" a="1"/>
  <c r="F1623" i="1" s="1"/>
  <c r="L1622" i="1" a="1"/>
  <c r="L1622" i="1"/>
  <c r="M1623" i="1" a="1"/>
  <c r="M1623" i="1"/>
  <c r="J1625" i="1" a="1"/>
  <c r="J1625" i="1"/>
  <c r="H1626" i="1" a="1"/>
  <c r="H1626" i="1"/>
  <c r="H1625" i="1" a="1"/>
  <c r="H1625" i="1"/>
  <c r="M1624" i="1" a="1"/>
  <c r="M1624" i="1"/>
  <c r="N1623" i="1" a="1"/>
  <c r="N1623" i="1"/>
  <c r="P1622" i="1" a="1"/>
  <c r="P1622" i="1" s="1"/>
  <c r="Q1625" i="1" a="1"/>
  <c r="Q1625" i="1" s="1"/>
  <c r="P1624" i="1" a="1"/>
  <c r="P1624" i="1" s="1"/>
  <c r="L1625" i="1" a="1"/>
  <c r="L1625" i="1"/>
  <c r="I1625" i="1" a="1"/>
  <c r="I1625" i="1"/>
  <c r="F1624" i="1" a="1"/>
  <c r="F1624" i="1" s="1"/>
  <c r="J1622" i="1" a="1"/>
  <c r="J1622" i="1" s="1"/>
  <c r="P1621" i="1" a="1"/>
  <c r="P1621" i="1"/>
  <c r="F1625" i="1" a="1"/>
  <c r="F1625" i="1" s="1"/>
  <c r="J1623" i="1" a="1"/>
  <c r="J1623" i="1"/>
  <c r="Q1623" i="1" a="1"/>
  <c r="Q1623" i="1"/>
  <c r="M1621" i="1" a="1"/>
  <c r="M1621" i="1"/>
  <c r="F1613" i="1" a="1"/>
  <c r="F1613" i="1"/>
  <c r="O1612" i="1" a="1"/>
  <c r="O1612" i="1"/>
  <c r="H1621" i="1" a="1"/>
  <c r="H1621" i="1"/>
  <c r="L1621" i="1" a="1"/>
  <c r="L1621" i="1" s="1"/>
  <c r="K1621" i="1" a="1"/>
  <c r="K1621" i="1" s="1"/>
  <c r="I1621" i="1" a="1"/>
  <c r="I1621" i="1" s="1"/>
  <c r="Q1619" i="1" a="1"/>
  <c r="Q1619" i="1" s="1"/>
  <c r="P1619" i="1" a="1"/>
  <c r="P1619" i="1"/>
  <c r="G1619" i="1" a="1"/>
  <c r="G1619" i="1" s="1"/>
  <c r="H1612" i="1" a="1"/>
  <c r="H1612" i="1"/>
  <c r="P1611" i="1" a="1"/>
  <c r="P1611" i="1"/>
  <c r="J1613" i="1" a="1"/>
  <c r="J1613" i="1"/>
  <c r="Q1613" i="1" a="1"/>
  <c r="Q1613" i="1"/>
  <c r="F1619" i="1" a="1"/>
  <c r="F1619" i="1"/>
  <c r="K1613" i="1" a="1"/>
  <c r="K1613" i="1"/>
  <c r="H1613" i="1" a="1"/>
  <c r="H1613" i="1"/>
  <c r="I1613" i="1" a="1"/>
  <c r="I1613" i="1"/>
  <c r="K1619" i="1" a="1"/>
  <c r="K1619" i="1"/>
  <c r="N1613" i="1" a="1"/>
  <c r="N1613" i="1" s="1"/>
  <c r="Q1612" i="1" a="1"/>
  <c r="Q1612" i="1" s="1"/>
  <c r="N1619" i="1" a="1"/>
  <c r="N1619" i="1"/>
  <c r="M1612" i="1" a="1"/>
  <c r="M1612" i="1"/>
  <c r="O1619" i="1" a="1"/>
  <c r="O1619" i="1" s="1"/>
  <c r="P1612" i="1" a="1"/>
  <c r="P1612" i="1"/>
  <c r="L1619" i="1" a="1"/>
  <c r="L1619" i="1" s="1"/>
  <c r="H1619" i="1" a="1"/>
  <c r="H1619" i="1" s="1"/>
  <c r="K1612" i="1" a="1"/>
  <c r="K1612" i="1" s="1"/>
  <c r="N1612" i="1" a="1"/>
  <c r="N1612" i="1"/>
  <c r="L1613" i="1" a="1"/>
  <c r="L1613" i="1" s="1"/>
  <c r="J1621" i="1" a="1"/>
  <c r="J1621" i="1" s="1"/>
  <c r="J1619" i="1" a="1"/>
  <c r="J1619" i="1" s="1"/>
  <c r="N1621" i="1" a="1"/>
  <c r="N1621" i="1" s="1"/>
  <c r="I1619" i="1" a="1"/>
  <c r="I1619" i="1"/>
  <c r="G1613" i="1" a="1"/>
  <c r="G1613" i="1" s="1"/>
  <c r="G1612" i="1" a="1"/>
  <c r="G1612" i="1" s="1"/>
  <c r="G1621" i="1" a="1"/>
  <c r="G1621" i="1" s="1"/>
  <c r="J1612" i="1" a="1"/>
  <c r="J1612" i="1" s="1"/>
  <c r="P1613" i="1" a="1"/>
  <c r="P1613" i="1" s="1"/>
  <c r="O1613" i="1" a="1"/>
  <c r="O1613" i="1" s="1"/>
  <c r="L1612" i="1" a="1"/>
  <c r="L1612" i="1"/>
  <c r="I1612" i="1" a="1"/>
  <c r="I1612" i="1"/>
  <c r="F1612" i="1" a="1"/>
  <c r="F1612" i="1" s="1"/>
  <c r="F1621" i="1" a="1"/>
  <c r="F1621" i="1" s="1"/>
  <c r="Q1611" i="1" a="1"/>
  <c r="Q1611" i="1"/>
  <c r="M1619" i="1" a="1"/>
  <c r="M1619" i="1"/>
  <c r="M1613" i="1" a="1"/>
  <c r="M1613" i="1"/>
  <c r="I1604" i="1" a="1"/>
  <c r="I1604" i="1"/>
  <c r="K1605" i="1" a="1"/>
  <c r="K1605" i="1"/>
  <c r="N1604" i="1" a="1"/>
  <c r="N1604" i="1"/>
  <c r="J1604" i="1" a="1"/>
  <c r="J1604" i="1"/>
  <c r="F1605" i="1" a="1"/>
  <c r="F1605" i="1" s="1"/>
  <c r="F1604" i="1" a="1"/>
  <c r="F1604" i="1" s="1"/>
  <c r="I1605" i="1" a="1"/>
  <c r="I1605" i="1"/>
  <c r="M1604" i="1" a="1"/>
  <c r="M1604" i="1" s="1"/>
  <c r="O1611" i="1" a="1"/>
  <c r="O1611" i="1"/>
  <c r="N1611" i="1" a="1"/>
  <c r="N1611" i="1"/>
  <c r="M1611" i="1" a="1"/>
  <c r="M1611" i="1"/>
  <c r="H1611" i="1" a="1"/>
  <c r="H1611" i="1"/>
  <c r="L1605" i="1" a="1"/>
  <c r="L1605" i="1" s="1"/>
  <c r="P1604" i="1" a="1"/>
  <c r="P1604" i="1" s="1"/>
  <c r="M1605" i="1" a="1"/>
  <c r="M1605" i="1" s="1"/>
  <c r="G1604" i="1" a="1"/>
  <c r="G1604" i="1" s="1"/>
  <c r="N1605" i="1" a="1"/>
  <c r="N1605" i="1"/>
  <c r="L1611" i="1" a="1"/>
  <c r="L1611" i="1"/>
  <c r="G1611" i="1" a="1"/>
  <c r="G1611" i="1" s="1"/>
  <c r="L1604" i="1" a="1"/>
  <c r="L1604" i="1" s="1"/>
  <c r="O1605" i="1" a="1"/>
  <c r="O1605" i="1"/>
  <c r="H1605" i="1" a="1"/>
  <c r="H1605" i="1" s="1"/>
  <c r="F1611" i="1" a="1"/>
  <c r="F1611" i="1" s="1"/>
  <c r="Q1605" i="1" a="1"/>
  <c r="Q1605" i="1" s="1"/>
  <c r="P1605" i="1" a="1"/>
  <c r="P1605" i="1"/>
  <c r="J1605" i="1" a="1"/>
  <c r="J1605" i="1"/>
  <c r="Q1604" i="1" a="1"/>
  <c r="Q1604" i="1" s="1"/>
  <c r="O1604" i="1" a="1"/>
  <c r="O1604" i="1"/>
  <c r="G1605" i="1" a="1"/>
  <c r="G1605" i="1"/>
  <c r="K1611" i="1" a="1"/>
  <c r="K1611" i="1"/>
  <c r="J1611" i="1" a="1"/>
  <c r="J1611" i="1"/>
  <c r="H1604" i="1" a="1"/>
  <c r="H1604" i="1"/>
  <c r="I1611" i="1" a="1"/>
  <c r="I1611" i="1"/>
  <c r="K1604" i="1" a="1"/>
  <c r="K1604" i="1" s="1"/>
  <c r="G1598" i="1" a="1"/>
  <c r="G1598" i="1" s="1"/>
  <c r="N1598" i="1" a="1"/>
  <c r="N1598" i="1" s="1"/>
  <c r="L1596" i="1" a="1"/>
  <c r="L1596" i="1"/>
  <c r="K1596" i="1" a="1"/>
  <c r="K1596" i="1"/>
  <c r="O1598" i="1" a="1"/>
  <c r="O1598" i="1" s="1"/>
  <c r="H1598" i="1" a="1"/>
  <c r="H1598" i="1"/>
  <c r="M1596" i="1" a="1"/>
  <c r="M1596" i="1"/>
  <c r="J1596" i="1" a="1"/>
  <c r="J1596" i="1" s="1"/>
  <c r="I1595" i="1" a="1"/>
  <c r="I1595" i="1" s="1"/>
  <c r="Q1595" i="1" a="1"/>
  <c r="Q1595" i="1" s="1"/>
  <c r="G1595" i="1" a="1"/>
  <c r="G1595" i="1" s="1"/>
  <c r="L1595" i="1" a="1"/>
  <c r="L1595" i="1"/>
  <c r="K1598" i="1" a="1"/>
  <c r="K1598" i="1" s="1"/>
  <c r="O1596" i="1" a="1"/>
  <c r="O1596" i="1" s="1"/>
  <c r="N1596" i="1" a="1"/>
  <c r="N1596" i="1"/>
  <c r="Q1598" i="1" a="1"/>
  <c r="Q1598" i="1" s="1"/>
  <c r="P1598" i="1" a="1"/>
  <c r="P1598" i="1"/>
  <c r="J1595" i="1" a="1"/>
  <c r="J1595" i="1"/>
  <c r="J1598" i="1" a="1"/>
  <c r="J1598" i="1" s="1"/>
  <c r="M1598" i="1" a="1"/>
  <c r="M1598" i="1" s="1"/>
  <c r="P1596" i="1" a="1"/>
  <c r="P1596" i="1" s="1"/>
  <c r="N1595" i="1" a="1"/>
  <c r="N1595" i="1"/>
  <c r="H1595" i="1" a="1"/>
  <c r="H1595" i="1"/>
  <c r="K1595" i="1" a="1"/>
  <c r="K1595" i="1"/>
  <c r="H1596" i="1" a="1"/>
  <c r="H1596" i="1"/>
  <c r="Q1596" i="1" a="1"/>
  <c r="Q1596" i="1"/>
  <c r="F1596" i="1" a="1"/>
  <c r="F1596" i="1"/>
  <c r="I1598" i="1" a="1"/>
  <c r="I1598" i="1" s="1"/>
  <c r="F1598" i="1" a="1"/>
  <c r="F1598" i="1" s="1"/>
  <c r="G1596" i="1" a="1"/>
  <c r="G1596" i="1"/>
  <c r="P1595" i="1" a="1"/>
  <c r="P1595" i="1" s="1"/>
  <c r="F1595" i="1" a="1"/>
  <c r="F1595" i="1" s="1"/>
  <c r="M1595" i="1" a="1"/>
  <c r="M1595" i="1" s="1"/>
  <c r="L1598" i="1" a="1"/>
  <c r="L1598" i="1"/>
  <c r="O1595" i="1" a="1"/>
  <c r="O1595" i="1"/>
  <c r="I1596" i="1" a="1"/>
  <c r="I1596" i="1" s="1"/>
  <c r="K1582" i="1" a="1"/>
  <c r="K1582" i="1" s="1"/>
  <c r="O1582" i="1" a="1"/>
  <c r="O1582" i="1" s="1"/>
  <c r="G1582" i="1" a="1"/>
  <c r="G1582" i="1" s="1"/>
  <c r="H1581" i="1" a="1"/>
  <c r="H1581" i="1"/>
  <c r="O1580" i="1" a="1"/>
  <c r="O1580" i="1"/>
  <c r="M1582" i="1" a="1"/>
  <c r="M1582" i="1" s="1"/>
  <c r="N1580" i="1" a="1"/>
  <c r="N1580" i="1" s="1"/>
  <c r="P1580" i="1" a="1"/>
  <c r="P1580" i="1"/>
  <c r="G1581" i="1" a="1"/>
  <c r="G1581" i="1" s="1"/>
  <c r="L1581" i="1" a="1"/>
  <c r="L1581" i="1" s="1"/>
  <c r="L1582" i="1" a="1"/>
  <c r="L1582" i="1" s="1"/>
  <c r="O1581" i="1" a="1"/>
  <c r="O1581" i="1" s="1"/>
  <c r="K1580" i="1" a="1"/>
  <c r="K1580" i="1" s="1"/>
  <c r="J1580" i="1" a="1"/>
  <c r="J1580" i="1"/>
  <c r="K1581" i="1" a="1"/>
  <c r="K1581" i="1"/>
  <c r="I1582" i="1" a="1"/>
  <c r="I1582" i="1"/>
  <c r="P1582" i="1" a="1"/>
  <c r="P1582" i="1"/>
  <c r="N1581" i="1" a="1"/>
  <c r="N1581" i="1"/>
  <c r="M1580" i="1" a="1"/>
  <c r="M1580" i="1"/>
  <c r="F1581" i="1" a="1"/>
  <c r="F1581" i="1" s="1"/>
  <c r="H1582" i="1" a="1"/>
  <c r="H1582" i="1"/>
  <c r="J1581" i="1" a="1"/>
  <c r="J1581" i="1"/>
  <c r="I1580" i="1" a="1"/>
  <c r="I1580" i="1"/>
  <c r="J1582" i="1" a="1"/>
  <c r="J1582" i="1"/>
  <c r="Q1580" i="1" a="1"/>
  <c r="Q1580" i="1" s="1"/>
  <c r="L1580" i="1" a="1"/>
  <c r="L1580" i="1"/>
  <c r="N1582" i="1" a="1"/>
  <c r="N1582" i="1"/>
  <c r="F1582" i="1" a="1"/>
  <c r="F1582" i="1" s="1"/>
  <c r="Q1582" i="1" a="1"/>
  <c r="Q1582" i="1" s="1"/>
  <c r="Q1581" i="1" a="1"/>
  <c r="Q1581" i="1" s="1"/>
  <c r="P1581" i="1" a="1"/>
  <c r="P1581" i="1" s="1"/>
  <c r="M1581" i="1" a="1"/>
  <c r="M1581" i="1"/>
  <c r="I1581" i="1" a="1"/>
  <c r="I1581" i="1" s="1"/>
  <c r="G1576" i="1" a="1"/>
  <c r="G1576" i="1" s="1"/>
  <c r="K1579" i="1" a="1"/>
  <c r="K1579" i="1"/>
  <c r="F1579" i="1" a="1"/>
  <c r="F1579" i="1"/>
  <c r="N1578" i="1" a="1"/>
  <c r="N1578" i="1"/>
  <c r="J1578" i="1" a="1"/>
  <c r="J1578" i="1"/>
  <c r="I1578" i="1" a="1"/>
  <c r="I1578" i="1"/>
  <c r="Q1577" i="1" a="1"/>
  <c r="Q1577" i="1"/>
  <c r="M1576" i="1" a="1"/>
  <c r="M1576" i="1"/>
  <c r="O1576" i="1" a="1"/>
  <c r="O1576" i="1"/>
  <c r="P1577" i="1" a="1"/>
  <c r="P1577" i="1"/>
  <c r="K1577" i="1" a="1"/>
  <c r="K1577" i="1" s="1"/>
  <c r="P1576" i="1" a="1"/>
  <c r="P1576" i="1"/>
  <c r="P1575" i="1" a="1"/>
  <c r="P1575" i="1"/>
  <c r="G1577" i="1" a="1"/>
  <c r="G1577" i="1"/>
  <c r="I1575" i="1" a="1"/>
  <c r="I1575" i="1" s="1"/>
  <c r="K1575" i="1" a="1"/>
  <c r="K1575" i="1"/>
  <c r="J1577" i="1" a="1"/>
  <c r="J1577" i="1"/>
  <c r="L1576" i="1" a="1"/>
  <c r="L1576" i="1"/>
  <c r="N1575" i="1" a="1"/>
  <c r="N1575" i="1" s="1"/>
  <c r="Q1578" i="1" a="1"/>
  <c r="Q1578" i="1"/>
  <c r="F1577" i="1" a="1"/>
  <c r="F1577" i="1" s="1"/>
  <c r="J1575" i="1" a="1"/>
  <c r="J1575" i="1" s="1"/>
  <c r="L1577" i="1" a="1"/>
  <c r="L1577" i="1" s="1"/>
  <c r="H1578" i="1" a="1"/>
  <c r="H1578" i="1" s="1"/>
  <c r="O1575" i="1" a="1"/>
  <c r="O1575" i="1" s="1"/>
  <c r="F1576" i="1" a="1"/>
  <c r="F1576" i="1" s="1"/>
  <c r="H1580" i="1" a="1"/>
  <c r="H1580" i="1"/>
  <c r="O1577" i="1" a="1"/>
  <c r="O1577" i="1" s="1"/>
  <c r="M1578" i="1" a="1"/>
  <c r="M1578" i="1" s="1"/>
  <c r="G1575" i="1" a="1"/>
  <c r="G1575" i="1"/>
  <c r="L1578" i="1" a="1"/>
  <c r="L1578" i="1"/>
  <c r="N1576" i="1" a="1"/>
  <c r="N1576" i="1"/>
  <c r="K1578" i="1" a="1"/>
  <c r="K1578" i="1" s="1"/>
  <c r="H1576" i="1" a="1"/>
  <c r="H1576" i="1" s="1"/>
  <c r="L1579" i="1" a="1"/>
  <c r="L1579" i="1"/>
  <c r="H1579" i="1" a="1"/>
  <c r="H1579" i="1" s="1"/>
  <c r="M1577" i="1" a="1"/>
  <c r="M1577" i="1"/>
  <c r="O1579" i="1" a="1"/>
  <c r="O1579" i="1" s="1"/>
  <c r="J1576" i="1" a="1"/>
  <c r="J1576" i="1"/>
  <c r="J1579" i="1" a="1"/>
  <c r="J1579" i="1"/>
  <c r="Q1574" i="1" a="1"/>
  <c r="Q1574" i="1"/>
  <c r="G1580" i="1" a="1"/>
  <c r="G1580" i="1"/>
  <c r="Q1579" i="1" a="1"/>
  <c r="Q1579" i="1" s="1"/>
  <c r="F1580" i="1" a="1"/>
  <c r="F1580" i="1" s="1"/>
  <c r="P1579" i="1" a="1"/>
  <c r="P1579" i="1"/>
  <c r="Q1575" i="1" a="1"/>
  <c r="Q1575" i="1"/>
  <c r="I1579" i="1" a="1"/>
  <c r="I1579" i="1"/>
  <c r="N1579" i="1" a="1"/>
  <c r="N1579" i="1" s="1"/>
  <c r="M1579" i="1" a="1"/>
  <c r="M1579" i="1" s="1"/>
  <c r="G1579" i="1" a="1"/>
  <c r="G1579" i="1"/>
  <c r="P1578" i="1" a="1"/>
  <c r="P1578" i="1" s="1"/>
  <c r="O1578" i="1" a="1"/>
  <c r="O1578" i="1"/>
  <c r="G1578" i="1" a="1"/>
  <c r="G1578" i="1" s="1"/>
  <c r="I1577" i="1" a="1"/>
  <c r="I1577" i="1"/>
  <c r="H1577" i="1" a="1"/>
  <c r="H1577" i="1" s="1"/>
  <c r="K1576" i="1" a="1"/>
  <c r="K1576" i="1" s="1"/>
  <c r="L1575" i="1" a="1"/>
  <c r="L1575" i="1" s="1"/>
  <c r="I1576" i="1" a="1"/>
  <c r="I1576" i="1"/>
  <c r="M1575" i="1" a="1"/>
  <c r="M1575" i="1"/>
  <c r="F1578" i="1" a="1"/>
  <c r="F1578" i="1" s="1"/>
  <c r="H1575" i="1" a="1"/>
  <c r="H1575" i="1"/>
  <c r="N1577" i="1" a="1"/>
  <c r="N1577" i="1"/>
  <c r="Q1576" i="1" a="1"/>
  <c r="Q1576" i="1"/>
  <c r="F1575" i="1" a="1"/>
  <c r="F1575" i="1" s="1"/>
  <c r="M1565" i="1" a="1"/>
  <c r="M1565" i="1" s="1"/>
  <c r="N1572" i="1" a="1"/>
  <c r="N1572" i="1"/>
  <c r="P1566" i="1" a="1"/>
  <c r="P1566" i="1"/>
  <c r="M1574" i="1" a="1"/>
  <c r="M1574" i="1"/>
  <c r="K1566" i="1" a="1"/>
  <c r="K1566" i="1" s="1"/>
  <c r="L1574" i="1" a="1"/>
  <c r="L1574" i="1"/>
  <c r="K1574" i="1" a="1"/>
  <c r="K1574" i="1" s="1"/>
  <c r="G1574" i="1" a="1"/>
  <c r="G1574" i="1" s="1"/>
  <c r="M1572" i="1" a="1"/>
  <c r="M1572" i="1" s="1"/>
  <c r="H1572" i="1" a="1"/>
  <c r="H1572" i="1"/>
  <c r="F1566" i="1" a="1"/>
  <c r="F1566" i="1" s="1"/>
  <c r="O1572" i="1" a="1"/>
  <c r="O1572" i="1"/>
  <c r="G1565" i="1" a="1"/>
  <c r="G1565" i="1"/>
  <c r="L1572" i="1" a="1"/>
  <c r="L1572" i="1" s="1"/>
  <c r="N1564" i="1" a="1"/>
  <c r="N1564" i="1"/>
  <c r="K1572" i="1" a="1"/>
  <c r="K1572" i="1"/>
  <c r="G1572" i="1" a="1"/>
  <c r="G1572" i="1"/>
  <c r="F1565" i="1" a="1"/>
  <c r="F1565" i="1" s="1"/>
  <c r="K1565" i="1" a="1"/>
  <c r="K1565" i="1" s="1"/>
  <c r="Q1564" i="1" a="1"/>
  <c r="Q1564" i="1" s="1"/>
  <c r="H1566" i="1" a="1"/>
  <c r="H1566" i="1" s="1"/>
  <c r="I1566" i="1" a="1"/>
  <c r="I1566" i="1"/>
  <c r="N1566" i="1" a="1"/>
  <c r="N1566" i="1"/>
  <c r="Q1565" i="1" a="1"/>
  <c r="Q1565" i="1"/>
  <c r="Q1566" i="1" a="1"/>
  <c r="Q1566" i="1" s="1"/>
  <c r="J1566" i="1" a="1"/>
  <c r="J1566" i="1" s="1"/>
  <c r="O1566" i="1" a="1"/>
  <c r="O1566" i="1"/>
  <c r="P1564" i="1" a="1"/>
  <c r="P1564" i="1"/>
  <c r="O1565" i="1" a="1"/>
  <c r="O1565" i="1"/>
  <c r="H1565" i="1" a="1"/>
  <c r="H1565" i="1" s="1"/>
  <c r="J1572" i="1" a="1"/>
  <c r="J1572" i="1"/>
  <c r="I1572" i="1" a="1"/>
  <c r="I1572" i="1"/>
  <c r="I1565" i="1" a="1"/>
  <c r="I1565" i="1" s="1"/>
  <c r="M1566" i="1" a="1"/>
  <c r="M1566" i="1" s="1"/>
  <c r="O1564" i="1" a="1"/>
  <c r="O1564" i="1" s="1"/>
  <c r="J1574" i="1" a="1"/>
  <c r="J1574" i="1" s="1"/>
  <c r="I1574" i="1" a="1"/>
  <c r="I1574" i="1" s="1"/>
  <c r="H1574" i="1" a="1"/>
  <c r="H1574" i="1" s="1"/>
  <c r="P1572" i="1" a="1"/>
  <c r="P1572" i="1"/>
  <c r="N1565" i="1" a="1"/>
  <c r="N1565" i="1" s="1"/>
  <c r="F1574" i="1" a="1"/>
  <c r="F1574" i="1" s="1"/>
  <c r="Q1572" i="1" a="1"/>
  <c r="Q1572" i="1" s="1"/>
  <c r="F1572" i="1" a="1"/>
  <c r="F1572" i="1"/>
  <c r="L1566" i="1" a="1"/>
  <c r="L1566" i="1"/>
  <c r="L1565" i="1" a="1"/>
  <c r="L1565" i="1" s="1"/>
  <c r="G1566" i="1" a="1"/>
  <c r="G1566" i="1" s="1"/>
  <c r="J1565" i="1" a="1"/>
  <c r="J1565" i="1" s="1"/>
  <c r="P1565" i="1" a="1"/>
  <c r="P1565" i="1"/>
  <c r="P1574" i="1" a="1"/>
  <c r="P1574" i="1" s="1"/>
  <c r="O1574" i="1" a="1"/>
  <c r="O1574" i="1"/>
  <c r="N1574" i="1" a="1"/>
  <c r="N1574" i="1"/>
  <c r="G1557" i="1" a="1"/>
  <c r="G1557" i="1"/>
  <c r="J1558" i="1" a="1"/>
  <c r="J1558" i="1"/>
  <c r="F1557" i="1" a="1"/>
  <c r="F1557" i="1" s="1"/>
  <c r="M1557" i="1" a="1"/>
  <c r="M1557" i="1"/>
  <c r="L1558" i="1" a="1"/>
  <c r="L1558" i="1"/>
  <c r="G1558" i="1" a="1"/>
  <c r="G1558" i="1" s="1"/>
  <c r="O1558" i="1" a="1"/>
  <c r="O1558" i="1"/>
  <c r="L1557" i="1" a="1"/>
  <c r="L1557" i="1"/>
  <c r="K1558" i="1" a="1"/>
  <c r="K1558" i="1"/>
  <c r="H1558" i="1" a="1"/>
  <c r="H1558" i="1"/>
  <c r="F1558" i="1" a="1"/>
  <c r="F1558" i="1" s="1"/>
  <c r="H1557" i="1" a="1"/>
  <c r="H1557" i="1" s="1"/>
  <c r="Q1558" i="1" a="1"/>
  <c r="Q1558" i="1" s="1"/>
  <c r="O1557" i="1" a="1"/>
  <c r="O1557" i="1" s="1"/>
  <c r="K1557" i="1" a="1"/>
  <c r="K1557" i="1" s="1"/>
  <c r="M1564" i="1" a="1"/>
  <c r="M1564" i="1" s="1"/>
  <c r="G1564" i="1" a="1"/>
  <c r="G1564" i="1"/>
  <c r="P1558" i="1" a="1"/>
  <c r="P1558" i="1"/>
  <c r="L1564" i="1" a="1"/>
  <c r="L1564" i="1"/>
  <c r="F1564" i="1" a="1"/>
  <c r="F1564" i="1" s="1"/>
  <c r="I1558" i="1" a="1"/>
  <c r="I1558" i="1" s="1"/>
  <c r="P1557" i="1" a="1"/>
  <c r="P1557" i="1" s="1"/>
  <c r="I1557" i="1" a="1"/>
  <c r="I1557" i="1"/>
  <c r="N1557" i="1" a="1"/>
  <c r="N1557" i="1"/>
  <c r="Q1557" i="1" a="1"/>
  <c r="Q1557" i="1"/>
  <c r="M1558" i="1" a="1"/>
  <c r="M1558" i="1" s="1"/>
  <c r="N1558" i="1" a="1"/>
  <c r="N1558" i="1"/>
  <c r="J1557" i="1" a="1"/>
  <c r="J1557" i="1"/>
  <c r="K1564" i="1" a="1"/>
  <c r="K1564" i="1"/>
  <c r="J1564" i="1" a="1"/>
  <c r="J1564" i="1"/>
  <c r="I1564" i="1" a="1"/>
  <c r="I1564" i="1"/>
  <c r="H1564" i="1" a="1"/>
  <c r="H1564" i="1" s="1"/>
  <c r="P1551" i="1" a="1"/>
  <c r="P1551" i="1" s="1"/>
  <c r="N1551" i="1" a="1"/>
  <c r="N1551" i="1" s="1"/>
  <c r="F1548" i="1" a="1"/>
  <c r="F1548" i="1"/>
  <c r="K1551" i="1" a="1"/>
  <c r="K1551" i="1"/>
  <c r="F1549" i="1" a="1"/>
  <c r="F1549" i="1" s="1"/>
  <c r="G1548" i="1" a="1"/>
  <c r="G1548" i="1"/>
  <c r="I1549" i="1" a="1"/>
  <c r="I1549" i="1"/>
  <c r="P1548" i="1" a="1"/>
  <c r="P1548" i="1" s="1"/>
  <c r="H1548" i="1" a="1"/>
  <c r="H1548" i="1" s="1"/>
  <c r="O1549" i="1" a="1"/>
  <c r="O1549" i="1"/>
  <c r="J1548" i="1" a="1"/>
  <c r="J1548" i="1" s="1"/>
  <c r="H1551" i="1" a="1"/>
  <c r="H1551" i="1" s="1"/>
  <c r="M1548" i="1" a="1"/>
  <c r="M1548" i="1" s="1"/>
  <c r="N1549" i="1" a="1"/>
  <c r="N1549" i="1"/>
  <c r="I1548" i="1" a="1"/>
  <c r="I1548" i="1"/>
  <c r="N1548" i="1" a="1"/>
  <c r="N1548" i="1" s="1"/>
  <c r="J1549" i="1" a="1"/>
  <c r="J1549" i="1" s="1"/>
  <c r="M1549" i="1" a="1"/>
  <c r="M1549" i="1" s="1"/>
  <c r="J1551" i="1" a="1"/>
  <c r="J1551" i="1"/>
  <c r="I1551" i="1" a="1"/>
  <c r="I1551" i="1"/>
  <c r="Q1551" i="1" a="1"/>
  <c r="Q1551" i="1" s="1"/>
  <c r="G1551" i="1" a="1"/>
  <c r="G1551" i="1" s="1"/>
  <c r="O1551" i="1" a="1"/>
  <c r="O1551" i="1"/>
  <c r="Q1548" i="1" a="1"/>
  <c r="Q1548" i="1"/>
  <c r="M1551" i="1" a="1"/>
  <c r="M1551" i="1"/>
  <c r="H1549" i="1" a="1"/>
  <c r="H1549" i="1"/>
  <c r="Q1549" i="1" a="1"/>
  <c r="Q1549" i="1"/>
  <c r="K1549" i="1" a="1"/>
  <c r="K1549" i="1"/>
  <c r="P1549" i="1" a="1"/>
  <c r="P1549" i="1"/>
  <c r="L1551" i="1" a="1"/>
  <c r="L1551" i="1"/>
  <c r="F1551" i="1" a="1"/>
  <c r="F1551" i="1"/>
  <c r="G1549" i="1" a="1"/>
  <c r="G1549" i="1"/>
  <c r="K1548" i="1" a="1"/>
  <c r="K1548" i="1" s="1"/>
  <c r="L1549" i="1" a="1"/>
  <c r="L1549" i="1" s="1"/>
  <c r="L1548" i="1" a="1"/>
  <c r="L1548" i="1" s="1"/>
  <c r="O1548" i="1" a="1"/>
  <c r="O1548" i="1" s="1"/>
  <c r="I1530" i="1" a="1"/>
  <c r="I1530" i="1"/>
  <c r="O1528" i="1" a="1"/>
  <c r="O1528" i="1"/>
  <c r="Q1528" i="1" a="1"/>
  <c r="Q1528" i="1"/>
  <c r="J1528" i="1" a="1"/>
  <c r="J1528" i="1" s="1"/>
  <c r="P1531" i="1" a="1"/>
  <c r="P1531" i="1" s="1"/>
  <c r="J1529" i="1" a="1"/>
  <c r="J1529" i="1" s="1"/>
  <c r="L1531" i="1" a="1"/>
  <c r="L1531" i="1"/>
  <c r="L1529" i="1" a="1"/>
  <c r="L1529" i="1"/>
  <c r="K1529" i="1" a="1"/>
  <c r="K1529" i="1" s="1"/>
  <c r="G1531" i="1" a="1"/>
  <c r="G1531" i="1" s="1"/>
  <c r="K1531" i="1" a="1"/>
  <c r="K1531" i="1"/>
  <c r="P1530" i="1" a="1"/>
  <c r="P1530" i="1"/>
  <c r="N1528" i="1" a="1"/>
  <c r="N1528" i="1" s="1"/>
  <c r="M1528" i="1" a="1"/>
  <c r="M1528" i="1" s="1"/>
  <c r="F1530" i="1" a="1"/>
  <c r="F1530" i="1"/>
  <c r="Q1530" i="1" a="1"/>
  <c r="Q1530" i="1" s="1"/>
  <c r="O1531" i="1" a="1"/>
  <c r="O1531" i="1"/>
  <c r="N1531" i="1" a="1"/>
  <c r="N1531" i="1"/>
  <c r="L1530" i="1" a="1"/>
  <c r="L1530" i="1"/>
  <c r="N1529" i="1" a="1"/>
  <c r="N1529" i="1"/>
  <c r="M1530" i="1" a="1"/>
  <c r="M1530" i="1"/>
  <c r="H1530" i="1" a="1"/>
  <c r="H1530" i="1"/>
  <c r="H1529" i="1" a="1"/>
  <c r="H1529" i="1"/>
  <c r="G1530" i="1" a="1"/>
  <c r="G1530" i="1"/>
  <c r="I1531" i="1" a="1"/>
  <c r="I1531" i="1" s="1"/>
  <c r="K1528" i="1" a="1"/>
  <c r="K1528" i="1" s="1"/>
  <c r="P1528" i="1" a="1"/>
  <c r="P1528" i="1" s="1"/>
  <c r="J1531" i="1" a="1"/>
  <c r="J1531" i="1" s="1"/>
  <c r="F1529" i="1" a="1"/>
  <c r="F1529" i="1" s="1"/>
  <c r="O1530" i="1" a="1"/>
  <c r="O1530" i="1" s="1"/>
  <c r="Q1529" i="1" a="1"/>
  <c r="Q1529" i="1"/>
  <c r="L1528" i="1" a="1"/>
  <c r="L1528" i="1"/>
  <c r="O1529" i="1" a="1"/>
  <c r="O1529" i="1" s="1"/>
  <c r="P1529" i="1" a="1"/>
  <c r="P1529" i="1" s="1"/>
  <c r="M1529" i="1" a="1"/>
  <c r="M1529" i="1" s="1"/>
  <c r="Q1531" i="1" a="1"/>
  <c r="Q1531" i="1"/>
  <c r="N1530" i="1" a="1"/>
  <c r="N1530" i="1" s="1"/>
  <c r="H1531" i="1" a="1"/>
  <c r="H1531" i="1"/>
  <c r="I1528" i="1" a="1"/>
  <c r="I1528" i="1"/>
  <c r="M1531" i="1" a="1"/>
  <c r="M1531" i="1"/>
  <c r="F1531" i="1" a="1"/>
  <c r="F1531" i="1" s="1"/>
  <c r="H1528" i="1" a="1"/>
  <c r="H1528" i="1" s="1"/>
  <c r="I1529" i="1" a="1"/>
  <c r="I1529" i="1"/>
  <c r="K1530" i="1" a="1"/>
  <c r="K1530" i="1" s="1"/>
  <c r="J1530" i="1" a="1"/>
  <c r="J1530" i="1" s="1"/>
  <c r="G1529" i="1" a="1"/>
  <c r="G1529" i="1" s="1"/>
  <c r="G1526" i="1" a="1"/>
  <c r="G1526" i="1"/>
  <c r="I1527" i="1" a="1"/>
  <c r="I1527" i="1"/>
  <c r="G1527" i="1" a="1"/>
  <c r="G1527" i="1"/>
  <c r="O1523" i="1" a="1"/>
  <c r="O1523" i="1"/>
  <c r="Q1526" i="1" a="1"/>
  <c r="Q1526" i="1"/>
  <c r="J1525" i="1" a="1"/>
  <c r="J1525" i="1"/>
  <c r="K1523" i="1" a="1"/>
  <c r="K1523" i="1"/>
  <c r="K1526" i="1" a="1"/>
  <c r="K1526" i="1"/>
  <c r="Q1525" i="1" a="1"/>
  <c r="Q1525" i="1" s="1"/>
  <c r="L1523" i="1" a="1"/>
  <c r="L1523" i="1" s="1"/>
  <c r="N1525" i="1" a="1"/>
  <c r="N1525" i="1" s="1"/>
  <c r="K1525" i="1" a="1"/>
  <c r="K1525" i="1" s="1"/>
  <c r="G1525" i="1" a="1"/>
  <c r="G1525" i="1"/>
  <c r="F1524" i="1" a="1"/>
  <c r="F1524" i="1"/>
  <c r="F1525" i="1" a="1"/>
  <c r="F1525" i="1" s="1"/>
  <c r="K1524" i="1" a="1"/>
  <c r="K1524" i="1" s="1"/>
  <c r="I1524" i="1" a="1"/>
  <c r="I1524" i="1" s="1"/>
  <c r="P1522" i="1" a="1"/>
  <c r="P1522" i="1" s="1"/>
  <c r="O1524" i="1" a="1"/>
  <c r="O1524" i="1"/>
  <c r="G1528" i="1" a="1"/>
  <c r="G1528" i="1"/>
  <c r="F1528" i="1" a="1"/>
  <c r="F1528" i="1" s="1"/>
  <c r="F1527" i="1" a="1"/>
  <c r="F1527" i="1"/>
  <c r="L1526" i="1" a="1"/>
  <c r="L1526" i="1"/>
  <c r="P1524" i="1" a="1"/>
  <c r="P1524" i="1" s="1"/>
  <c r="G1524" i="1" a="1"/>
  <c r="G1524" i="1"/>
  <c r="O1526" i="1" a="1"/>
  <c r="O1526" i="1" s="1"/>
  <c r="Q1527" i="1" a="1"/>
  <c r="Q1527" i="1" s="1"/>
  <c r="P1527" i="1" a="1"/>
  <c r="P1527" i="1" s="1"/>
  <c r="O1527" i="1" a="1"/>
  <c r="O1527" i="1"/>
  <c r="I1523" i="1" a="1"/>
  <c r="I1523" i="1"/>
  <c r="I1525" i="1" a="1"/>
  <c r="I1525" i="1"/>
  <c r="N1527" i="1" a="1"/>
  <c r="N1527" i="1"/>
  <c r="M1527" i="1" a="1"/>
  <c r="M1527" i="1"/>
  <c r="L1527" i="1" a="1"/>
  <c r="L1527" i="1"/>
  <c r="N1523" i="1" a="1"/>
  <c r="N1523" i="1"/>
  <c r="K1527" i="1" a="1"/>
  <c r="K1527" i="1" s="1"/>
  <c r="P1526" i="1" a="1"/>
  <c r="P1526" i="1"/>
  <c r="H1527" i="1" a="1"/>
  <c r="H1527" i="1" s="1"/>
  <c r="O1525" i="1" a="1"/>
  <c r="O1525" i="1" s="1"/>
  <c r="N1526" i="1" a="1"/>
  <c r="N1526" i="1"/>
  <c r="M1525" i="1" a="1"/>
  <c r="M1525" i="1"/>
  <c r="G1523" i="1" a="1"/>
  <c r="G1523" i="1"/>
  <c r="M1526" i="1" a="1"/>
  <c r="M1526" i="1" s="1"/>
  <c r="H1525" i="1" a="1"/>
  <c r="H1525" i="1" s="1"/>
  <c r="H1524" i="1" a="1"/>
  <c r="H1524" i="1" s="1"/>
  <c r="Q1522" i="1" a="1"/>
  <c r="Q1522" i="1" s="1"/>
  <c r="L1524" i="1" a="1"/>
  <c r="L1524" i="1" s="1"/>
  <c r="P1523" i="1" a="1"/>
  <c r="P1523" i="1"/>
  <c r="J1526" i="1" a="1"/>
  <c r="J1526" i="1"/>
  <c r="I1526" i="1" a="1"/>
  <c r="I1526" i="1"/>
  <c r="H1526" i="1" a="1"/>
  <c r="H1526" i="1" s="1"/>
  <c r="F1526" i="1" a="1"/>
  <c r="F1526" i="1" s="1"/>
  <c r="P1525" i="1" a="1"/>
  <c r="P1525" i="1"/>
  <c r="Q1523" i="1" a="1"/>
  <c r="Q1523" i="1"/>
  <c r="L1525" i="1" a="1"/>
  <c r="L1525" i="1" s="1"/>
  <c r="F1523" i="1" a="1"/>
  <c r="F1523" i="1"/>
  <c r="M1524" i="1" a="1"/>
  <c r="M1524" i="1"/>
  <c r="Q1524" i="1" a="1"/>
  <c r="Q1524" i="1"/>
  <c r="N1524" i="1" a="1"/>
  <c r="N1524" i="1" s="1"/>
  <c r="J1524" i="1" a="1"/>
  <c r="J1524" i="1"/>
  <c r="J1523" i="1" a="1"/>
  <c r="J1523" i="1"/>
  <c r="M1523" i="1" a="1"/>
  <c r="M1523" i="1"/>
  <c r="J1527" i="1" a="1"/>
  <c r="J1527" i="1"/>
  <c r="H1523" i="1" a="1"/>
  <c r="H1523" i="1" s="1"/>
  <c r="H1520" i="1" a="1"/>
  <c r="H1520" i="1"/>
  <c r="H1521" i="1" a="1"/>
  <c r="H1521" i="1" s="1"/>
  <c r="G1521" i="1" a="1"/>
  <c r="G1521" i="1" s="1"/>
  <c r="G1520" i="1" a="1"/>
  <c r="G1520" i="1" s="1"/>
  <c r="F1521" i="1" a="1"/>
  <c r="F1521" i="1"/>
  <c r="P1520" i="1" a="1"/>
  <c r="P1520" i="1"/>
  <c r="O1520" i="1" a="1"/>
  <c r="O1520" i="1" s="1"/>
  <c r="F1519" i="1" a="1"/>
  <c r="F1519" i="1" s="1"/>
  <c r="H1519" i="1" a="1"/>
  <c r="H1519" i="1" s="1"/>
  <c r="M1520" i="1" a="1"/>
  <c r="M1520" i="1" s="1"/>
  <c r="L1520" i="1" a="1"/>
  <c r="L1520" i="1" s="1"/>
  <c r="K1520" i="1" a="1"/>
  <c r="K1520" i="1" s="1"/>
  <c r="H1517" i="1" a="1"/>
  <c r="H1517" i="1"/>
  <c r="M1517" i="1" a="1"/>
  <c r="M1517" i="1"/>
  <c r="K1519" i="1" a="1"/>
  <c r="K1519" i="1"/>
  <c r="I1519" i="1" a="1"/>
  <c r="I1519" i="1" s="1"/>
  <c r="O1517" i="1" a="1"/>
  <c r="O1517" i="1"/>
  <c r="I1520" i="1" a="1"/>
  <c r="I1520" i="1"/>
  <c r="F1520" i="1" a="1"/>
  <c r="F1520" i="1" s="1"/>
  <c r="N1519" i="1" a="1"/>
  <c r="N1519" i="1"/>
  <c r="N1517" i="1" a="1"/>
  <c r="N1517" i="1" s="1"/>
  <c r="Q1517" i="1" a="1"/>
  <c r="Q1517" i="1" s="1"/>
  <c r="F1517" i="1" a="1"/>
  <c r="F1517" i="1" s="1"/>
  <c r="L1517" i="1" a="1"/>
  <c r="L1517" i="1" s="1"/>
  <c r="Q1519" i="1" a="1"/>
  <c r="Q1519" i="1"/>
  <c r="G1519" i="1" a="1"/>
  <c r="G1519" i="1"/>
  <c r="P1517" i="1" a="1"/>
  <c r="P1517" i="1"/>
  <c r="O1522" i="1" a="1"/>
  <c r="O1522" i="1" s="1"/>
  <c r="N1522" i="1" a="1"/>
  <c r="N1522" i="1"/>
  <c r="N1520" i="1" a="1"/>
  <c r="N1520" i="1" s="1"/>
  <c r="O1519" i="1" a="1"/>
  <c r="O1519" i="1" s="1"/>
  <c r="J1520" i="1" a="1"/>
  <c r="J1520" i="1" s="1"/>
  <c r="K1517" i="1" a="1"/>
  <c r="K1517" i="1" s="1"/>
  <c r="J1517" i="1" a="1"/>
  <c r="J1517" i="1"/>
  <c r="G1517" i="1" a="1"/>
  <c r="G1517" i="1" s="1"/>
  <c r="M1519" i="1" a="1"/>
  <c r="M1519" i="1"/>
  <c r="Q1521" i="1" a="1"/>
  <c r="Q1521" i="1" s="1"/>
  <c r="Q1520" i="1" a="1"/>
  <c r="Q1520" i="1"/>
  <c r="Q1516" i="1" a="1"/>
  <c r="Q1516" i="1" s="1"/>
  <c r="F1522" i="1" a="1"/>
  <c r="F1522" i="1" s="1"/>
  <c r="L1519" i="1" a="1"/>
  <c r="L1519" i="1" s="1"/>
  <c r="I1517" i="1" a="1"/>
  <c r="I1517" i="1"/>
  <c r="G1522" i="1" a="1"/>
  <c r="G1522" i="1"/>
  <c r="M1522" i="1" a="1"/>
  <c r="M1522" i="1" s="1"/>
  <c r="L1522" i="1" a="1"/>
  <c r="L1522" i="1"/>
  <c r="K1522" i="1" a="1"/>
  <c r="K1522" i="1"/>
  <c r="J1522" i="1" a="1"/>
  <c r="J1522" i="1" s="1"/>
  <c r="I1522" i="1" a="1"/>
  <c r="I1522" i="1" s="1"/>
  <c r="H1522" i="1" a="1"/>
  <c r="H1522" i="1" s="1"/>
  <c r="P1521" i="1" a="1"/>
  <c r="P1521" i="1"/>
  <c r="M1521" i="1" a="1"/>
  <c r="M1521" i="1" s="1"/>
  <c r="O1521" i="1" a="1"/>
  <c r="O1521" i="1"/>
  <c r="N1521" i="1" a="1"/>
  <c r="N1521" i="1" s="1"/>
  <c r="P1519" i="1" a="1"/>
  <c r="P1519" i="1"/>
  <c r="L1521" i="1" a="1"/>
  <c r="L1521" i="1"/>
  <c r="J1519" i="1" a="1"/>
  <c r="J1519" i="1"/>
  <c r="K1521" i="1" a="1"/>
  <c r="K1521" i="1" s="1"/>
  <c r="J1521" i="1" a="1"/>
  <c r="J1521" i="1" s="1"/>
  <c r="I1521" i="1" a="1"/>
  <c r="I1521" i="1" s="1"/>
  <c r="Q1515" i="1" a="1"/>
  <c r="Q1515" i="1"/>
  <c r="N1516" i="1" a="1"/>
  <c r="N1516" i="1"/>
  <c r="J1516" i="1" a="1"/>
  <c r="J1516" i="1" s="1"/>
  <c r="Q1513" i="1" a="1"/>
  <c r="Q1513" i="1"/>
  <c r="M1516" i="1" a="1"/>
  <c r="M1516" i="1" s="1"/>
  <c r="F1513" i="1" a="1"/>
  <c r="F1513" i="1" s="1"/>
  <c r="L1516" i="1" a="1"/>
  <c r="L1516" i="1" s="1"/>
  <c r="K1516" i="1" a="1"/>
  <c r="K1516" i="1" s="1"/>
  <c r="O1513" i="1" a="1"/>
  <c r="O1513" i="1" s="1"/>
  <c r="K1515" i="1" a="1"/>
  <c r="K1515" i="1" s="1"/>
  <c r="Q1514" i="1" a="1"/>
  <c r="Q1514" i="1" s="1"/>
  <c r="O1514" i="1" a="1"/>
  <c r="O1514" i="1"/>
  <c r="I1516" i="1" a="1"/>
  <c r="I1516" i="1" s="1"/>
  <c r="H1516" i="1" a="1"/>
  <c r="H1516" i="1"/>
  <c r="J1515" i="1" a="1"/>
  <c r="J1515" i="1"/>
  <c r="H1513" i="1" a="1"/>
  <c r="H1513" i="1" s="1"/>
  <c r="O1515" i="1" a="1"/>
  <c r="O1515" i="1"/>
  <c r="I1515" i="1" a="1"/>
  <c r="I1515" i="1"/>
  <c r="M1514" i="1" a="1"/>
  <c r="M1514" i="1" s="1"/>
  <c r="J1514" i="1" a="1"/>
  <c r="J1514" i="1" s="1"/>
  <c r="F1514" i="1" a="1"/>
  <c r="F1514" i="1" s="1"/>
  <c r="J1513" i="1" a="1"/>
  <c r="J1513" i="1" s="1"/>
  <c r="G1513" i="1" a="1"/>
  <c r="G1513" i="1" s="1"/>
  <c r="F1516" i="1" a="1"/>
  <c r="F1516" i="1"/>
  <c r="M1515" i="1" a="1"/>
  <c r="M1515" i="1"/>
  <c r="G1515" i="1" a="1"/>
  <c r="G1515" i="1"/>
  <c r="F1515" i="1" a="1"/>
  <c r="F1515" i="1" s="1"/>
  <c r="L1514" i="1" a="1"/>
  <c r="L1514" i="1" s="1"/>
  <c r="H1514" i="1" a="1"/>
  <c r="H1514" i="1" s="1"/>
  <c r="N1514" i="1" a="1"/>
  <c r="N1514" i="1" s="1"/>
  <c r="L1513" i="1" a="1"/>
  <c r="L1513" i="1"/>
  <c r="I1513" i="1" a="1"/>
  <c r="I1513" i="1"/>
  <c r="M1513" i="1" a="1"/>
  <c r="M1513" i="1"/>
  <c r="K1513" i="1" a="1"/>
  <c r="K1513" i="1" s="1"/>
  <c r="G1514" i="1" a="1"/>
  <c r="G1514" i="1" s="1"/>
  <c r="G1516" i="1" a="1"/>
  <c r="G1516" i="1"/>
  <c r="L1515" i="1" a="1"/>
  <c r="L1515" i="1" s="1"/>
  <c r="P1515" i="1" a="1"/>
  <c r="P1515" i="1" s="1"/>
  <c r="K1514" i="1" a="1"/>
  <c r="K1514" i="1" s="1"/>
  <c r="N1515" i="1" a="1"/>
  <c r="N1515" i="1" s="1"/>
  <c r="H1515" i="1" a="1"/>
  <c r="H1515" i="1" s="1"/>
  <c r="P1514" i="1" a="1"/>
  <c r="P1514" i="1"/>
  <c r="N1513" i="1" a="1"/>
  <c r="N1513" i="1"/>
  <c r="P1513" i="1" a="1"/>
  <c r="P1513" i="1" s="1"/>
  <c r="I1514" i="1" a="1"/>
  <c r="I1514" i="1" s="1"/>
  <c r="P1516" i="1" a="1"/>
  <c r="P1516" i="1" s="1"/>
  <c r="O1516" i="1" a="1"/>
  <c r="O1516" i="1"/>
  <c r="O1506" i="1" a="1"/>
  <c r="O1506" i="1"/>
  <c r="Q1504" i="1" a="1"/>
  <c r="Q1504" i="1"/>
  <c r="K1506" i="1" a="1"/>
  <c r="K1506" i="1" s="1"/>
  <c r="F1504" i="1" a="1"/>
  <c r="F1504" i="1"/>
  <c r="M1507" i="1" a="1"/>
  <c r="M1507" i="1"/>
  <c r="L1506" i="1" a="1"/>
  <c r="L1506" i="1"/>
  <c r="P1507" i="1" a="1"/>
  <c r="P1507" i="1"/>
  <c r="O1507" i="1" a="1"/>
  <c r="O1507" i="1" s="1"/>
  <c r="N1507" i="1" a="1"/>
  <c r="N1507" i="1"/>
  <c r="M1504" i="1" a="1"/>
  <c r="M1504" i="1" s="1"/>
  <c r="I1506" i="1" a="1"/>
  <c r="I1506" i="1" s="1"/>
  <c r="L1507" i="1" a="1"/>
  <c r="L1507" i="1"/>
  <c r="J1507" i="1" a="1"/>
  <c r="J1507" i="1"/>
  <c r="I1507" i="1" a="1"/>
  <c r="I1507" i="1" s="1"/>
  <c r="J1505" i="1" a="1"/>
  <c r="J1505" i="1"/>
  <c r="N1504" i="1" a="1"/>
  <c r="N1504" i="1"/>
  <c r="H1507" i="1" a="1"/>
  <c r="H1507" i="1"/>
  <c r="H1504" i="1" a="1"/>
  <c r="H1504" i="1"/>
  <c r="Q1506" i="1" a="1"/>
  <c r="Q1506" i="1" s="1"/>
  <c r="G1507" i="1" a="1"/>
  <c r="G1507" i="1" s="1"/>
  <c r="O1505" i="1" a="1"/>
  <c r="O1505" i="1" s="1"/>
  <c r="P1506" i="1" a="1"/>
  <c r="P1506" i="1" s="1"/>
  <c r="N1506" i="1" a="1"/>
  <c r="N1506" i="1"/>
  <c r="M1506" i="1" a="1"/>
  <c r="M1506" i="1" s="1"/>
  <c r="G1506" i="1" a="1"/>
  <c r="G1506" i="1"/>
  <c r="Q1505" i="1" a="1"/>
  <c r="Q1505" i="1"/>
  <c r="M1505" i="1" a="1"/>
  <c r="M1505" i="1" s="1"/>
  <c r="H1506" i="1" a="1"/>
  <c r="H1506" i="1" s="1"/>
  <c r="H1505" i="1" a="1"/>
  <c r="H1505" i="1" s="1"/>
  <c r="P1505" i="1" a="1"/>
  <c r="P1505" i="1"/>
  <c r="F1507" i="1" a="1"/>
  <c r="F1507" i="1"/>
  <c r="F1506" i="1" a="1"/>
  <c r="F1506" i="1"/>
  <c r="J1506" i="1" a="1"/>
  <c r="J1506" i="1" s="1"/>
  <c r="F1505" i="1" a="1"/>
  <c r="F1505" i="1" s="1"/>
  <c r="K1504" i="1" a="1"/>
  <c r="K1504" i="1"/>
  <c r="I1504" i="1" a="1"/>
  <c r="I1504" i="1" s="1"/>
  <c r="J1504" i="1" a="1"/>
  <c r="J1504" i="1" s="1"/>
  <c r="G1504" i="1" a="1"/>
  <c r="G1504" i="1"/>
  <c r="G1505" i="1" a="1"/>
  <c r="G1505" i="1" s="1"/>
  <c r="K1507" i="1" a="1"/>
  <c r="K1507" i="1"/>
  <c r="K1505" i="1" a="1"/>
  <c r="K1505" i="1"/>
  <c r="P1504" i="1" a="1"/>
  <c r="P1504" i="1" s="1"/>
  <c r="Q1507" i="1" a="1"/>
  <c r="Q1507" i="1" s="1"/>
  <c r="N1505" i="1" a="1"/>
  <c r="N1505" i="1" s="1"/>
  <c r="L1505" i="1" a="1"/>
  <c r="L1505" i="1"/>
  <c r="L1504" i="1" a="1"/>
  <c r="L1504" i="1"/>
  <c r="O1504" i="1" a="1"/>
  <c r="O1504" i="1"/>
  <c r="I1505" i="1" a="1"/>
  <c r="I1505" i="1"/>
  <c r="N1501" i="1" a="1"/>
  <c r="N1501" i="1" s="1"/>
  <c r="F1499" i="1" a="1"/>
  <c r="F1499" i="1" s="1"/>
  <c r="L1501" i="1" a="1"/>
  <c r="L1501" i="1"/>
  <c r="M1501" i="1" a="1"/>
  <c r="M1501" i="1"/>
  <c r="J1501" i="1" a="1"/>
  <c r="J1501" i="1"/>
  <c r="I1501" i="1" a="1"/>
  <c r="I1501" i="1" s="1"/>
  <c r="G1501" i="1" a="1"/>
  <c r="G1501" i="1"/>
  <c r="P1499" i="1" a="1"/>
  <c r="P1499" i="1"/>
  <c r="O1500" i="1" a="1"/>
  <c r="O1500" i="1" s="1"/>
  <c r="M1500" i="1" a="1"/>
  <c r="M1500" i="1" s="1"/>
  <c r="F1500" i="1" a="1"/>
  <c r="F1500" i="1" s="1"/>
  <c r="F1501" i="1" a="1"/>
  <c r="F1501" i="1"/>
  <c r="Q1500" i="1" a="1"/>
  <c r="Q1500" i="1"/>
  <c r="H1499" i="1" a="1"/>
  <c r="H1499" i="1" s="1"/>
  <c r="G1499" i="1" a="1"/>
  <c r="G1499" i="1" s="1"/>
  <c r="H1500" i="1" a="1"/>
  <c r="H1500" i="1" s="1"/>
  <c r="J1500" i="1" a="1"/>
  <c r="J1500" i="1" s="1"/>
  <c r="P1502" i="1" a="1"/>
  <c r="P1502" i="1" s="1"/>
  <c r="O1494" i="1" a="1"/>
  <c r="O1494" i="1"/>
  <c r="L1500" i="1" a="1"/>
  <c r="L1500" i="1"/>
  <c r="O1499" i="1" a="1"/>
  <c r="O1499" i="1"/>
  <c r="L1499" i="1" a="1"/>
  <c r="L1499" i="1" s="1"/>
  <c r="O1502" i="1" a="1"/>
  <c r="O1502" i="1" s="1"/>
  <c r="H1501" i="1" a="1"/>
  <c r="H1501" i="1" s="1"/>
  <c r="M1502" i="1" a="1"/>
  <c r="M1502" i="1"/>
  <c r="Q1501" i="1" a="1"/>
  <c r="Q1501" i="1"/>
  <c r="H1502" i="1" a="1"/>
  <c r="H1502" i="1" s="1"/>
  <c r="K1501" i="1" a="1"/>
  <c r="K1501" i="1"/>
  <c r="J1499" i="1" a="1"/>
  <c r="J1499" i="1"/>
  <c r="Q1494" i="1" a="1"/>
  <c r="Q1494" i="1" s="1"/>
  <c r="I1500" i="1" a="1"/>
  <c r="I1500" i="1"/>
  <c r="N1500" i="1" a="1"/>
  <c r="N1500" i="1"/>
  <c r="G1502" i="1" a="1"/>
  <c r="G1502" i="1"/>
  <c r="P1500" i="1" a="1"/>
  <c r="P1500" i="1"/>
  <c r="Q1502" i="1" a="1"/>
  <c r="Q1502" i="1"/>
  <c r="P1494" i="1" a="1"/>
  <c r="P1494" i="1"/>
  <c r="I1499" i="1" a="1"/>
  <c r="I1499" i="1"/>
  <c r="N1502" i="1" a="1"/>
  <c r="N1502" i="1"/>
  <c r="L1502" i="1" a="1"/>
  <c r="L1502" i="1" s="1"/>
  <c r="K1502" i="1" a="1"/>
  <c r="K1502" i="1" s="1"/>
  <c r="M1499" i="1" a="1"/>
  <c r="M1499" i="1" s="1"/>
  <c r="G1500" i="1" a="1"/>
  <c r="G1500" i="1"/>
  <c r="Q1499" i="1" a="1"/>
  <c r="Q1499" i="1"/>
  <c r="P1501" i="1" a="1"/>
  <c r="P1501" i="1" s="1"/>
  <c r="N1499" i="1" a="1"/>
  <c r="N1499" i="1" s="1"/>
  <c r="J1502" i="1" a="1"/>
  <c r="J1502" i="1" s="1"/>
  <c r="I1502" i="1" a="1"/>
  <c r="I1502" i="1" s="1"/>
  <c r="F1502" i="1" a="1"/>
  <c r="F1502" i="1"/>
  <c r="K1499" i="1" a="1"/>
  <c r="K1499" i="1"/>
  <c r="O1501" i="1" a="1"/>
  <c r="O1501" i="1" s="1"/>
  <c r="K1500" i="1" a="1"/>
  <c r="K1500" i="1" s="1"/>
  <c r="F1494" i="1" a="1"/>
  <c r="F1494" i="1"/>
  <c r="L1492" i="1" a="1"/>
  <c r="L1492" i="1"/>
  <c r="I1492" i="1" a="1"/>
  <c r="I1492" i="1"/>
  <c r="O1487" i="1" a="1"/>
  <c r="O1487" i="1" s="1"/>
  <c r="H1487" i="1" a="1"/>
  <c r="H1487" i="1" s="1"/>
  <c r="J1485" i="1" a="1"/>
  <c r="J1485" i="1" s="1"/>
  <c r="P1487" i="1" a="1"/>
  <c r="P1487" i="1" s="1"/>
  <c r="P1485" i="1" a="1"/>
  <c r="P1485" i="1"/>
  <c r="K1485" i="1" a="1"/>
  <c r="K1485" i="1"/>
  <c r="G1492" i="1" a="1"/>
  <c r="G1492" i="1"/>
  <c r="M1494" i="1" a="1"/>
  <c r="M1494" i="1"/>
  <c r="I1485" i="1" a="1"/>
  <c r="I1485" i="1" s="1"/>
  <c r="G1494" i="1" a="1"/>
  <c r="G1494" i="1"/>
  <c r="N1494" i="1" a="1"/>
  <c r="N1494" i="1"/>
  <c r="J1487" i="1" a="1"/>
  <c r="J1487" i="1"/>
  <c r="L1494" i="1" a="1"/>
  <c r="L1494" i="1" s="1"/>
  <c r="Q1492" i="1" a="1"/>
  <c r="Q1492" i="1" s="1"/>
  <c r="M1487" i="1" a="1"/>
  <c r="M1487" i="1"/>
  <c r="I1487" i="1" a="1"/>
  <c r="I1487" i="1"/>
  <c r="F1487" i="1" a="1"/>
  <c r="F1487" i="1"/>
  <c r="G1485" i="1" a="1"/>
  <c r="G1485" i="1" s="1"/>
  <c r="F1485" i="1" a="1"/>
  <c r="F1485" i="1"/>
  <c r="O1492" i="1" a="1"/>
  <c r="O1492" i="1" s="1"/>
  <c r="K1492" i="1" a="1"/>
  <c r="K1492" i="1" s="1"/>
  <c r="N1485" i="1" a="1"/>
  <c r="N1485" i="1" s="1"/>
  <c r="M1492" i="1" a="1"/>
  <c r="M1492" i="1"/>
  <c r="G1487" i="1" a="1"/>
  <c r="G1487" i="1"/>
  <c r="K1487" i="1" a="1"/>
  <c r="K1487" i="1" s="1"/>
  <c r="M1485" i="1" a="1"/>
  <c r="M1485" i="1"/>
  <c r="H1485" i="1" a="1"/>
  <c r="H1485" i="1" s="1"/>
  <c r="Q1487" i="1" a="1"/>
  <c r="Q1487" i="1" s="1"/>
  <c r="Q1485" i="1" a="1"/>
  <c r="Q1485" i="1" s="1"/>
  <c r="K1494" i="1" a="1"/>
  <c r="K1494" i="1" s="1"/>
  <c r="J1494" i="1" a="1"/>
  <c r="J1494" i="1" s="1"/>
  <c r="I1494" i="1" a="1"/>
  <c r="I1494" i="1" s="1"/>
  <c r="H1494" i="1" a="1"/>
  <c r="H1494" i="1" s="1"/>
  <c r="N1492" i="1" a="1"/>
  <c r="N1492" i="1" s="1"/>
  <c r="P1492" i="1" a="1"/>
  <c r="P1492" i="1"/>
  <c r="J1492" i="1" a="1"/>
  <c r="J1492" i="1"/>
  <c r="H1492" i="1" a="1"/>
  <c r="H1492" i="1"/>
  <c r="L1485" i="1" a="1"/>
  <c r="L1485" i="1"/>
  <c r="F1492" i="1" a="1"/>
  <c r="F1492" i="1" s="1"/>
  <c r="N1487" i="1" a="1"/>
  <c r="N1487" i="1"/>
  <c r="L1487" i="1" a="1"/>
  <c r="L1487" i="1" s="1"/>
  <c r="O1485" i="1" a="1"/>
  <c r="O1485" i="1" s="1"/>
  <c r="M1458" i="1" a="1"/>
  <c r="M1458" i="1"/>
  <c r="I1458" i="1" a="1"/>
  <c r="I1458" i="1"/>
  <c r="O1458" i="1" a="1"/>
  <c r="O1458" i="1"/>
  <c r="Q1458" i="1" a="1"/>
  <c r="Q1458" i="1" s="1"/>
  <c r="N1458" i="1" a="1"/>
  <c r="N1458" i="1"/>
  <c r="K1458" i="1" a="1"/>
  <c r="K1458" i="1"/>
  <c r="J1458" i="1" a="1"/>
  <c r="J1458" i="1" s="1"/>
  <c r="P1458" i="1" a="1"/>
  <c r="P1458" i="1" s="1"/>
  <c r="H1458" i="1" a="1"/>
  <c r="H1458" i="1" s="1"/>
  <c r="L1458" i="1" a="1"/>
  <c r="L1458" i="1"/>
  <c r="N1188" i="1" a="1"/>
  <c r="N1188" i="1"/>
  <c r="H1188" i="1" a="1"/>
  <c r="H1188" i="1"/>
  <c r="I1188" i="1" a="1"/>
  <c r="I1188" i="1" s="1"/>
  <c r="H1189" i="1" a="1"/>
  <c r="H1189" i="1"/>
  <c r="J1188" i="1" a="1"/>
  <c r="J1188" i="1" s="1"/>
  <c r="O1189" i="1" a="1"/>
  <c r="O1189" i="1" s="1"/>
  <c r="N1189" i="1" a="1"/>
  <c r="N1189" i="1" s="1"/>
  <c r="L1188" i="1" a="1"/>
  <c r="L1188" i="1" s="1"/>
  <c r="F1190" i="1" a="1"/>
  <c r="F1190" i="1" s="1"/>
  <c r="K1189" i="1" a="1"/>
  <c r="K1189" i="1"/>
  <c r="Q1189" i="1" a="1"/>
  <c r="Q1189" i="1"/>
  <c r="J1189" i="1" a="1"/>
  <c r="J1189" i="1"/>
  <c r="G1189" i="1" a="1"/>
  <c r="G1189" i="1"/>
  <c r="P1188" i="1" a="1"/>
  <c r="P1188" i="1"/>
  <c r="Q1188" i="1" a="1"/>
  <c r="Q1188" i="1"/>
  <c r="F1188" i="1" a="1"/>
  <c r="F1188" i="1"/>
  <c r="P1189" i="1" a="1"/>
  <c r="P1189" i="1"/>
  <c r="M1189" i="1" a="1"/>
  <c r="M1189" i="1" s="1"/>
  <c r="L1189" i="1" a="1"/>
  <c r="L1189" i="1"/>
  <c r="O1188" i="1" a="1"/>
  <c r="O1188" i="1" s="1"/>
  <c r="M1188" i="1" a="1"/>
  <c r="M1188" i="1"/>
  <c r="G1188" i="1" a="1"/>
  <c r="G1188" i="1" s="1"/>
  <c r="I1189" i="1" a="1"/>
  <c r="I1189" i="1"/>
  <c r="F1189" i="1" a="1"/>
  <c r="F1189" i="1"/>
  <c r="K1188" i="1" a="1"/>
  <c r="K1188" i="1" s="1"/>
  <c r="M1185" i="1" a="1"/>
  <c r="M1185" i="1" s="1"/>
  <c r="L1185" i="1" a="1"/>
  <c r="L1185" i="1" s="1"/>
  <c r="Q1185" i="1" a="1"/>
  <c r="Q1185" i="1" s="1"/>
  <c r="K1187" i="1" a="1"/>
  <c r="K1187" i="1"/>
  <c r="J1185" i="1" a="1"/>
  <c r="J1185" i="1"/>
  <c r="N1187" i="1" a="1"/>
  <c r="N1187" i="1"/>
  <c r="J1187" i="1" a="1"/>
  <c r="J1187" i="1"/>
  <c r="K1186" i="1" a="1"/>
  <c r="K1186" i="1"/>
  <c r="I1186" i="1" a="1"/>
  <c r="I1186" i="1" s="1"/>
  <c r="I1185" i="1" a="1"/>
  <c r="I1185" i="1"/>
  <c r="F1185" i="1" a="1"/>
  <c r="F1185" i="1" s="1"/>
  <c r="Q1187" i="1" a="1"/>
  <c r="Q1187" i="1"/>
  <c r="L1187" i="1" a="1"/>
  <c r="L1187" i="1" s="1"/>
  <c r="H1187" i="1" a="1"/>
  <c r="H1187" i="1"/>
  <c r="P1187" i="1" a="1"/>
  <c r="P1187" i="1"/>
  <c r="G1187" i="1" a="1"/>
  <c r="G1187" i="1"/>
  <c r="L1186" i="1" a="1"/>
  <c r="L1186" i="1"/>
  <c r="F1187" i="1" a="1"/>
  <c r="F1187" i="1"/>
  <c r="H1185" i="1" a="1"/>
  <c r="H1185" i="1"/>
  <c r="N1186" i="1" a="1"/>
  <c r="N1186" i="1"/>
  <c r="I1187" i="1" a="1"/>
  <c r="I1187" i="1"/>
  <c r="Q1186" i="1" a="1"/>
  <c r="Q1186" i="1"/>
  <c r="O1186" i="1" a="1"/>
  <c r="O1186" i="1"/>
  <c r="M1186" i="1" a="1"/>
  <c r="M1186" i="1"/>
  <c r="G1186" i="1" a="1"/>
  <c r="G1186" i="1" s="1"/>
  <c r="O1185" i="1" a="1"/>
  <c r="O1185" i="1"/>
  <c r="J1186" i="1" a="1"/>
  <c r="J1186" i="1" s="1"/>
  <c r="F1186" i="1" a="1"/>
  <c r="F1186" i="1" s="1"/>
  <c r="N1185" i="1" a="1"/>
  <c r="N1185" i="1" s="1"/>
  <c r="P1186" i="1" a="1"/>
  <c r="P1186" i="1" s="1"/>
  <c r="G1185" i="1" a="1"/>
  <c r="G1185" i="1" s="1"/>
  <c r="P1185" i="1" a="1"/>
  <c r="P1185" i="1" s="1"/>
  <c r="K1185" i="1" a="1"/>
  <c r="K1185" i="1"/>
  <c r="O1187" i="1" a="1"/>
  <c r="O1187" i="1" s="1"/>
  <c r="H1186" i="1" a="1"/>
  <c r="H1186" i="1"/>
  <c r="M1187" i="1" a="1"/>
  <c r="M1187" i="1"/>
  <c r="M1178" i="1" a="1"/>
  <c r="M1178" i="1"/>
  <c r="P1179" i="1" a="1"/>
  <c r="P1179" i="1"/>
  <c r="J1179" i="1" a="1"/>
  <c r="J1179" i="1" s="1"/>
  <c r="I1179" i="1" a="1"/>
  <c r="I1179" i="1" s="1"/>
  <c r="F1179" i="1" a="1"/>
  <c r="F1179" i="1"/>
  <c r="Q1178" i="1" a="1"/>
  <c r="Q1178" i="1"/>
  <c r="G1177" i="1" a="1"/>
  <c r="G1177" i="1" s="1"/>
  <c r="H1178" i="1" a="1"/>
  <c r="H1178" i="1" s="1"/>
  <c r="N1176" i="1" a="1"/>
  <c r="N1176" i="1"/>
  <c r="M1177" i="1" a="1"/>
  <c r="M1177" i="1"/>
  <c r="M1176" i="1" a="1"/>
  <c r="M1176" i="1"/>
  <c r="I1176" i="1" a="1"/>
  <c r="I1176" i="1"/>
  <c r="H1177" i="1" a="1"/>
  <c r="H1177" i="1" s="1"/>
  <c r="P1176" i="1" a="1"/>
  <c r="P1176" i="1"/>
  <c r="L1178" i="1" a="1"/>
  <c r="L1178" i="1"/>
  <c r="I1178" i="1" a="1"/>
  <c r="I1178" i="1"/>
  <c r="N1179" i="1" a="1"/>
  <c r="N1179" i="1"/>
  <c r="H1179" i="1" a="1"/>
  <c r="H1179" i="1" s="1"/>
  <c r="L1177" i="1" a="1"/>
  <c r="L1177" i="1" s="1"/>
  <c r="Q1176" i="1" a="1"/>
  <c r="Q1176" i="1" s="1"/>
  <c r="M1179" i="1" a="1"/>
  <c r="M1179" i="1"/>
  <c r="K1179" i="1" a="1"/>
  <c r="K1179" i="1" s="1"/>
  <c r="N1178" i="1" a="1"/>
  <c r="N1178" i="1"/>
  <c r="G1178" i="1" a="1"/>
  <c r="G1178" i="1"/>
  <c r="Q1175" i="1" a="1"/>
  <c r="Q1175" i="1"/>
  <c r="K1177" i="1" a="1"/>
  <c r="K1177" i="1"/>
  <c r="K1176" i="1" a="1"/>
  <c r="K1176" i="1" s="1"/>
  <c r="P1178" i="1" a="1"/>
  <c r="P1178" i="1"/>
  <c r="F1176" i="1" a="1"/>
  <c r="F1176" i="1"/>
  <c r="O1179" i="1" a="1"/>
  <c r="O1179" i="1" s="1"/>
  <c r="Q1177" i="1" a="1"/>
  <c r="Q1177" i="1" s="1"/>
  <c r="F1177" i="1" a="1"/>
  <c r="F1177" i="1" s="1"/>
  <c r="O1176" i="1" a="1"/>
  <c r="O1176" i="1"/>
  <c r="J1176" i="1" a="1"/>
  <c r="J1176" i="1" s="1"/>
  <c r="K1178" i="1" a="1"/>
  <c r="K1178" i="1"/>
  <c r="J1178" i="1" a="1"/>
  <c r="J1178" i="1" s="1"/>
  <c r="G1176" i="1" a="1"/>
  <c r="G1176" i="1"/>
  <c r="O1177" i="1" a="1"/>
  <c r="O1177" i="1"/>
  <c r="Q1179" i="1" a="1"/>
  <c r="Q1179" i="1" s="1"/>
  <c r="P1177" i="1" a="1"/>
  <c r="P1177" i="1" s="1"/>
  <c r="L1179" i="1" a="1"/>
  <c r="L1179" i="1" s="1"/>
  <c r="F1178" i="1" a="1"/>
  <c r="F1178" i="1"/>
  <c r="L1176" i="1" a="1"/>
  <c r="L1176" i="1"/>
  <c r="G1179" i="1" a="1"/>
  <c r="G1179" i="1" s="1"/>
  <c r="J1177" i="1" a="1"/>
  <c r="J1177" i="1"/>
  <c r="O1178" i="1" a="1"/>
  <c r="O1178" i="1"/>
  <c r="I1177" i="1" a="1"/>
  <c r="I1177" i="1"/>
  <c r="H1176" i="1" a="1"/>
  <c r="H1176" i="1"/>
  <c r="N1177" i="1" a="1"/>
  <c r="N1177" i="1"/>
  <c r="K1174" i="1" a="1"/>
  <c r="K1174" i="1" s="1"/>
  <c r="M1171" i="1" a="1"/>
  <c r="M1171" i="1"/>
  <c r="O1175" i="1" a="1"/>
  <c r="O1175" i="1"/>
  <c r="J1171" i="1" a="1"/>
  <c r="J1171" i="1" s="1"/>
  <c r="F1175" i="1" a="1"/>
  <c r="F1175" i="1"/>
  <c r="G1171" i="1" a="1"/>
  <c r="G1171" i="1"/>
  <c r="F1171" i="1" a="1"/>
  <c r="F1171" i="1" s="1"/>
  <c r="N1174" i="1" a="1"/>
  <c r="N1174" i="1"/>
  <c r="J1174" i="1" a="1"/>
  <c r="J1174" i="1"/>
  <c r="F1174" i="1" a="1"/>
  <c r="F1174" i="1" s="1"/>
  <c r="J1172" i="1" a="1"/>
  <c r="J1172" i="1"/>
  <c r="O1173" i="1" a="1"/>
  <c r="O1173" i="1" s="1"/>
  <c r="K1172" i="1" a="1"/>
  <c r="K1172" i="1" s="1"/>
  <c r="H1173" i="1" a="1"/>
  <c r="H1173" i="1" s="1"/>
  <c r="M1170" i="1" a="1"/>
  <c r="M1170" i="1" s="1"/>
  <c r="F1173" i="1" a="1"/>
  <c r="F1173" i="1"/>
  <c r="N1171" i="1" a="1"/>
  <c r="N1171" i="1" s="1"/>
  <c r="P1170" i="1" a="1"/>
  <c r="P1170" i="1" s="1"/>
  <c r="I1173" i="1" a="1"/>
  <c r="I1173" i="1" s="1"/>
  <c r="N1173" i="1" a="1"/>
  <c r="N1173" i="1" s="1"/>
  <c r="P1172" i="1" a="1"/>
  <c r="P1172" i="1" s="1"/>
  <c r="G1173" i="1" a="1"/>
  <c r="G1173" i="1"/>
  <c r="O1172" i="1" a="1"/>
  <c r="O1172" i="1"/>
  <c r="O1171" i="1" a="1"/>
  <c r="O1171" i="1"/>
  <c r="G1172" i="1" a="1"/>
  <c r="G1172" i="1" s="1"/>
  <c r="N1172" i="1" a="1"/>
  <c r="N1172" i="1"/>
  <c r="M1172" i="1" a="1"/>
  <c r="M1172" i="1"/>
  <c r="Q1171" i="1" a="1"/>
  <c r="Q1171" i="1" s="1"/>
  <c r="M1174" i="1" a="1"/>
  <c r="M1174" i="1" s="1"/>
  <c r="M1175" i="1" a="1"/>
  <c r="M1175" i="1"/>
  <c r="L1171" i="1" a="1"/>
  <c r="L1171" i="1"/>
  <c r="M1173" i="1" a="1"/>
  <c r="M1173" i="1" s="1"/>
  <c r="N1175" i="1" a="1"/>
  <c r="N1175" i="1"/>
  <c r="Q1173" i="1" a="1"/>
  <c r="Q1173" i="1"/>
  <c r="K1171" i="1" a="1"/>
  <c r="K1171" i="1"/>
  <c r="P1171" i="1" a="1"/>
  <c r="P1171" i="1" s="1"/>
  <c r="K1175" i="1" a="1"/>
  <c r="K1175" i="1"/>
  <c r="O1174" i="1" a="1"/>
  <c r="O1174" i="1"/>
  <c r="Q1174" i="1" a="1"/>
  <c r="Q1174" i="1"/>
  <c r="L1174" i="1" a="1"/>
  <c r="L1174" i="1"/>
  <c r="L1173" i="1" a="1"/>
  <c r="L1173" i="1" s="1"/>
  <c r="J1175" i="1" a="1"/>
  <c r="J1175" i="1" s="1"/>
  <c r="I1175" i="1" a="1"/>
  <c r="I1175" i="1"/>
  <c r="G1175" i="1" a="1"/>
  <c r="G1175" i="1"/>
  <c r="H1174" i="1" a="1"/>
  <c r="H1174" i="1" s="1"/>
  <c r="I1174" i="1" a="1"/>
  <c r="I1174" i="1" s="1"/>
  <c r="K1173" i="1" a="1"/>
  <c r="K1173" i="1"/>
  <c r="J1173" i="1" a="1"/>
  <c r="J1173" i="1" s="1"/>
  <c r="Q1172" i="1" a="1"/>
  <c r="Q1172" i="1" s="1"/>
  <c r="H1171" i="1" a="1"/>
  <c r="H1171" i="1" s="1"/>
  <c r="G1174" i="1" a="1"/>
  <c r="G1174" i="1"/>
  <c r="I1172" i="1" a="1"/>
  <c r="I1172" i="1"/>
  <c r="L1172" i="1" a="1"/>
  <c r="L1172" i="1"/>
  <c r="H1172" i="1" a="1"/>
  <c r="H1172" i="1"/>
  <c r="P1173" i="1" a="1"/>
  <c r="P1173" i="1"/>
  <c r="P1174" i="1" a="1"/>
  <c r="P1174" i="1"/>
  <c r="O1170" i="1" a="1"/>
  <c r="O1170" i="1"/>
  <c r="Q1170" i="1" a="1"/>
  <c r="Q1170" i="1"/>
  <c r="N1170" i="1" a="1"/>
  <c r="N1170" i="1" s="1"/>
  <c r="H1175" i="1" a="1"/>
  <c r="H1175" i="1" s="1"/>
  <c r="I1171" i="1" a="1"/>
  <c r="I1171" i="1"/>
  <c r="F1172" i="1" a="1"/>
  <c r="F1172" i="1"/>
  <c r="P1175" i="1" a="1"/>
  <c r="P1175" i="1"/>
  <c r="L1175" i="1" a="1"/>
  <c r="L1175" i="1"/>
  <c r="H1168" i="1" a="1"/>
  <c r="H1168" i="1" s="1"/>
  <c r="G1168" i="1" a="1"/>
  <c r="G1168" i="1"/>
  <c r="N1167" i="1" a="1"/>
  <c r="N1167" i="1"/>
  <c r="H1166" i="1" a="1"/>
  <c r="H1166" i="1"/>
  <c r="Q1166" i="1" a="1"/>
  <c r="Q1166" i="1"/>
  <c r="L1166" i="1" a="1"/>
  <c r="L1166" i="1" s="1"/>
  <c r="I1167" i="1" a="1"/>
  <c r="I1167" i="1"/>
  <c r="K1167" i="1" a="1"/>
  <c r="K1167" i="1"/>
  <c r="O1166" i="1" a="1"/>
  <c r="O1166" i="1" s="1"/>
  <c r="J1167" i="1" a="1"/>
  <c r="J1167" i="1" s="1"/>
  <c r="M1165" i="1" a="1"/>
  <c r="M1165" i="1"/>
  <c r="N1165" i="1" a="1"/>
  <c r="N1165" i="1" s="1"/>
  <c r="I1165" i="1" a="1"/>
  <c r="I1165" i="1" s="1"/>
  <c r="F1166" i="1" a="1"/>
  <c r="F1166" i="1" s="1"/>
  <c r="L1170" i="1" a="1"/>
  <c r="L1170" i="1" s="1"/>
  <c r="K1170" i="1" a="1"/>
  <c r="K1170" i="1"/>
  <c r="J1170" i="1" a="1"/>
  <c r="J1170" i="1"/>
  <c r="G1170" i="1" a="1"/>
  <c r="G1170" i="1" s="1"/>
  <c r="H1170" i="1" a="1"/>
  <c r="H1170" i="1"/>
  <c r="F1170" i="1" a="1"/>
  <c r="F1170" i="1"/>
  <c r="K1168" i="1" a="1"/>
  <c r="K1168" i="1"/>
  <c r="P1167" i="1" a="1"/>
  <c r="P1167" i="1"/>
  <c r="G1166" i="1" a="1"/>
  <c r="G1166" i="1" s="1"/>
  <c r="P1165" i="1" a="1"/>
  <c r="P1165" i="1" s="1"/>
  <c r="J1166" i="1" a="1"/>
  <c r="J1166" i="1" s="1"/>
  <c r="M1166" i="1" a="1"/>
  <c r="M1166" i="1" s="1"/>
  <c r="L1169" i="1" a="1"/>
  <c r="L1169" i="1" s="1"/>
  <c r="M1167" i="1" a="1"/>
  <c r="M1167" i="1"/>
  <c r="K1166" i="1" a="1"/>
  <c r="K1166" i="1"/>
  <c r="G1167" i="1" a="1"/>
  <c r="G1167" i="1" s="1"/>
  <c r="I1170" i="1" a="1"/>
  <c r="I1170" i="1"/>
  <c r="Q1169" i="1" a="1"/>
  <c r="Q1169" i="1"/>
  <c r="J1169" i="1" a="1"/>
  <c r="J1169" i="1"/>
  <c r="F1169" i="1" a="1"/>
  <c r="F1169" i="1"/>
  <c r="F1167" i="1" a="1"/>
  <c r="F1167" i="1" s="1"/>
  <c r="Q1165" i="1" a="1"/>
  <c r="Q1165" i="1"/>
  <c r="N1166" i="1" a="1"/>
  <c r="N1166" i="1"/>
  <c r="P1169" i="1" a="1"/>
  <c r="P1169" i="1" s="1"/>
  <c r="N1169" i="1" a="1"/>
  <c r="N1169" i="1" s="1"/>
  <c r="F1168" i="1" a="1"/>
  <c r="F1168" i="1"/>
  <c r="Q1168" i="1" a="1"/>
  <c r="Q1168" i="1" s="1"/>
  <c r="K1165" i="1" a="1"/>
  <c r="K1165" i="1" s="1"/>
  <c r="O1169" i="1" a="1"/>
  <c r="O1169" i="1" s="1"/>
  <c r="M1168" i="1" a="1"/>
  <c r="M1168" i="1" s="1"/>
  <c r="M1169" i="1" a="1"/>
  <c r="M1169" i="1"/>
  <c r="N1168" i="1" a="1"/>
  <c r="N1168" i="1"/>
  <c r="L1167" i="1" a="1"/>
  <c r="L1167" i="1" s="1"/>
  <c r="K1169" i="1" a="1"/>
  <c r="K1169" i="1" s="1"/>
  <c r="I1169" i="1" a="1"/>
  <c r="I1169" i="1"/>
  <c r="H1169" i="1" a="1"/>
  <c r="H1169" i="1"/>
  <c r="O1167" i="1" a="1"/>
  <c r="O1167" i="1" s="1"/>
  <c r="L1165" i="1" a="1"/>
  <c r="L1165" i="1" s="1"/>
  <c r="G1169" i="1" a="1"/>
  <c r="G1169" i="1"/>
  <c r="P1168" i="1" a="1"/>
  <c r="P1168" i="1" s="1"/>
  <c r="L1168" i="1" a="1"/>
  <c r="L1168" i="1"/>
  <c r="P1166" i="1" a="1"/>
  <c r="P1166" i="1"/>
  <c r="I1166" i="1" a="1"/>
  <c r="I1166" i="1"/>
  <c r="J1165" i="1" a="1"/>
  <c r="J1165" i="1"/>
  <c r="O1168" i="1" a="1"/>
  <c r="O1168" i="1" s="1"/>
  <c r="Q1167" i="1" a="1"/>
  <c r="Q1167" i="1"/>
  <c r="H1167" i="1" a="1"/>
  <c r="H1167" i="1"/>
  <c r="O1165" i="1" a="1"/>
  <c r="O1165" i="1"/>
  <c r="J1168" i="1" a="1"/>
  <c r="J1168" i="1"/>
  <c r="I1168" i="1" a="1"/>
  <c r="I1168" i="1"/>
  <c r="L1162" i="1" a="1"/>
  <c r="L1162" i="1" s="1"/>
  <c r="K1162" i="1" a="1"/>
  <c r="K1162" i="1" s="1"/>
  <c r="F1164" i="1" a="1"/>
  <c r="F1164" i="1" s="1"/>
  <c r="I1162" i="1" a="1"/>
  <c r="I1162" i="1"/>
  <c r="O1163" i="1" a="1"/>
  <c r="O1163" i="1"/>
  <c r="N1163" i="1" a="1"/>
  <c r="N1163" i="1"/>
  <c r="L1163" i="1" a="1"/>
  <c r="L1163" i="1" s="1"/>
  <c r="G1163" i="1" a="1"/>
  <c r="G1163" i="1" s="1"/>
  <c r="F1163" i="1" a="1"/>
  <c r="F1163" i="1" s="1"/>
  <c r="G1164" i="1" a="1"/>
  <c r="G1164" i="1"/>
  <c r="Q1163" i="1" a="1"/>
  <c r="Q1163" i="1"/>
  <c r="K1163" i="1" a="1"/>
  <c r="K1163" i="1"/>
  <c r="Q1162" i="1" a="1"/>
  <c r="Q1162" i="1"/>
  <c r="F1162" i="1" a="1"/>
  <c r="F1162" i="1"/>
  <c r="P1162" i="1" a="1"/>
  <c r="P1162" i="1"/>
  <c r="H1165" i="1" a="1"/>
  <c r="H1165" i="1" s="1"/>
  <c r="F1165" i="1" a="1"/>
  <c r="F1165" i="1"/>
  <c r="N1164" i="1" a="1"/>
  <c r="N1164" i="1" s="1"/>
  <c r="J1163" i="1" a="1"/>
  <c r="J1163" i="1" s="1"/>
  <c r="H1163" i="1" a="1"/>
  <c r="H1163" i="1" s="1"/>
  <c r="N1162" i="1" a="1"/>
  <c r="N1162" i="1"/>
  <c r="H1162" i="1" a="1"/>
  <c r="H1162" i="1"/>
  <c r="Q1164" i="1" a="1"/>
  <c r="Q1164" i="1"/>
  <c r="P1164" i="1" a="1"/>
  <c r="P1164" i="1" s="1"/>
  <c r="P1163" i="1" a="1"/>
  <c r="P1163" i="1"/>
  <c r="O1162" i="1" a="1"/>
  <c r="O1162" i="1"/>
  <c r="M1162" i="1" a="1"/>
  <c r="M1162" i="1" s="1"/>
  <c r="G1162" i="1" a="1"/>
  <c r="G1162" i="1"/>
  <c r="M1163" i="1" a="1"/>
  <c r="M1163" i="1" s="1"/>
  <c r="G1165" i="1" a="1"/>
  <c r="G1165" i="1" s="1"/>
  <c r="I1164" i="1" a="1"/>
  <c r="I1164" i="1"/>
  <c r="K1164" i="1" a="1"/>
  <c r="K1164" i="1"/>
  <c r="J1162" i="1" a="1"/>
  <c r="J1162" i="1"/>
  <c r="I1163" i="1" a="1"/>
  <c r="I1163" i="1"/>
  <c r="H1164" i="1" a="1"/>
  <c r="H1164" i="1" s="1"/>
  <c r="O1164" i="1" a="1"/>
  <c r="O1164" i="1" s="1"/>
  <c r="M1164" i="1" a="1"/>
  <c r="M1164" i="1" s="1"/>
  <c r="L1164" i="1" a="1"/>
  <c r="L1164" i="1" s="1"/>
  <c r="J1164" i="1" a="1"/>
  <c r="J1164" i="1"/>
  <c r="K1154" i="1" a="1"/>
  <c r="K1154" i="1"/>
  <c r="P1153" i="1" a="1"/>
  <c r="P1153" i="1" s="1"/>
  <c r="L1153" i="1" a="1"/>
  <c r="L1153" i="1"/>
  <c r="I1153" i="1" a="1"/>
  <c r="I1153" i="1" s="1"/>
  <c r="G1153" i="1" a="1"/>
  <c r="G1153" i="1" s="1"/>
  <c r="H1150" i="1" a="1"/>
  <c r="H1150" i="1"/>
  <c r="Q1155" i="1" a="1"/>
  <c r="Q1155" i="1"/>
  <c r="P1155" i="1" a="1"/>
  <c r="P1155" i="1"/>
  <c r="N1155" i="1" a="1"/>
  <c r="N1155" i="1" s="1"/>
  <c r="I1155" i="1" a="1"/>
  <c r="I1155" i="1"/>
  <c r="Q1154" i="1" a="1"/>
  <c r="Q1154" i="1"/>
  <c r="P1150" i="1" a="1"/>
  <c r="P1150" i="1"/>
  <c r="I1154" i="1" a="1"/>
  <c r="I1154" i="1"/>
  <c r="M1155" i="1" a="1"/>
  <c r="M1155" i="1" s="1"/>
  <c r="K1155" i="1" a="1"/>
  <c r="K1155" i="1"/>
  <c r="F1155" i="1" a="1"/>
  <c r="F1155" i="1"/>
  <c r="M1150" i="1" a="1"/>
  <c r="M1150" i="1"/>
  <c r="L1150" i="1" a="1"/>
  <c r="L1150" i="1" s="1"/>
  <c r="G1150" i="1" a="1"/>
  <c r="G1150" i="1" s="1"/>
  <c r="P1154" i="1" a="1"/>
  <c r="P1154" i="1" s="1"/>
  <c r="O1153" i="1" a="1"/>
  <c r="O1153" i="1" s="1"/>
  <c r="M1153" i="1" a="1"/>
  <c r="M1153" i="1" s="1"/>
  <c r="J1150" i="1" a="1"/>
  <c r="J1150" i="1" s="1"/>
  <c r="O1150" i="1" a="1"/>
  <c r="O1150" i="1"/>
  <c r="H1156" i="1" a="1"/>
  <c r="H1156" i="1"/>
  <c r="G1154" i="1" a="1"/>
  <c r="G1154" i="1" s="1"/>
  <c r="Q1153" i="1" a="1"/>
  <c r="Q1153" i="1" s="1"/>
  <c r="F1153" i="1" a="1"/>
  <c r="F1153" i="1" s="1"/>
  <c r="P1156" i="1" a="1"/>
  <c r="P1156" i="1"/>
  <c r="K1156" i="1" a="1"/>
  <c r="K1156" i="1"/>
  <c r="N1150" i="1" a="1"/>
  <c r="N1150" i="1"/>
  <c r="G1155" i="1" a="1"/>
  <c r="G1155" i="1" s="1"/>
  <c r="N1154" i="1" a="1"/>
  <c r="N1154" i="1" s="1"/>
  <c r="K1153" i="1" a="1"/>
  <c r="K1153" i="1"/>
  <c r="G1156" i="1" a="1"/>
  <c r="G1156" i="1"/>
  <c r="H1154" i="1" a="1"/>
  <c r="H1154" i="1" s="1"/>
  <c r="N1153" i="1" a="1"/>
  <c r="N1153" i="1" s="1"/>
  <c r="Q1156" i="1" a="1"/>
  <c r="Q1156" i="1" s="1"/>
  <c r="O1156" i="1" a="1"/>
  <c r="O1156" i="1"/>
  <c r="N1156" i="1" a="1"/>
  <c r="N1156" i="1"/>
  <c r="M1156" i="1" a="1"/>
  <c r="M1156" i="1"/>
  <c r="F1154" i="1" a="1"/>
  <c r="F1154" i="1"/>
  <c r="L1155" i="1" a="1"/>
  <c r="L1155" i="1" s="1"/>
  <c r="M1154" i="1" a="1"/>
  <c r="M1154" i="1"/>
  <c r="J1153" i="1" a="1"/>
  <c r="J1153" i="1"/>
  <c r="L1156" i="1" a="1"/>
  <c r="L1156" i="1"/>
  <c r="I1150" i="1" a="1"/>
  <c r="I1150" i="1" s="1"/>
  <c r="J1156" i="1" a="1"/>
  <c r="J1156" i="1" s="1"/>
  <c r="H1153" i="1" a="1"/>
  <c r="H1153" i="1" s="1"/>
  <c r="Q1150" i="1" a="1"/>
  <c r="Q1150" i="1" s="1"/>
  <c r="J1154" i="1" a="1"/>
  <c r="J1154" i="1" s="1"/>
  <c r="J1155" i="1" a="1"/>
  <c r="J1155" i="1"/>
  <c r="H1155" i="1" a="1"/>
  <c r="H1155" i="1"/>
  <c r="O1155" i="1" a="1"/>
  <c r="O1155" i="1"/>
  <c r="K1150" i="1" a="1"/>
  <c r="K1150" i="1" s="1"/>
  <c r="I1156" i="1" a="1"/>
  <c r="I1156" i="1" s="1"/>
  <c r="F1156" i="1" a="1"/>
  <c r="F1156" i="1" s="1"/>
  <c r="O1154" i="1" a="1"/>
  <c r="O1154" i="1"/>
  <c r="L1154" i="1" a="1"/>
  <c r="L1154" i="1"/>
  <c r="H1149" i="1" a="1"/>
  <c r="H1149" i="1"/>
  <c r="G1145" i="1" a="1"/>
  <c r="G1145" i="1" s="1"/>
  <c r="P1148" i="1" a="1"/>
  <c r="P1148" i="1"/>
  <c r="O1148" i="1" a="1"/>
  <c r="O1148" i="1" s="1"/>
  <c r="N1148" i="1" a="1"/>
  <c r="N1148" i="1"/>
  <c r="K1148" i="1" a="1"/>
  <c r="K1148" i="1"/>
  <c r="F1148" i="1" a="1"/>
  <c r="F1148" i="1" s="1"/>
  <c r="N1147" i="1" a="1"/>
  <c r="N1147" i="1" s="1"/>
  <c r="L1146" i="1" a="1"/>
  <c r="L1146" i="1" s="1"/>
  <c r="H1147" i="1" a="1"/>
  <c r="H1147" i="1" s="1"/>
  <c r="M1146" i="1" a="1"/>
  <c r="M1146" i="1"/>
  <c r="M1147" i="1" a="1"/>
  <c r="M1147" i="1"/>
  <c r="K1147" i="1" a="1"/>
  <c r="K1147" i="1" s="1"/>
  <c r="L1145" i="1" a="1"/>
  <c r="L1145" i="1"/>
  <c r="H1145" i="1" a="1"/>
  <c r="H1145" i="1"/>
  <c r="O1145" i="1" a="1"/>
  <c r="O1145" i="1" s="1"/>
  <c r="J1147" i="1" a="1"/>
  <c r="J1147" i="1" s="1"/>
  <c r="N1146" i="1" a="1"/>
  <c r="N1146" i="1"/>
  <c r="O1146" i="1" a="1"/>
  <c r="O1146" i="1"/>
  <c r="Q1144" i="1" a="1"/>
  <c r="Q1144" i="1"/>
  <c r="G1147" i="1" a="1"/>
  <c r="G1147" i="1"/>
  <c r="I1145" i="1" a="1"/>
  <c r="I1145" i="1"/>
  <c r="I1146" i="1" a="1"/>
  <c r="I1146" i="1"/>
  <c r="Q1145" i="1" a="1"/>
  <c r="Q1145" i="1" s="1"/>
  <c r="Q1146" i="1" a="1"/>
  <c r="Q1146" i="1" s="1"/>
  <c r="K1145" i="1" a="1"/>
  <c r="K1145" i="1" s="1"/>
  <c r="G1146" i="1" a="1"/>
  <c r="G1146" i="1" s="1"/>
  <c r="K1149" i="1" a="1"/>
  <c r="K1149" i="1"/>
  <c r="J1149" i="1" a="1"/>
  <c r="J1149" i="1"/>
  <c r="F1147" i="1" a="1"/>
  <c r="F1147" i="1" s="1"/>
  <c r="G1149" i="1" a="1"/>
  <c r="G1149" i="1"/>
  <c r="Q1147" i="1" a="1"/>
  <c r="Q1147" i="1"/>
  <c r="I1147" i="1" a="1"/>
  <c r="I1147" i="1"/>
  <c r="J1145" i="1" a="1"/>
  <c r="J1145" i="1"/>
  <c r="Q1149" i="1" a="1"/>
  <c r="Q1149" i="1"/>
  <c r="P1149" i="1" a="1"/>
  <c r="P1149" i="1"/>
  <c r="N1149" i="1" a="1"/>
  <c r="N1149" i="1" s="1"/>
  <c r="F1149" i="1" a="1"/>
  <c r="F1149" i="1"/>
  <c r="G1148" i="1" a="1"/>
  <c r="G1148" i="1" s="1"/>
  <c r="P1147" i="1" a="1"/>
  <c r="P1147" i="1"/>
  <c r="F1145" i="1" a="1"/>
  <c r="F1145" i="1"/>
  <c r="Q1148" i="1" a="1"/>
  <c r="Q1148" i="1"/>
  <c r="L1148" i="1" a="1"/>
  <c r="L1148" i="1"/>
  <c r="F1146" i="1" a="1"/>
  <c r="F1146" i="1" s="1"/>
  <c r="I1148" i="1" a="1"/>
  <c r="I1148" i="1" s="1"/>
  <c r="H1148" i="1" a="1"/>
  <c r="H1148" i="1"/>
  <c r="L1147" i="1" a="1"/>
  <c r="L1147" i="1"/>
  <c r="P1145" i="1" a="1"/>
  <c r="P1145" i="1"/>
  <c r="M1145" i="1" a="1"/>
  <c r="M1145" i="1"/>
  <c r="P1146" i="1" a="1"/>
  <c r="P1146" i="1"/>
  <c r="J1146" i="1" a="1"/>
  <c r="J1146" i="1"/>
  <c r="N1145" i="1" a="1"/>
  <c r="N1145" i="1"/>
  <c r="F1150" i="1" a="1"/>
  <c r="F1150" i="1"/>
  <c r="O1149" i="1" a="1"/>
  <c r="O1149" i="1" s="1"/>
  <c r="M1149" i="1" a="1"/>
  <c r="M1149" i="1" s="1"/>
  <c r="L1149" i="1" a="1"/>
  <c r="L1149" i="1"/>
  <c r="M1148" i="1" a="1"/>
  <c r="M1148" i="1"/>
  <c r="J1148" i="1" a="1"/>
  <c r="J1148" i="1" s="1"/>
  <c r="K1146" i="1" a="1"/>
  <c r="K1146" i="1"/>
  <c r="H1146" i="1" a="1"/>
  <c r="H1146" i="1"/>
  <c r="O1147" i="1" a="1"/>
  <c r="O1147" i="1"/>
  <c r="I1149" i="1" a="1"/>
  <c r="I1149" i="1"/>
  <c r="P1142" i="1" a="1"/>
  <c r="P1142" i="1" s="1"/>
  <c r="O1142" i="1" a="1"/>
  <c r="O1142" i="1" s="1"/>
  <c r="I1142" i="1" a="1"/>
  <c r="I1142" i="1"/>
  <c r="J1140" i="1" a="1"/>
  <c r="J1140" i="1" s="1"/>
  <c r="P1139" i="1" a="1"/>
  <c r="P1139" i="1"/>
  <c r="O1139" i="1" a="1"/>
  <c r="O1139" i="1"/>
  <c r="H1143" i="1" a="1"/>
  <c r="H1143" i="1"/>
  <c r="K1144" i="1" a="1"/>
  <c r="K1144" i="1"/>
  <c r="I1144" i="1" a="1"/>
  <c r="I1144" i="1" s="1"/>
  <c r="I1143" i="1" a="1"/>
  <c r="I1143" i="1" s="1"/>
  <c r="L1141" i="1" a="1"/>
  <c r="L1141" i="1"/>
  <c r="J1143" i="1" a="1"/>
  <c r="J1143" i="1" s="1"/>
  <c r="M1141" i="1" a="1"/>
  <c r="M1141" i="1" s="1"/>
  <c r="Q1141" i="1" a="1"/>
  <c r="Q1141" i="1" s="1"/>
  <c r="P1141" i="1" a="1"/>
  <c r="P1141" i="1"/>
  <c r="Q1143" i="1" a="1"/>
  <c r="Q1143" i="1" s="1"/>
  <c r="Q1142" i="1" a="1"/>
  <c r="Q1142" i="1"/>
  <c r="L1142" i="1" a="1"/>
  <c r="L1142" i="1"/>
  <c r="I1141" i="1" a="1"/>
  <c r="I1141" i="1"/>
  <c r="M1143" i="1" a="1"/>
  <c r="M1143" i="1"/>
  <c r="L1140" i="1" a="1"/>
  <c r="L1140" i="1" s="1"/>
  <c r="F1143" i="1" a="1"/>
  <c r="F1143" i="1"/>
  <c r="J1142" i="1" a="1"/>
  <c r="J1142" i="1" s="1"/>
  <c r="O1141" i="1" a="1"/>
  <c r="O1141" i="1" s="1"/>
  <c r="N1140" i="1" a="1"/>
  <c r="N1140" i="1"/>
  <c r="K1140" i="1" a="1"/>
  <c r="K1140" i="1"/>
  <c r="H1140" i="1" a="1"/>
  <c r="H1140" i="1"/>
  <c r="G1140" i="1" a="1"/>
  <c r="G1140" i="1"/>
  <c r="G1142" i="1" a="1"/>
  <c r="G1142" i="1"/>
  <c r="Q1140" i="1" a="1"/>
  <c r="Q1140" i="1"/>
  <c r="F1144" i="1" a="1"/>
  <c r="F1144" i="1"/>
  <c r="N1143" i="1" a="1"/>
  <c r="N1143" i="1"/>
  <c r="L1144" i="1" a="1"/>
  <c r="L1144" i="1" s="1"/>
  <c r="G1141" i="1" a="1"/>
  <c r="G1141" i="1"/>
  <c r="N1144" i="1" a="1"/>
  <c r="N1144" i="1"/>
  <c r="L1143" i="1" a="1"/>
  <c r="L1143" i="1"/>
  <c r="H1142" i="1" a="1"/>
  <c r="H1142" i="1"/>
  <c r="P1140" i="1" a="1"/>
  <c r="P1140" i="1" s="1"/>
  <c r="I1140" i="1" a="1"/>
  <c r="I1140" i="1"/>
  <c r="N1142" i="1" a="1"/>
  <c r="N1142" i="1"/>
  <c r="N1139" i="1" a="1"/>
  <c r="N1139" i="1"/>
  <c r="J1144" i="1" a="1"/>
  <c r="J1144" i="1"/>
  <c r="H1144" i="1" a="1"/>
  <c r="H1144" i="1"/>
  <c r="G1144" i="1" a="1"/>
  <c r="G1144" i="1"/>
  <c r="P1143" i="1" a="1"/>
  <c r="P1143" i="1"/>
  <c r="F1142" i="1" a="1"/>
  <c r="F1142" i="1"/>
  <c r="K1143" i="1" a="1"/>
  <c r="K1143" i="1"/>
  <c r="M1142" i="1" a="1"/>
  <c r="M1142" i="1"/>
  <c r="J1141" i="1" a="1"/>
  <c r="J1141" i="1"/>
  <c r="H1141" i="1" a="1"/>
  <c r="H1141" i="1"/>
  <c r="F1141" i="1" a="1"/>
  <c r="F1141" i="1" s="1"/>
  <c r="O1140" i="1" a="1"/>
  <c r="O1140" i="1" s="1"/>
  <c r="M1140" i="1" a="1"/>
  <c r="M1140" i="1" s="1"/>
  <c r="F1140" i="1" a="1"/>
  <c r="F1140" i="1"/>
  <c r="Q1139" i="1" a="1"/>
  <c r="Q1139" i="1"/>
  <c r="M1139" i="1" a="1"/>
  <c r="M1139" i="1" s="1"/>
  <c r="P1144" i="1" a="1"/>
  <c r="P1144" i="1" s="1"/>
  <c r="M1144" i="1" a="1"/>
  <c r="M1144" i="1" s="1"/>
  <c r="O1143" i="1" a="1"/>
  <c r="O1143" i="1" s="1"/>
  <c r="G1143" i="1" a="1"/>
  <c r="G1143" i="1" s="1"/>
  <c r="K1141" i="1" a="1"/>
  <c r="K1141" i="1"/>
  <c r="N1141" i="1" a="1"/>
  <c r="N1141" i="1" s="1"/>
  <c r="O1144" i="1" a="1"/>
  <c r="O1144" i="1" s="1"/>
  <c r="K1142" i="1" a="1"/>
  <c r="K1142" i="1"/>
  <c r="I1139" i="1" a="1"/>
  <c r="I1139" i="1"/>
  <c r="M1138" i="1" a="1"/>
  <c r="M1138" i="1" s="1"/>
  <c r="K1139" i="1" a="1"/>
  <c r="K1139" i="1" s="1"/>
  <c r="O1138" i="1" a="1"/>
  <c r="O1138" i="1"/>
  <c r="J1139" i="1" a="1"/>
  <c r="J1139" i="1"/>
  <c r="H1139" i="1" a="1"/>
  <c r="H1139" i="1" s="1"/>
  <c r="P1138" i="1" a="1"/>
  <c r="P1138" i="1" s="1"/>
  <c r="G1139" i="1" a="1"/>
  <c r="G1139" i="1"/>
  <c r="F1139" i="1" a="1"/>
  <c r="F1139" i="1"/>
  <c r="L1138" i="1" a="1"/>
  <c r="L1138" i="1"/>
  <c r="G1138" i="1" a="1"/>
  <c r="G1138" i="1"/>
  <c r="K1138" i="1" a="1"/>
  <c r="K1138" i="1"/>
  <c r="F1138" i="1" a="1"/>
  <c r="F1138" i="1"/>
  <c r="I1138" i="1" a="1"/>
  <c r="I1138" i="1"/>
  <c r="Q1138" i="1" a="1"/>
  <c r="Q1138" i="1" s="1"/>
  <c r="J1138" i="1" a="1"/>
  <c r="J1138" i="1" s="1"/>
  <c r="H1138" i="1" a="1"/>
  <c r="H1138" i="1"/>
  <c r="N1138" i="1" a="1"/>
  <c r="N1138" i="1" s="1"/>
  <c r="L1139" i="1" a="1"/>
  <c r="L1139" i="1"/>
  <c r="I1201" i="1" a="1"/>
  <c r="I1201" i="1"/>
  <c r="F1201" i="1" a="1"/>
  <c r="F1201" i="1" s="1"/>
  <c r="F1200" i="1" a="1"/>
  <c r="F1200" i="1"/>
  <c r="P1199" i="1" a="1"/>
  <c r="P1199" i="1" s="1"/>
  <c r="O1199" i="1" a="1"/>
  <c r="O1199" i="1" s="1"/>
  <c r="Q1197" i="1" a="1"/>
  <c r="Q1197" i="1" s="1"/>
  <c r="K1201" i="1" a="1"/>
  <c r="K1201" i="1" s="1"/>
  <c r="K1200" i="1" a="1"/>
  <c r="K1200" i="1" s="1"/>
  <c r="M1199" i="1" a="1"/>
  <c r="M1199" i="1"/>
  <c r="Q1200" i="1" a="1"/>
  <c r="Q1200" i="1"/>
  <c r="P1200" i="1" a="1"/>
  <c r="P1200" i="1" s="1"/>
  <c r="I1200" i="1" a="1"/>
  <c r="I1200" i="1" s="1"/>
  <c r="M1197" i="1" a="1"/>
  <c r="M1197" i="1" s="1"/>
  <c r="Q1198" i="1" a="1"/>
  <c r="Q1198" i="1"/>
  <c r="L1197" i="1" a="1"/>
  <c r="L1197" i="1"/>
  <c r="Q1199" i="1" a="1"/>
  <c r="Q1199" i="1"/>
  <c r="M1198" i="1" a="1"/>
  <c r="M1198" i="1"/>
  <c r="I1198" i="1" a="1"/>
  <c r="I1198" i="1"/>
  <c r="P1198" i="1" a="1"/>
  <c r="P1198" i="1"/>
  <c r="P1197" i="1" a="1"/>
  <c r="P1197" i="1" s="1"/>
  <c r="F1198" i="1" a="1"/>
  <c r="F1198" i="1" s="1"/>
  <c r="K1197" i="1" a="1"/>
  <c r="K1197" i="1" s="1"/>
  <c r="K1199" i="1" a="1"/>
  <c r="K1199" i="1"/>
  <c r="H1199" i="1" a="1"/>
  <c r="H1199" i="1" s="1"/>
  <c r="O1198" i="1" a="1"/>
  <c r="O1198" i="1" s="1"/>
  <c r="H1200" i="1" a="1"/>
  <c r="H1200" i="1"/>
  <c r="O1200" i="1" a="1"/>
  <c r="O1200" i="1"/>
  <c r="O1197" i="1" a="1"/>
  <c r="O1197" i="1" s="1"/>
  <c r="J1199" i="1" a="1"/>
  <c r="J1199" i="1"/>
  <c r="N1197" i="1" a="1"/>
  <c r="N1197" i="1"/>
  <c r="J1198" i="1" a="1"/>
  <c r="J1198" i="1"/>
  <c r="J1202" i="1" a="1"/>
  <c r="J1202" i="1" s="1"/>
  <c r="I1202" i="1" a="1"/>
  <c r="I1202" i="1" s="1"/>
  <c r="J1200" i="1" a="1"/>
  <c r="J1200" i="1"/>
  <c r="L1199" i="1" a="1"/>
  <c r="L1199" i="1" s="1"/>
  <c r="G1198" i="1" a="1"/>
  <c r="G1198" i="1" s="1"/>
  <c r="G1201" i="1" a="1"/>
  <c r="G1201" i="1"/>
  <c r="N1200" i="1" a="1"/>
  <c r="N1200" i="1" s="1"/>
  <c r="H1202" i="1" a="1"/>
  <c r="H1202" i="1" s="1"/>
  <c r="G1202" i="1" a="1"/>
  <c r="G1202" i="1" s="1"/>
  <c r="F1202" i="1" a="1"/>
  <c r="F1202" i="1" s="1"/>
  <c r="L1200" i="1" a="1"/>
  <c r="L1200" i="1" s="1"/>
  <c r="Q1201" i="1" a="1"/>
  <c r="Q1201" i="1"/>
  <c r="M1200" i="1" a="1"/>
  <c r="M1200" i="1"/>
  <c r="I1199" i="1" a="1"/>
  <c r="I1199" i="1"/>
  <c r="G1199" i="1" a="1"/>
  <c r="G1199" i="1"/>
  <c r="F1199" i="1" a="1"/>
  <c r="F1199" i="1"/>
  <c r="N1198" i="1" a="1"/>
  <c r="N1198" i="1"/>
  <c r="N1201" i="1" a="1"/>
  <c r="N1201" i="1" s="1"/>
  <c r="J1201" i="1" a="1"/>
  <c r="J1201" i="1"/>
  <c r="L1198" i="1" a="1"/>
  <c r="L1198" i="1"/>
  <c r="G1200" i="1" a="1"/>
  <c r="G1200" i="1"/>
  <c r="N1199" i="1" a="1"/>
  <c r="N1199" i="1" s="1"/>
  <c r="P1201" i="1" a="1"/>
  <c r="P1201" i="1"/>
  <c r="H1198" i="1" a="1"/>
  <c r="H1198" i="1"/>
  <c r="K1198" i="1" a="1"/>
  <c r="K1198" i="1"/>
  <c r="J1197" i="1" a="1"/>
  <c r="J1197" i="1" s="1"/>
  <c r="H1201" i="1" a="1"/>
  <c r="H1201" i="1"/>
  <c r="O1201" i="1" a="1"/>
  <c r="O1201" i="1"/>
  <c r="M1201" i="1" a="1"/>
  <c r="M1201" i="1"/>
  <c r="L1201" i="1" a="1"/>
  <c r="L1201" i="1"/>
  <c r="I1197" i="1" a="1"/>
  <c r="I1197" i="1"/>
  <c r="O1196" i="1" a="1"/>
  <c r="O1196" i="1"/>
  <c r="K1196" i="1" a="1"/>
  <c r="K1196" i="1" s="1"/>
  <c r="F1193" i="1" a="1"/>
  <c r="F1193" i="1"/>
  <c r="G1197" i="1" a="1"/>
  <c r="G1197" i="1" s="1"/>
  <c r="F1196" i="1" a="1"/>
  <c r="F1196" i="1" s="1"/>
  <c r="N1196" i="1" a="1"/>
  <c r="N1196" i="1" s="1"/>
  <c r="M1196" i="1" a="1"/>
  <c r="M1196" i="1" s="1"/>
  <c r="L1196" i="1" a="1"/>
  <c r="L1196" i="1" s="1"/>
  <c r="F1195" i="1" a="1"/>
  <c r="F1195" i="1" s="1"/>
  <c r="Q1193" i="1" a="1"/>
  <c r="Q1193" i="1"/>
  <c r="I1193" i="1" a="1"/>
  <c r="I1193" i="1"/>
  <c r="H1194" i="1" a="1"/>
  <c r="H1194" i="1"/>
  <c r="K1193" i="1" a="1"/>
  <c r="K1193" i="1"/>
  <c r="P1193" i="1" a="1"/>
  <c r="P1193" i="1" s="1"/>
  <c r="M1193" i="1" a="1"/>
  <c r="M1193" i="1"/>
  <c r="I1196" i="1" a="1"/>
  <c r="I1196" i="1" s="1"/>
  <c r="H1193" i="1" a="1"/>
  <c r="H1193" i="1"/>
  <c r="H1196" i="1" a="1"/>
  <c r="H1196" i="1"/>
  <c r="Q1195" i="1" a="1"/>
  <c r="Q1195" i="1" s="1"/>
  <c r="O1195" i="1" a="1"/>
  <c r="O1195" i="1"/>
  <c r="M1195" i="1" a="1"/>
  <c r="M1195" i="1" s="1"/>
  <c r="J1195" i="1" a="1"/>
  <c r="J1195" i="1"/>
  <c r="O1194" i="1" a="1"/>
  <c r="O1194" i="1"/>
  <c r="L1193" i="1" a="1"/>
  <c r="L1193" i="1" s="1"/>
  <c r="G1193" i="1" a="1"/>
  <c r="G1193" i="1"/>
  <c r="L1195" i="1" a="1"/>
  <c r="L1195" i="1"/>
  <c r="H1195" i="1" a="1"/>
  <c r="H1195" i="1" s="1"/>
  <c r="J1194" i="1" a="1"/>
  <c r="J1194" i="1" s="1"/>
  <c r="F1194" i="1" a="1"/>
  <c r="F1194" i="1" s="1"/>
  <c r="N1193" i="1" a="1"/>
  <c r="N1193" i="1"/>
  <c r="I1194" i="1" a="1"/>
  <c r="I1194" i="1"/>
  <c r="P1195" i="1" a="1"/>
  <c r="P1195" i="1" s="1"/>
  <c r="J1196" i="1" a="1"/>
  <c r="J1196" i="1" s="1"/>
  <c r="L1194" i="1" a="1"/>
  <c r="L1194" i="1"/>
  <c r="N1194" i="1" a="1"/>
  <c r="N1194" i="1"/>
  <c r="K1194" i="1" a="1"/>
  <c r="K1194" i="1" s="1"/>
  <c r="Q1196" i="1" a="1"/>
  <c r="Q1196" i="1" s="1"/>
  <c r="K1195" i="1" a="1"/>
  <c r="K1195" i="1" s="1"/>
  <c r="G1195" i="1" a="1"/>
  <c r="G1195" i="1"/>
  <c r="Q1194" i="1" a="1"/>
  <c r="Q1194" i="1"/>
  <c r="P1194" i="1" a="1"/>
  <c r="P1194" i="1"/>
  <c r="P1192" i="1" a="1"/>
  <c r="P1192" i="1"/>
  <c r="Q1192" i="1" a="1"/>
  <c r="Q1192" i="1"/>
  <c r="H1197" i="1" a="1"/>
  <c r="H1197" i="1"/>
  <c r="M1194" i="1" a="1"/>
  <c r="M1194" i="1"/>
  <c r="G1196" i="1" a="1"/>
  <c r="G1196" i="1"/>
  <c r="P1196" i="1" a="1"/>
  <c r="P1196" i="1" s="1"/>
  <c r="O1193" i="1" a="1"/>
  <c r="O1193" i="1" s="1"/>
  <c r="N1195" i="1" a="1"/>
  <c r="N1195" i="1" s="1"/>
  <c r="F1197" i="1" a="1"/>
  <c r="F1197" i="1"/>
  <c r="I1195" i="1" a="1"/>
  <c r="I1195" i="1" s="1"/>
  <c r="G1194" i="1" a="1"/>
  <c r="G1194" i="1"/>
  <c r="J1193" i="1" a="1"/>
  <c r="J1193" i="1" s="1"/>
  <c r="O1190" i="1" a="1"/>
  <c r="O1190" i="1"/>
  <c r="I1190" i="1" a="1"/>
  <c r="I1190" i="1"/>
  <c r="O1192" i="1" a="1"/>
  <c r="O1192" i="1"/>
  <c r="N1192" i="1" a="1"/>
  <c r="N1192" i="1"/>
  <c r="F1192" i="1" a="1"/>
  <c r="F1192" i="1" s="1"/>
  <c r="N1190" i="1" a="1"/>
  <c r="N1190" i="1"/>
  <c r="G1191" i="1" a="1"/>
  <c r="G1191" i="1" s="1"/>
  <c r="K1191" i="1" a="1"/>
  <c r="K1191" i="1" s="1"/>
  <c r="M1192" i="1" a="1"/>
  <c r="M1192" i="1"/>
  <c r="L1192" i="1" a="1"/>
  <c r="L1192" i="1"/>
  <c r="K1192" i="1" a="1"/>
  <c r="K1192" i="1"/>
  <c r="H1192" i="1" a="1"/>
  <c r="H1192" i="1" s="1"/>
  <c r="G1192" i="1" a="1"/>
  <c r="G1192" i="1" s="1"/>
  <c r="J1191" i="1" a="1"/>
  <c r="J1191" i="1" s="1"/>
  <c r="L1190" i="1" a="1"/>
  <c r="L1190" i="1"/>
  <c r="J1190" i="1" a="1"/>
  <c r="J1190" i="1"/>
  <c r="G1190" i="1" a="1"/>
  <c r="G1190" i="1" s="1"/>
  <c r="F1191" i="1" a="1"/>
  <c r="F1191" i="1" s="1"/>
  <c r="P1191" i="1" a="1"/>
  <c r="P1191" i="1" s="1"/>
  <c r="I1191" i="1" a="1"/>
  <c r="I1191" i="1"/>
  <c r="O1191" i="1" a="1"/>
  <c r="O1191" i="1"/>
  <c r="H1190" i="1" a="1"/>
  <c r="H1190" i="1" s="1"/>
  <c r="K1190" i="1" a="1"/>
  <c r="K1190" i="1"/>
  <c r="M1191" i="1" a="1"/>
  <c r="M1191" i="1" s="1"/>
  <c r="M1190" i="1" a="1"/>
  <c r="M1190" i="1"/>
  <c r="P1190" i="1" a="1"/>
  <c r="P1190" i="1"/>
  <c r="N1191" i="1" a="1"/>
  <c r="N1191" i="1" s="1"/>
  <c r="Q1190" i="1" a="1"/>
  <c r="Q1190" i="1"/>
  <c r="H1191" i="1" a="1"/>
  <c r="H1191" i="1" s="1"/>
  <c r="J1192" i="1" a="1"/>
  <c r="J1192" i="1"/>
  <c r="I1192" i="1" a="1"/>
  <c r="I1192" i="1"/>
  <c r="Q1191" i="1" a="1"/>
  <c r="Q1191" i="1" s="1"/>
  <c r="L1191" i="1" a="1"/>
  <c r="L1191" i="1" s="1"/>
  <c r="Q1446" i="1" a="1"/>
  <c r="Q1446" i="1"/>
  <c r="P1446" i="1" a="1"/>
  <c r="P1446" i="1" s="1"/>
  <c r="O1446" i="1" a="1"/>
  <c r="O1446" i="1" s="1"/>
  <c r="M1446" i="1" a="1"/>
  <c r="M1446" i="1" s="1"/>
  <c r="N1446" i="1" a="1"/>
  <c r="N1446" i="1" s="1"/>
  <c r="Q1445" i="1" a="1"/>
  <c r="Q1445" i="1"/>
  <c r="I1446" i="1" a="1"/>
  <c r="I1446" i="1" s="1"/>
  <c r="H1446" i="1" a="1"/>
  <c r="H1446" i="1"/>
  <c r="G1446" i="1" a="1"/>
  <c r="G1446" i="1" s="1"/>
  <c r="O1445" i="1" a="1"/>
  <c r="O1445" i="1" s="1"/>
  <c r="F1446" i="1" a="1"/>
  <c r="F1446" i="1"/>
  <c r="J1446" i="1" a="1"/>
  <c r="J1446" i="1"/>
  <c r="L1446" i="1" a="1"/>
  <c r="L1446" i="1" s="1"/>
  <c r="K1446" i="1" a="1"/>
  <c r="K1446" i="1" s="1"/>
  <c r="P1445" i="1" a="1"/>
  <c r="P1445" i="1"/>
  <c r="L1445" i="1" a="1"/>
  <c r="L1445" i="1"/>
  <c r="N1445" i="1" a="1"/>
  <c r="N1445" i="1" s="1"/>
  <c r="M1445" i="1" a="1"/>
  <c r="M1445" i="1" s="1"/>
  <c r="H1445" i="1" a="1"/>
  <c r="H1445" i="1"/>
  <c r="G1445" i="1" a="1"/>
  <c r="G1445" i="1" s="1"/>
  <c r="K1445" i="1" a="1"/>
  <c r="K1445" i="1"/>
  <c r="J1445" i="1" a="1"/>
  <c r="J1445" i="1" s="1"/>
  <c r="I1445" i="1" a="1"/>
  <c r="I1445" i="1" s="1"/>
  <c r="F1445" i="1" a="1"/>
  <c r="F1445" i="1"/>
  <c r="P1444" i="1" a="1"/>
  <c r="P1444" i="1" s="1"/>
  <c r="Q1444" i="1" a="1"/>
  <c r="Q1444" i="1"/>
  <c r="O1444" i="1" a="1"/>
  <c r="O1444" i="1"/>
  <c r="N1444" i="1" a="1"/>
  <c r="N1444" i="1"/>
  <c r="M1444" i="1" a="1"/>
  <c r="M1444" i="1"/>
  <c r="L1444" i="1" a="1"/>
  <c r="L1444" i="1" s="1"/>
  <c r="K1444" i="1" a="1"/>
  <c r="K1444" i="1" s="1"/>
  <c r="J1444" i="1" a="1"/>
  <c r="J1444" i="1" s="1"/>
  <c r="H1444" i="1" a="1"/>
  <c r="H1444" i="1" s="1"/>
  <c r="I1444" i="1" a="1"/>
  <c r="I1444" i="1" s="1"/>
  <c r="G1444" i="1" a="1"/>
  <c r="G1444" i="1"/>
  <c r="F1444" i="1" a="1"/>
  <c r="F1444" i="1"/>
  <c r="O1443" i="1" a="1"/>
  <c r="O1443" i="1"/>
  <c r="Q1443" i="1" a="1"/>
  <c r="Q1443" i="1" s="1"/>
  <c r="P1443" i="1" a="1"/>
  <c r="P1443" i="1" s="1"/>
  <c r="N1443" i="1" a="1"/>
  <c r="N1443" i="1"/>
  <c r="K1443" i="1" a="1"/>
  <c r="K1443" i="1"/>
  <c r="J1443" i="1" a="1"/>
  <c r="J1443" i="1"/>
  <c r="L1443" i="1" a="1"/>
  <c r="L1443" i="1"/>
  <c r="M1443" i="1" a="1"/>
  <c r="M1443" i="1"/>
  <c r="I1443" i="1" a="1"/>
  <c r="I1443" i="1" s="1"/>
  <c r="P1442" i="1" a="1"/>
  <c r="P1442" i="1" s="1"/>
  <c r="O1442" i="1" a="1"/>
  <c r="O1442" i="1"/>
  <c r="N1442" i="1" a="1"/>
  <c r="N1442" i="1"/>
  <c r="J1442" i="1" a="1"/>
  <c r="J1442" i="1" s="1"/>
  <c r="L1442" i="1" a="1"/>
  <c r="L1442" i="1" s="1"/>
  <c r="K1442" i="1" a="1"/>
  <c r="K1442" i="1"/>
  <c r="H1442" i="1" a="1"/>
  <c r="H1442" i="1" s="1"/>
  <c r="M1442" i="1" a="1"/>
  <c r="M1442" i="1"/>
  <c r="H1443" i="1" a="1"/>
  <c r="H1443" i="1" s="1"/>
  <c r="G1443" i="1" a="1"/>
  <c r="G1443" i="1"/>
  <c r="Q1442" i="1" a="1"/>
  <c r="Q1442" i="1"/>
  <c r="I1442" i="1" a="1"/>
  <c r="I1442" i="1"/>
  <c r="F1443" i="1" a="1"/>
  <c r="F1443" i="1"/>
  <c r="I1447" i="1" a="1"/>
  <c r="I1447" i="1" s="1"/>
  <c r="H1447" i="1" a="1"/>
  <c r="H1447" i="1"/>
  <c r="J1447" i="1" a="1"/>
  <c r="J1447" i="1" s="1"/>
  <c r="F1447" i="1" a="1"/>
  <c r="F1447" i="1" s="1"/>
  <c r="G1447" i="1" a="1"/>
  <c r="G1447" i="1"/>
  <c r="J1416" i="1" a="1"/>
  <c r="J1416" i="1"/>
  <c r="L1416" i="1" a="1"/>
  <c r="L1416" i="1"/>
  <c r="K1416" i="1" a="1"/>
  <c r="K1416" i="1"/>
  <c r="F1417" i="1" a="1"/>
  <c r="F1417" i="1" s="1"/>
  <c r="G1416" i="1" a="1"/>
  <c r="G1416" i="1" s="1"/>
  <c r="O1417" i="1" a="1"/>
  <c r="O1417" i="1"/>
  <c r="L1417" i="1" a="1"/>
  <c r="L1417" i="1"/>
  <c r="K1417" i="1" a="1"/>
  <c r="K1417" i="1" s="1"/>
  <c r="P1416" i="1" a="1"/>
  <c r="P1416" i="1"/>
  <c r="J1417" i="1" a="1"/>
  <c r="J1417" i="1" s="1"/>
  <c r="I1417" i="1" a="1"/>
  <c r="I1417" i="1"/>
  <c r="M1416" i="1" a="1"/>
  <c r="M1416" i="1" s="1"/>
  <c r="Q1416" i="1" a="1"/>
  <c r="Q1416" i="1" s="1"/>
  <c r="F1416" i="1" a="1"/>
  <c r="F1416" i="1"/>
  <c r="F1418" i="1" a="1"/>
  <c r="F1418" i="1" s="1"/>
  <c r="Q1417" i="1" a="1"/>
  <c r="Q1417" i="1"/>
  <c r="G1417" i="1" a="1"/>
  <c r="G1417" i="1"/>
  <c r="M1417" i="1" a="1"/>
  <c r="M1417" i="1" s="1"/>
  <c r="I1416" i="1" a="1"/>
  <c r="I1416" i="1"/>
  <c r="P1417" i="1" a="1"/>
  <c r="P1417" i="1" s="1"/>
  <c r="N1417" i="1" a="1"/>
  <c r="N1417" i="1"/>
  <c r="H1416" i="1" a="1"/>
  <c r="H1416" i="1"/>
  <c r="H1417" i="1" a="1"/>
  <c r="H1417" i="1"/>
  <c r="O1416" i="1" a="1"/>
  <c r="O1416" i="1" s="1"/>
  <c r="N1416" i="1" a="1"/>
  <c r="N1416" i="1"/>
  <c r="O1409" i="1" a="1"/>
  <c r="O1409" i="1"/>
  <c r="G1410" i="1" a="1"/>
  <c r="G1410" i="1"/>
  <c r="M1409" i="1" a="1"/>
  <c r="M1409" i="1" s="1"/>
  <c r="M1408" i="1" a="1"/>
  <c r="M1408" i="1" s="1"/>
  <c r="P1408" i="1" a="1"/>
  <c r="P1408" i="1"/>
  <c r="Q1407" i="1" a="1"/>
  <c r="Q1407" i="1" s="1"/>
  <c r="N1409" i="1" a="1"/>
  <c r="N1409" i="1" s="1"/>
  <c r="K1408" i="1" a="1"/>
  <c r="K1408" i="1" s="1"/>
  <c r="K1409" i="1" a="1"/>
  <c r="K1409" i="1" s="1"/>
  <c r="G1408" i="1" a="1"/>
  <c r="G1408" i="1"/>
  <c r="H1409" i="1" a="1"/>
  <c r="H1409" i="1"/>
  <c r="H1408" i="1" a="1"/>
  <c r="H1408" i="1"/>
  <c r="Q1409" i="1" a="1"/>
  <c r="Q1409" i="1" s="1"/>
  <c r="I1409" i="1" a="1"/>
  <c r="I1409" i="1" s="1"/>
  <c r="P1410" i="1" a="1"/>
  <c r="P1410" i="1" s="1"/>
  <c r="M1410" i="1" a="1"/>
  <c r="M1410" i="1"/>
  <c r="Q1410" i="1" a="1"/>
  <c r="Q1410" i="1" s="1"/>
  <c r="G1409" i="1" a="1"/>
  <c r="G1409" i="1"/>
  <c r="O1410" i="1" a="1"/>
  <c r="O1410" i="1" s="1"/>
  <c r="K1410" i="1" a="1"/>
  <c r="K1410" i="1"/>
  <c r="P1407" i="1" a="1"/>
  <c r="P1407" i="1"/>
  <c r="N1410" i="1" a="1"/>
  <c r="N1410" i="1" s="1"/>
  <c r="J1409" i="1" a="1"/>
  <c r="J1409" i="1"/>
  <c r="F1408" i="1" a="1"/>
  <c r="F1408" i="1" s="1"/>
  <c r="I1410" i="1" a="1"/>
  <c r="I1410" i="1"/>
  <c r="H1410" i="1" a="1"/>
  <c r="H1410" i="1"/>
  <c r="L1409" i="1" a="1"/>
  <c r="L1409" i="1" s="1"/>
  <c r="P1409" i="1" a="1"/>
  <c r="P1409" i="1" s="1"/>
  <c r="F1409" i="1" a="1"/>
  <c r="F1409" i="1"/>
  <c r="L1408" i="1" a="1"/>
  <c r="L1408" i="1"/>
  <c r="I1408" i="1" a="1"/>
  <c r="I1408" i="1" s="1"/>
  <c r="N1408" i="1" a="1"/>
  <c r="N1408" i="1"/>
  <c r="J1410" i="1" a="1"/>
  <c r="J1410" i="1" s="1"/>
  <c r="F1410" i="1" a="1"/>
  <c r="F1410" i="1"/>
  <c r="L1410" i="1" a="1"/>
  <c r="L1410" i="1"/>
  <c r="J1408" i="1" a="1"/>
  <c r="J1408" i="1" s="1"/>
  <c r="O1408" i="1" a="1"/>
  <c r="O1408" i="1" s="1"/>
  <c r="Q1408" i="1" a="1"/>
  <c r="Q1408" i="1" s="1"/>
  <c r="P1335" i="1" a="1"/>
  <c r="P1335" i="1"/>
  <c r="K1334" i="1" a="1"/>
  <c r="K1334" i="1"/>
  <c r="P1333" i="1" a="1"/>
  <c r="P1333" i="1" s="1"/>
  <c r="O1335" i="1" a="1"/>
  <c r="O1335" i="1" s="1"/>
  <c r="F1333" i="1" a="1"/>
  <c r="F1333" i="1"/>
  <c r="H1333" i="1" a="1"/>
  <c r="H1333" i="1"/>
  <c r="N1335" i="1" a="1"/>
  <c r="N1335" i="1"/>
  <c r="I1335" i="1" a="1"/>
  <c r="I1335" i="1" s="1"/>
  <c r="Q1334" i="1" a="1"/>
  <c r="Q1334" i="1"/>
  <c r="J1334" i="1" a="1"/>
  <c r="J1334" i="1" s="1"/>
  <c r="G1334" i="1" a="1"/>
  <c r="G1334" i="1" s="1"/>
  <c r="P1332" i="1" a="1"/>
  <c r="P1332" i="1" s="1"/>
  <c r="O1333" i="1" a="1"/>
  <c r="O1333" i="1" s="1"/>
  <c r="M1335" i="1" a="1"/>
  <c r="M1335" i="1"/>
  <c r="K1335" i="1" a="1"/>
  <c r="K1335" i="1" s="1"/>
  <c r="M1334" i="1" a="1"/>
  <c r="M1334" i="1"/>
  <c r="L1335" i="1" a="1"/>
  <c r="L1335" i="1" s="1"/>
  <c r="J1335" i="1" a="1"/>
  <c r="J1335" i="1" s="1"/>
  <c r="H1335" i="1" a="1"/>
  <c r="H1335" i="1" s="1"/>
  <c r="I1334" i="1" a="1"/>
  <c r="I1334" i="1" s="1"/>
  <c r="N1333" i="1" a="1"/>
  <c r="N1333" i="1"/>
  <c r="G1335" i="1" a="1"/>
  <c r="G1335" i="1"/>
  <c r="F1335" i="1" a="1"/>
  <c r="F1335" i="1"/>
  <c r="P1334" i="1" a="1"/>
  <c r="P1334" i="1"/>
  <c r="O1334" i="1" a="1"/>
  <c r="O1334" i="1"/>
  <c r="N1334" i="1" a="1"/>
  <c r="N1334" i="1"/>
  <c r="Q1332" i="1" a="1"/>
  <c r="Q1332" i="1"/>
  <c r="L1334" i="1" a="1"/>
  <c r="L1334" i="1" s="1"/>
  <c r="H1334" i="1" a="1"/>
  <c r="H1334" i="1" s="1"/>
  <c r="F1334" i="1" a="1"/>
  <c r="F1334" i="1"/>
  <c r="Q1333" i="1" a="1"/>
  <c r="Q1333" i="1" s="1"/>
  <c r="J1333" i="1" a="1"/>
  <c r="J1333" i="1"/>
  <c r="I1333" i="1" a="1"/>
  <c r="I1333" i="1"/>
  <c r="K1333" i="1" a="1"/>
  <c r="K1333" i="1"/>
  <c r="L1333" i="1" a="1"/>
  <c r="L1333" i="1"/>
  <c r="G1333" i="1" a="1"/>
  <c r="G1333" i="1"/>
  <c r="O1332" i="1" a="1"/>
  <c r="O1332" i="1" s="1"/>
  <c r="M1333" i="1" a="1"/>
  <c r="M1333" i="1" s="1"/>
  <c r="G1336" i="1" a="1"/>
  <c r="G1336" i="1" s="1"/>
  <c r="F1336" i="1" a="1"/>
  <c r="F1336" i="1" s="1"/>
  <c r="Q1335" i="1" a="1"/>
  <c r="Q1335" i="1"/>
  <c r="G1332" i="1" a="1"/>
  <c r="G1332" i="1" s="1"/>
  <c r="F1332" i="1" a="1"/>
  <c r="F1332" i="1"/>
  <c r="I1332" i="1" a="1"/>
  <c r="I1332" i="1" s="1"/>
  <c r="N1332" i="1" a="1"/>
  <c r="N1332" i="1" s="1"/>
  <c r="M1332" i="1" a="1"/>
  <c r="M1332" i="1"/>
  <c r="K1332" i="1" a="1"/>
  <c r="K1332" i="1" s="1"/>
  <c r="H1332" i="1" a="1"/>
  <c r="H1332" i="1" s="1"/>
  <c r="L1332" i="1" a="1"/>
  <c r="L1332" i="1"/>
  <c r="J1332" i="1" a="1"/>
  <c r="J1332" i="1"/>
  <c r="J1326" i="1" a="1"/>
  <c r="J1326" i="1"/>
  <c r="K1326" i="1" a="1"/>
  <c r="K1326" i="1"/>
  <c r="Q1326" i="1" a="1"/>
  <c r="Q1326" i="1" s="1"/>
  <c r="O1326" i="1" a="1"/>
  <c r="O1326" i="1"/>
  <c r="N1326" i="1" a="1"/>
  <c r="N1326" i="1" s="1"/>
  <c r="M1326" i="1" a="1"/>
  <c r="M1326" i="1" s="1"/>
  <c r="L1326" i="1" a="1"/>
  <c r="L1326" i="1" s="1"/>
  <c r="P1326" i="1" a="1"/>
  <c r="P1326" i="1" s="1"/>
  <c r="L1324" i="1" a="1"/>
  <c r="L1324" i="1" s="1"/>
  <c r="K1324" i="1" a="1"/>
  <c r="K1324" i="1"/>
  <c r="P1325" i="1" a="1"/>
  <c r="P1325" i="1"/>
  <c r="K1325" i="1" a="1"/>
  <c r="K1325" i="1"/>
  <c r="J1325" i="1" a="1"/>
  <c r="J1325" i="1"/>
  <c r="I1326" i="1" a="1"/>
  <c r="I1326" i="1" s="1"/>
  <c r="H1326" i="1" a="1"/>
  <c r="H1326" i="1" s="1"/>
  <c r="G1326" i="1" a="1"/>
  <c r="G1326" i="1" s="1"/>
  <c r="Q1325" i="1" a="1"/>
  <c r="Q1325" i="1" s="1"/>
  <c r="O1325" i="1" a="1"/>
  <c r="O1325" i="1"/>
  <c r="P1324" i="1" a="1"/>
  <c r="P1324" i="1"/>
  <c r="H1325" i="1" a="1"/>
  <c r="H1325" i="1"/>
  <c r="G1325" i="1" a="1"/>
  <c r="G1325" i="1" s="1"/>
  <c r="F1326" i="1" a="1"/>
  <c r="F1326" i="1"/>
  <c r="M1325" i="1" a="1"/>
  <c r="M1325" i="1" s="1"/>
  <c r="Q1324" i="1" a="1"/>
  <c r="Q1324" i="1"/>
  <c r="L1325" i="1" a="1"/>
  <c r="L1325" i="1"/>
  <c r="I1325" i="1" a="1"/>
  <c r="I1325" i="1" s="1"/>
  <c r="O1324" i="1" a="1"/>
  <c r="O1324" i="1"/>
  <c r="N1325" i="1" a="1"/>
  <c r="N1325" i="1"/>
  <c r="F1325" i="1" a="1"/>
  <c r="F1325" i="1" s="1"/>
  <c r="N1324" i="1" a="1"/>
  <c r="N1324" i="1" s="1"/>
  <c r="M1324" i="1" a="1"/>
  <c r="M1324" i="1" s="1"/>
  <c r="J1324" i="1" a="1"/>
  <c r="J1324" i="1" s="1"/>
  <c r="O1323" i="1" a="1"/>
  <c r="O1323" i="1"/>
  <c r="I1323" i="1" a="1"/>
  <c r="I1323" i="1"/>
  <c r="F1323" i="1" a="1"/>
  <c r="F1323" i="1" s="1"/>
  <c r="H1323" i="1" a="1"/>
  <c r="H1323" i="1" s="1"/>
  <c r="I1324" i="1" a="1"/>
  <c r="I1324" i="1" s="1"/>
  <c r="H1324" i="1" a="1"/>
  <c r="H1324" i="1" s="1"/>
  <c r="G1324" i="1" a="1"/>
  <c r="G1324" i="1"/>
  <c r="F1324" i="1" a="1"/>
  <c r="F1324" i="1"/>
  <c r="Q1323" i="1" a="1"/>
  <c r="Q1323" i="1" s="1"/>
  <c r="N1323" i="1" a="1"/>
  <c r="N1323" i="1" s="1"/>
  <c r="L1323" i="1" a="1"/>
  <c r="L1323" i="1"/>
  <c r="M1323" i="1" a="1"/>
  <c r="M1323" i="1" s="1"/>
  <c r="K1323" i="1" a="1"/>
  <c r="K1323" i="1"/>
  <c r="P1323" i="1" a="1"/>
  <c r="P1323" i="1"/>
  <c r="G1323" i="1" a="1"/>
  <c r="G1323" i="1"/>
  <c r="J1323" i="1" a="1"/>
  <c r="J1323" i="1"/>
  <c r="K1321" i="1" a="1"/>
  <c r="K1321" i="1" s="1"/>
  <c r="L1320" i="1" a="1"/>
  <c r="L1320" i="1" s="1"/>
  <c r="J1321" i="1" a="1"/>
  <c r="J1321" i="1" s="1"/>
  <c r="Q1320" i="1" a="1"/>
  <c r="Q1320" i="1" s="1"/>
  <c r="H1321" i="1" a="1"/>
  <c r="H1321" i="1"/>
  <c r="N1320" i="1" a="1"/>
  <c r="N1320" i="1"/>
  <c r="P1320" i="1" a="1"/>
  <c r="P1320" i="1"/>
  <c r="M1320" i="1" a="1"/>
  <c r="M1320" i="1"/>
  <c r="J1320" i="1" a="1"/>
  <c r="J1320" i="1" s="1"/>
  <c r="F1321" i="1" a="1"/>
  <c r="F1321" i="1" s="1"/>
  <c r="K1320" i="1" a="1"/>
  <c r="K1320" i="1"/>
  <c r="I1320" i="1" a="1"/>
  <c r="I1320" i="1" s="1"/>
  <c r="O1320" i="1" a="1"/>
  <c r="O1320" i="1" s="1"/>
  <c r="P1321" i="1" a="1"/>
  <c r="P1321" i="1" s="1"/>
  <c r="O1321" i="1" a="1"/>
  <c r="O1321" i="1" s="1"/>
  <c r="G1321" i="1" a="1"/>
  <c r="G1321" i="1"/>
  <c r="Q1321" i="1" a="1"/>
  <c r="Q1321" i="1" s="1"/>
  <c r="N1321" i="1" a="1"/>
  <c r="N1321" i="1"/>
  <c r="M1321" i="1" a="1"/>
  <c r="M1321" i="1" s="1"/>
  <c r="L1321" i="1" a="1"/>
  <c r="L1321" i="1"/>
  <c r="I1321" i="1" a="1"/>
  <c r="I1321" i="1"/>
  <c r="G1318" i="1" a="1"/>
  <c r="G1318" i="1" s="1"/>
  <c r="L1319" i="1" a="1"/>
  <c r="L1319" i="1"/>
  <c r="N1317" i="1" a="1"/>
  <c r="N1317" i="1" s="1"/>
  <c r="K1319" i="1" a="1"/>
  <c r="K1319" i="1"/>
  <c r="J1318" i="1" a="1"/>
  <c r="J1318" i="1" s="1"/>
  <c r="H1319" i="1" a="1"/>
  <c r="H1319" i="1" s="1"/>
  <c r="G1319" i="1" a="1"/>
  <c r="G1319" i="1" s="1"/>
  <c r="P1318" i="1" a="1"/>
  <c r="P1318" i="1" s="1"/>
  <c r="O1318" i="1" a="1"/>
  <c r="O1318" i="1" s="1"/>
  <c r="M1318" i="1" a="1"/>
  <c r="M1318" i="1" s="1"/>
  <c r="P1317" i="1" a="1"/>
  <c r="P1317" i="1" s="1"/>
  <c r="M1317" i="1" a="1"/>
  <c r="M1317" i="1" s="1"/>
  <c r="Q1318" i="1" a="1"/>
  <c r="Q1318" i="1"/>
  <c r="I1318" i="1" a="1"/>
  <c r="I1318" i="1"/>
  <c r="N1318" i="1" a="1"/>
  <c r="N1318" i="1" s="1"/>
  <c r="L1318" i="1" a="1"/>
  <c r="L1318" i="1"/>
  <c r="L1317" i="1" a="1"/>
  <c r="L1317" i="1"/>
  <c r="H1320" i="1" a="1"/>
  <c r="H1320" i="1" s="1"/>
  <c r="H1318" i="1" a="1"/>
  <c r="H1318" i="1" s="1"/>
  <c r="J1319" i="1" a="1"/>
  <c r="J1319" i="1"/>
  <c r="G1320" i="1" a="1"/>
  <c r="G1320" i="1" s="1"/>
  <c r="O1319" i="1" a="1"/>
  <c r="O1319" i="1"/>
  <c r="F1320" i="1" a="1"/>
  <c r="F1320" i="1"/>
  <c r="Q1317" i="1" a="1"/>
  <c r="Q1317" i="1" s="1"/>
  <c r="N1319" i="1" a="1"/>
  <c r="N1319" i="1" s="1"/>
  <c r="K1317" i="1" a="1"/>
  <c r="K1317" i="1"/>
  <c r="I1319" i="1" a="1"/>
  <c r="I1319" i="1" s="1"/>
  <c r="F1319" i="1" a="1"/>
  <c r="F1319" i="1"/>
  <c r="J1317" i="1" a="1"/>
  <c r="J1317" i="1" s="1"/>
  <c r="M1319" i="1" a="1"/>
  <c r="M1319" i="1" s="1"/>
  <c r="F1317" i="1" a="1"/>
  <c r="F1317" i="1"/>
  <c r="K1318" i="1" a="1"/>
  <c r="K1318" i="1"/>
  <c r="F1318" i="1" a="1"/>
  <c r="F1318" i="1"/>
  <c r="H1317" i="1" a="1"/>
  <c r="H1317" i="1" s="1"/>
  <c r="G1317" i="1" a="1"/>
  <c r="G1317" i="1" s="1"/>
  <c r="Q1319" i="1" a="1"/>
  <c r="Q1319" i="1"/>
  <c r="P1319" i="1" a="1"/>
  <c r="P1319" i="1" s="1"/>
  <c r="O1317" i="1" a="1"/>
  <c r="O1317" i="1" s="1"/>
  <c r="I1317" i="1" a="1"/>
  <c r="I1317" i="1"/>
  <c r="O1339" i="1" a="1"/>
  <c r="O1339" i="1" s="1"/>
  <c r="H1340" i="1" a="1"/>
  <c r="H1340" i="1" s="1"/>
  <c r="N1340" i="1" a="1"/>
  <c r="N1340" i="1"/>
  <c r="O1340" i="1" a="1"/>
  <c r="O1340" i="1"/>
  <c r="K1340" i="1" a="1"/>
  <c r="K1340" i="1" s="1"/>
  <c r="P1339" i="1" a="1"/>
  <c r="P1339" i="1" s="1"/>
  <c r="Q1340" i="1" a="1"/>
  <c r="Q1340" i="1" s="1"/>
  <c r="P1340" i="1" a="1"/>
  <c r="P1340" i="1"/>
  <c r="L1340" i="1" a="1"/>
  <c r="L1340" i="1" s="1"/>
  <c r="G1340" i="1" a="1"/>
  <c r="G1340" i="1" s="1"/>
  <c r="F1340" i="1" a="1"/>
  <c r="F1340" i="1" s="1"/>
  <c r="J1340" i="1" a="1"/>
  <c r="J1340" i="1"/>
  <c r="M1340" i="1" a="1"/>
  <c r="M1340" i="1" s="1"/>
  <c r="I1340" i="1" a="1"/>
  <c r="I1340" i="1" s="1"/>
  <c r="Q1339" i="1" a="1"/>
  <c r="Q1339" i="1" s="1"/>
  <c r="H1339" i="1" a="1"/>
  <c r="H1339" i="1"/>
  <c r="F1339" i="1" a="1"/>
  <c r="F1339" i="1" s="1"/>
  <c r="M1339" i="1" a="1"/>
  <c r="M1339" i="1"/>
  <c r="L1339" i="1" a="1"/>
  <c r="L1339" i="1"/>
  <c r="K1339" i="1" a="1"/>
  <c r="K1339" i="1"/>
  <c r="P1338" i="1" a="1"/>
  <c r="P1338" i="1"/>
  <c r="J1339" i="1" a="1"/>
  <c r="J1339" i="1"/>
  <c r="N1338" i="1" a="1"/>
  <c r="N1338" i="1"/>
  <c r="I1339" i="1" a="1"/>
  <c r="I1339" i="1" s="1"/>
  <c r="G1339" i="1" a="1"/>
  <c r="G1339" i="1" s="1"/>
  <c r="Q1338" i="1" a="1"/>
  <c r="Q1338" i="1" s="1"/>
  <c r="M1338" i="1" a="1"/>
  <c r="M1338" i="1" s="1"/>
  <c r="N1339" i="1" a="1"/>
  <c r="N1339" i="1" s="1"/>
  <c r="O1338" i="1" a="1"/>
  <c r="O1338" i="1" s="1"/>
  <c r="F1338" i="1" a="1"/>
  <c r="F1338" i="1" s="1"/>
  <c r="L1338" i="1" a="1"/>
  <c r="L1338" i="1" s="1"/>
  <c r="K1338" i="1" a="1"/>
  <c r="K1338" i="1"/>
  <c r="H1338" i="1" a="1"/>
  <c r="H1338" i="1"/>
  <c r="I1338" i="1" a="1"/>
  <c r="I1338" i="1"/>
  <c r="Q1337" i="1" a="1"/>
  <c r="Q1337" i="1" s="1"/>
  <c r="J1338" i="1" a="1"/>
  <c r="J1338" i="1" s="1"/>
  <c r="G1338" i="1" a="1"/>
  <c r="G1338" i="1"/>
  <c r="P1337" i="1" a="1"/>
  <c r="P1337" i="1" s="1"/>
  <c r="K1337" i="1" a="1"/>
  <c r="K1337" i="1"/>
  <c r="H1336" i="1" a="1"/>
  <c r="H1336" i="1"/>
  <c r="J1337" i="1" a="1"/>
  <c r="J1337" i="1" s="1"/>
  <c r="H1337" i="1" a="1"/>
  <c r="H1337" i="1"/>
  <c r="G1337" i="1" a="1"/>
  <c r="G1337" i="1"/>
  <c r="P1336" i="1" a="1"/>
  <c r="P1336" i="1" s="1"/>
  <c r="F1337" i="1" a="1"/>
  <c r="F1337" i="1"/>
  <c r="K1336" i="1" a="1"/>
  <c r="K1336" i="1" s="1"/>
  <c r="J1336" i="1" a="1"/>
  <c r="J1336" i="1"/>
  <c r="I1336" i="1" a="1"/>
  <c r="I1336" i="1" s="1"/>
  <c r="I1337" i="1" a="1"/>
  <c r="I1337" i="1" s="1"/>
  <c r="O1337" i="1" a="1"/>
  <c r="O1337" i="1"/>
  <c r="N1337" i="1" a="1"/>
  <c r="N1337" i="1"/>
  <c r="M1337" i="1" a="1"/>
  <c r="M1337" i="1" s="1"/>
  <c r="N1336" i="1" a="1"/>
  <c r="N1336" i="1" s="1"/>
  <c r="L1336" i="1" a="1"/>
  <c r="L1336" i="1"/>
  <c r="L1337" i="1" a="1"/>
  <c r="L1337" i="1" s="1"/>
  <c r="Q1336" i="1" a="1"/>
  <c r="Q1336" i="1"/>
  <c r="O1336" i="1" a="1"/>
  <c r="O1336" i="1"/>
  <c r="M1336" i="1" a="1"/>
  <c r="M1336" i="1" s="1"/>
  <c r="N1447" i="1" a="1"/>
  <c r="N1447" i="1" s="1"/>
  <c r="M1447" i="1" a="1"/>
  <c r="M1447" i="1" s="1"/>
  <c r="K1447" i="1" a="1"/>
  <c r="K1447" i="1"/>
  <c r="L1447" i="1" a="1"/>
  <c r="L1447" i="1"/>
  <c r="O1447" i="1" a="1"/>
  <c r="O1447" i="1"/>
  <c r="M1450" i="1" a="1"/>
  <c r="M1450" i="1"/>
  <c r="N1450" i="1" a="1"/>
  <c r="N1450" i="1"/>
  <c r="J1450" i="1" a="1"/>
  <c r="J1450" i="1" s="1"/>
  <c r="I1450" i="1" a="1"/>
  <c r="I1450" i="1"/>
  <c r="H1450" i="1" a="1"/>
  <c r="H1450" i="1" s="1"/>
  <c r="G1450" i="1" a="1"/>
  <c r="G1450" i="1" s="1"/>
  <c r="L1450" i="1" a="1"/>
  <c r="L1450" i="1"/>
  <c r="K1450" i="1" a="1"/>
  <c r="K1450" i="1"/>
  <c r="F1450" i="1" a="1"/>
  <c r="F1450" i="1"/>
  <c r="Q1449" i="1" a="1"/>
  <c r="Q1449" i="1" s="1"/>
  <c r="N1449" i="1" a="1"/>
  <c r="N1449" i="1"/>
  <c r="O1449" i="1" a="1"/>
  <c r="O1449" i="1" s="1"/>
  <c r="P1449" i="1" a="1"/>
  <c r="P1449" i="1"/>
  <c r="M1449" i="1" a="1"/>
  <c r="M1449" i="1" s="1"/>
  <c r="L1449" i="1" a="1"/>
  <c r="L1449" i="1" s="1"/>
  <c r="K1449" i="1" a="1"/>
  <c r="K1449" i="1" s="1"/>
  <c r="I1449" i="1" a="1"/>
  <c r="I1449" i="1" s="1"/>
  <c r="H1449" i="1" a="1"/>
  <c r="H1449" i="1"/>
  <c r="J1449" i="1" a="1"/>
  <c r="J1449" i="1"/>
  <c r="G1449" i="1" a="1"/>
  <c r="G1449" i="1" s="1"/>
  <c r="P1448" i="1" a="1"/>
  <c r="P1448" i="1" s="1"/>
  <c r="O1448" i="1" a="1"/>
  <c r="O1448" i="1" s="1"/>
  <c r="F1449" i="1" a="1"/>
  <c r="F1449" i="1"/>
  <c r="Q1448" i="1" a="1"/>
  <c r="Q1448" i="1" s="1"/>
  <c r="M1448" i="1" a="1"/>
  <c r="M1448" i="1" s="1"/>
  <c r="K1448" i="1" a="1"/>
  <c r="K1448" i="1" s="1"/>
  <c r="J1448" i="1" a="1"/>
  <c r="J1448" i="1"/>
  <c r="N1448" i="1" a="1"/>
  <c r="N1448" i="1"/>
  <c r="L1448" i="1" a="1"/>
  <c r="L1448" i="1" s="1"/>
  <c r="H1448" i="1" a="1"/>
  <c r="H1448" i="1"/>
  <c r="I1448" i="1" a="1"/>
  <c r="I1448" i="1"/>
  <c r="G1448" i="1" a="1"/>
  <c r="G1448" i="1"/>
  <c r="P1447" i="1" a="1"/>
  <c r="P1447" i="1"/>
  <c r="F1448" i="1" a="1"/>
  <c r="F1448" i="1" s="1"/>
  <c r="Q1447" i="1" a="1"/>
  <c r="Q1447" i="1"/>
  <c r="I1369" i="1" a="1"/>
  <c r="I1369" i="1"/>
  <c r="H1369" i="1" a="1"/>
  <c r="H1369" i="1"/>
  <c r="G1369" i="1" a="1"/>
  <c r="G1369" i="1"/>
  <c r="L1369" i="1" a="1"/>
  <c r="L1369" i="1" s="1"/>
  <c r="K1369" i="1" a="1"/>
  <c r="K1369" i="1"/>
  <c r="J1369" i="1" a="1"/>
  <c r="J1369" i="1" s="1"/>
  <c r="F1369" i="1" a="1"/>
  <c r="F1369" i="1"/>
  <c r="Q1368" i="1" a="1"/>
  <c r="Q1368" i="1"/>
  <c r="P1368" i="1" a="1"/>
  <c r="P1368" i="1"/>
  <c r="O1368" i="1" a="1"/>
  <c r="O1368" i="1" s="1"/>
  <c r="N1368" i="1" a="1"/>
  <c r="N1368" i="1" s="1"/>
  <c r="L1368" i="1" a="1"/>
  <c r="L1368" i="1" s="1"/>
  <c r="M1368" i="1" a="1"/>
  <c r="M1368" i="1" s="1"/>
  <c r="O1407" i="1" a="1"/>
  <c r="O1407" i="1"/>
  <c r="M1407" i="1" a="1"/>
  <c r="M1407" i="1" s="1"/>
  <c r="N1407" i="1" a="1"/>
  <c r="N1407" i="1"/>
  <c r="Q1405" i="1" a="1"/>
  <c r="Q1405" i="1" s="1"/>
  <c r="P1404" i="1" a="1"/>
  <c r="P1404" i="1" s="1"/>
  <c r="O1404" i="1" a="1"/>
  <c r="O1404" i="1" s="1"/>
  <c r="M1405" i="1" a="1"/>
  <c r="M1405" i="1" s="1"/>
  <c r="I1407" i="1" a="1"/>
  <c r="I1407" i="1"/>
  <c r="H1407" i="1" a="1"/>
  <c r="H1407" i="1"/>
  <c r="O1405" i="1" a="1"/>
  <c r="O1405" i="1"/>
  <c r="K1405" i="1" a="1"/>
  <c r="K1405" i="1" s="1"/>
  <c r="M1404" i="1" a="1"/>
  <c r="M1404" i="1" s="1"/>
  <c r="N1404" i="1" a="1"/>
  <c r="N1404" i="1"/>
  <c r="G1407" i="1" a="1"/>
  <c r="G1407" i="1" s="1"/>
  <c r="P1405" i="1" a="1"/>
  <c r="P1405" i="1" s="1"/>
  <c r="J1405" i="1" a="1"/>
  <c r="J1405" i="1" s="1"/>
  <c r="G1405" i="1" a="1"/>
  <c r="G1405" i="1"/>
  <c r="H1405" i="1" a="1"/>
  <c r="H1405" i="1"/>
  <c r="Q1404" i="1" a="1"/>
  <c r="Q1404" i="1" s="1"/>
  <c r="F1405" i="1" a="1"/>
  <c r="F1405" i="1" s="1"/>
  <c r="L1407" i="1" a="1"/>
  <c r="L1407" i="1"/>
  <c r="F1407" i="1" a="1"/>
  <c r="F1407" i="1" s="1"/>
  <c r="K1407" i="1" a="1"/>
  <c r="K1407" i="1"/>
  <c r="N1405" i="1" a="1"/>
  <c r="N1405" i="1" s="1"/>
  <c r="L1405" i="1" a="1"/>
  <c r="L1405" i="1"/>
  <c r="J1407" i="1" a="1"/>
  <c r="J1407" i="1"/>
  <c r="I1405" i="1" a="1"/>
  <c r="I1405" i="1"/>
  <c r="P1403" i="1" a="1"/>
  <c r="P1403" i="1" s="1"/>
  <c r="K1403" i="1" a="1"/>
  <c r="K1403" i="1"/>
  <c r="Q1403" i="1" a="1"/>
  <c r="Q1403" i="1"/>
  <c r="M1403" i="1" a="1"/>
  <c r="M1403" i="1"/>
  <c r="F1404" i="1" a="1"/>
  <c r="F1404" i="1"/>
  <c r="L1403" i="1" a="1"/>
  <c r="L1403" i="1" s="1"/>
  <c r="J1403" i="1" a="1"/>
  <c r="J1403" i="1" s="1"/>
  <c r="G1404" i="1" a="1"/>
  <c r="G1404" i="1" s="1"/>
  <c r="O1403" i="1" a="1"/>
  <c r="O1403" i="1" s="1"/>
  <c r="L1404" i="1" a="1"/>
  <c r="L1404" i="1"/>
  <c r="N1403" i="1" a="1"/>
  <c r="N1403" i="1"/>
  <c r="I1403" i="1" a="1"/>
  <c r="I1403" i="1"/>
  <c r="K1404" i="1" a="1"/>
  <c r="K1404" i="1" s="1"/>
  <c r="I1404" i="1" a="1"/>
  <c r="I1404" i="1"/>
  <c r="J1404" i="1" a="1"/>
  <c r="J1404" i="1" s="1"/>
  <c r="H1404" i="1" a="1"/>
  <c r="H1404" i="1"/>
  <c r="H1403" i="1" a="1"/>
  <c r="H1403" i="1" s="1"/>
  <c r="G1403" i="1" a="1"/>
  <c r="G1403" i="1" s="1"/>
  <c r="F1403" i="1" a="1"/>
  <c r="F1403" i="1" s="1"/>
  <c r="Q1402" i="1" a="1"/>
  <c r="Q1402" i="1" s="1"/>
  <c r="P1402" i="1" a="1"/>
  <c r="P1402" i="1"/>
  <c r="O1402" i="1" a="1"/>
  <c r="O1402" i="1" s="1"/>
  <c r="N1402" i="1" a="1"/>
  <c r="N1402" i="1"/>
  <c r="M1402" i="1" a="1"/>
  <c r="M1402" i="1" s="1"/>
  <c r="L1402" i="1" a="1"/>
  <c r="L1402" i="1"/>
  <c r="N1401" i="1" a="1"/>
  <c r="N1401" i="1"/>
  <c r="K1402" i="1" a="1"/>
  <c r="K1402" i="1"/>
  <c r="J1402" i="1" a="1"/>
  <c r="J1402" i="1"/>
  <c r="I1402" i="1" a="1"/>
  <c r="I1402" i="1" s="1"/>
  <c r="H1402" i="1" a="1"/>
  <c r="H1402" i="1"/>
  <c r="I1401" i="1" a="1"/>
  <c r="I1401" i="1" s="1"/>
  <c r="F1402" i="1" a="1"/>
  <c r="F1402" i="1" s="1"/>
  <c r="L1401" i="1" a="1"/>
  <c r="L1401" i="1"/>
  <c r="K1401" i="1" a="1"/>
  <c r="K1401" i="1"/>
  <c r="O1401" i="1" a="1"/>
  <c r="O1401" i="1"/>
  <c r="M1401" i="1" a="1"/>
  <c r="M1401" i="1"/>
  <c r="Q1401" i="1" a="1"/>
  <c r="Q1401" i="1" s="1"/>
  <c r="P1401" i="1" a="1"/>
  <c r="P1401" i="1" s="1"/>
  <c r="F1401" i="1" a="1"/>
  <c r="F1401" i="1"/>
  <c r="H1401" i="1" a="1"/>
  <c r="H1401" i="1"/>
  <c r="G1401" i="1" a="1"/>
  <c r="G1401" i="1" s="1"/>
  <c r="G1402" i="1" a="1"/>
  <c r="G1402" i="1"/>
  <c r="J1401" i="1" a="1"/>
  <c r="J1401" i="1" s="1"/>
  <c r="Q1374" i="1" a="1"/>
  <c r="Q1374" i="1"/>
  <c r="Q1371" i="1" a="1"/>
  <c r="Q1371" i="1"/>
  <c r="L1372" i="1" a="1"/>
  <c r="L1372" i="1" s="1"/>
  <c r="I1372" i="1" a="1"/>
  <c r="I1372" i="1" s="1"/>
  <c r="M1369" i="1" a="1"/>
  <c r="M1369" i="1" s="1"/>
  <c r="H1372" i="1" a="1"/>
  <c r="H1372" i="1" s="1"/>
  <c r="O1371" i="1" a="1"/>
  <c r="O1371" i="1" s="1"/>
  <c r="J1371" i="1" a="1"/>
  <c r="J1371" i="1" s="1"/>
  <c r="I1371" i="1" a="1"/>
  <c r="I1371" i="1"/>
  <c r="Q1370" i="1" a="1"/>
  <c r="Q1370" i="1" s="1"/>
  <c r="M1370" i="1" a="1"/>
  <c r="M1370" i="1"/>
  <c r="H1370" i="1" a="1"/>
  <c r="H1370" i="1" s="1"/>
  <c r="F1370" i="1" a="1"/>
  <c r="F1370" i="1"/>
  <c r="N1369" i="1" a="1"/>
  <c r="N1369" i="1" s="1"/>
  <c r="P1370" i="1" a="1"/>
  <c r="P1370" i="1"/>
  <c r="P1369" i="1" a="1"/>
  <c r="P1369" i="1" s="1"/>
  <c r="L1370" i="1" a="1"/>
  <c r="L1370" i="1"/>
  <c r="J1374" i="1" a="1"/>
  <c r="J1374" i="1"/>
  <c r="P1371" i="1" a="1"/>
  <c r="P1371" i="1"/>
  <c r="K1374" i="1" a="1"/>
  <c r="K1374" i="1" s="1"/>
  <c r="N1371" i="1" a="1"/>
  <c r="N1371" i="1"/>
  <c r="O1369" i="1" a="1"/>
  <c r="O1369" i="1"/>
  <c r="O1370" i="1" a="1"/>
  <c r="O1370" i="1" s="1"/>
  <c r="J1373" i="1" a="1"/>
  <c r="J1373" i="1" s="1"/>
  <c r="P1372" i="1" a="1"/>
  <c r="P1372" i="1"/>
  <c r="F1374" i="1" a="1"/>
  <c r="F1374" i="1"/>
  <c r="P1374" i="1" a="1"/>
  <c r="P1374" i="1" s="1"/>
  <c r="O1374" i="1" a="1"/>
  <c r="O1374" i="1" s="1"/>
  <c r="L1374" i="1" a="1"/>
  <c r="L1374" i="1"/>
  <c r="H1374" i="1" a="1"/>
  <c r="H1374" i="1"/>
  <c r="F1372" i="1" a="1"/>
  <c r="F1372" i="1"/>
  <c r="H1371" i="1" a="1"/>
  <c r="H1371" i="1" s="1"/>
  <c r="G1374" i="1" a="1"/>
  <c r="G1374" i="1"/>
  <c r="M1371" i="1" a="1"/>
  <c r="M1371" i="1"/>
  <c r="Q1369" i="1" a="1"/>
  <c r="Q1369" i="1" s="1"/>
  <c r="G1371" i="1" a="1"/>
  <c r="G1371" i="1" s="1"/>
  <c r="N1373" i="1" a="1"/>
  <c r="N1373" i="1" s="1"/>
  <c r="J1370" i="1" a="1"/>
  <c r="J1370" i="1"/>
  <c r="N1370" i="1" a="1"/>
  <c r="N1370" i="1" s="1"/>
  <c r="M1373" i="1" a="1"/>
  <c r="M1373" i="1"/>
  <c r="F1371" i="1" a="1"/>
  <c r="F1371" i="1"/>
  <c r="K1372" i="1" a="1"/>
  <c r="K1372" i="1" s="1"/>
  <c r="L1371" i="1" a="1"/>
  <c r="L1371" i="1" s="1"/>
  <c r="I1373" i="1" a="1"/>
  <c r="I1373" i="1" s="1"/>
  <c r="I1370" i="1" a="1"/>
  <c r="I1370" i="1" s="1"/>
  <c r="M1374" i="1" a="1"/>
  <c r="M1374" i="1"/>
  <c r="I1374" i="1" a="1"/>
  <c r="I1374" i="1"/>
  <c r="N1374" i="1" a="1"/>
  <c r="N1374" i="1"/>
  <c r="Q1373" i="1" a="1"/>
  <c r="Q1373" i="1" s="1"/>
  <c r="P1373" i="1" a="1"/>
  <c r="P1373" i="1" s="1"/>
  <c r="O1373" i="1" a="1"/>
  <c r="O1373" i="1" s="1"/>
  <c r="G1373" i="1" a="1"/>
  <c r="G1373" i="1" s="1"/>
  <c r="J1372" i="1" a="1"/>
  <c r="J1372" i="1" s="1"/>
  <c r="F1373" i="1" a="1"/>
  <c r="F1373" i="1"/>
  <c r="Q1372" i="1" a="1"/>
  <c r="Q1372" i="1"/>
  <c r="G1370" i="1" a="1"/>
  <c r="G1370" i="1" s="1"/>
  <c r="N1372" i="1" a="1"/>
  <c r="N1372" i="1"/>
  <c r="L1373" i="1" a="1"/>
  <c r="L1373" i="1"/>
  <c r="K1371" i="1" a="1"/>
  <c r="K1371" i="1"/>
  <c r="K1373" i="1" a="1"/>
  <c r="K1373" i="1" s="1"/>
  <c r="H1373" i="1" a="1"/>
  <c r="H1373" i="1"/>
  <c r="G1372" i="1" a="1"/>
  <c r="G1372" i="1"/>
  <c r="O1372" i="1" a="1"/>
  <c r="O1372" i="1"/>
  <c r="K1370" i="1" a="1"/>
  <c r="K1370" i="1"/>
  <c r="M1372" i="1" a="1"/>
  <c r="M1372" i="1" s="1"/>
  <c r="Q1233" i="1" a="1"/>
  <c r="Q1233" i="1" s="1"/>
  <c r="N1234" i="1" a="1"/>
  <c r="N1234" i="1"/>
  <c r="Q1234" i="1" a="1"/>
  <c r="Q1234" i="1" s="1"/>
  <c r="K1234" i="1" a="1"/>
  <c r="K1234" i="1"/>
  <c r="I1234" i="1" a="1"/>
  <c r="I1234" i="1" s="1"/>
  <c r="P1234" i="1" a="1"/>
  <c r="P1234" i="1"/>
  <c r="H1235" i="1" a="1"/>
  <c r="H1235" i="1"/>
  <c r="M1234" i="1" a="1"/>
  <c r="M1234" i="1" s="1"/>
  <c r="G1235" i="1" a="1"/>
  <c r="G1235" i="1"/>
  <c r="H1234" i="1" a="1"/>
  <c r="H1234" i="1" s="1"/>
  <c r="O1234" i="1" a="1"/>
  <c r="O1234" i="1" s="1"/>
  <c r="F1235" i="1" a="1"/>
  <c r="F1235" i="1"/>
  <c r="L1234" i="1" a="1"/>
  <c r="L1234" i="1"/>
  <c r="J1234" i="1" a="1"/>
  <c r="J1234" i="1"/>
  <c r="F1234" i="1" a="1"/>
  <c r="F1234" i="1"/>
  <c r="G1234" i="1" a="1"/>
  <c r="G1234" i="1" s="1"/>
  <c r="O1232" i="1" a="1"/>
  <c r="O1232" i="1" s="1"/>
  <c r="Q1231" i="1" a="1"/>
  <c r="Q1231" i="1"/>
  <c r="K1233" i="1" a="1"/>
  <c r="K1233" i="1" s="1"/>
  <c r="F1233" i="1" a="1"/>
  <c r="F1233" i="1" s="1"/>
  <c r="J1233" i="1" a="1"/>
  <c r="J1233" i="1" s="1"/>
  <c r="I1233" i="1" a="1"/>
  <c r="I1233" i="1" s="1"/>
  <c r="G1233" i="1" a="1"/>
  <c r="G1233" i="1"/>
  <c r="Q1232" i="1" a="1"/>
  <c r="Q1232" i="1" s="1"/>
  <c r="N1231" i="1" a="1"/>
  <c r="N1231" i="1"/>
  <c r="Q1229" i="1" a="1"/>
  <c r="Q1229" i="1"/>
  <c r="K1229" i="1" a="1"/>
  <c r="K1229" i="1"/>
  <c r="K1231" i="1" a="1"/>
  <c r="K1231" i="1" s="1"/>
  <c r="O1231" i="1" a="1"/>
  <c r="O1231" i="1" s="1"/>
  <c r="M1232" i="1" a="1"/>
  <c r="M1232" i="1" s="1"/>
  <c r="K1232" i="1" a="1"/>
  <c r="K1232" i="1"/>
  <c r="J1232" i="1" a="1"/>
  <c r="J1232" i="1" s="1"/>
  <c r="G1232" i="1" a="1"/>
  <c r="G1232" i="1" s="1"/>
  <c r="I1232" i="1" a="1"/>
  <c r="I1232" i="1"/>
  <c r="H1232" i="1" a="1"/>
  <c r="H1232" i="1"/>
  <c r="P1231" i="1" a="1"/>
  <c r="P1231" i="1"/>
  <c r="F1232" i="1" a="1"/>
  <c r="F1232" i="1"/>
  <c r="J1230" i="1" a="1"/>
  <c r="J1230" i="1"/>
  <c r="P1229" i="1" a="1"/>
  <c r="P1229" i="1" s="1"/>
  <c r="M1231" i="1" a="1"/>
  <c r="M1231" i="1"/>
  <c r="P1230" i="1" a="1"/>
  <c r="P1230" i="1" s="1"/>
  <c r="J1231" i="1" a="1"/>
  <c r="J1231" i="1" s="1"/>
  <c r="I1231" i="1" a="1"/>
  <c r="I1231" i="1"/>
  <c r="H1231" i="1" a="1"/>
  <c r="H1231" i="1" s="1"/>
  <c r="H1230" i="1" a="1"/>
  <c r="H1230" i="1" s="1"/>
  <c r="N1229" i="1" a="1"/>
  <c r="N1229" i="1" s="1"/>
  <c r="G1231" i="1" a="1"/>
  <c r="G1231" i="1" s="1"/>
  <c r="L1230" i="1" a="1"/>
  <c r="L1230" i="1"/>
  <c r="F1230" i="1" a="1"/>
  <c r="F1230" i="1"/>
  <c r="L1229" i="1" a="1"/>
  <c r="L1229" i="1" s="1"/>
  <c r="F1231" i="1" a="1"/>
  <c r="F1231" i="1" s="1"/>
  <c r="Q1230" i="1" a="1"/>
  <c r="Q1230" i="1" s="1"/>
  <c r="O1230" i="1" a="1"/>
  <c r="O1230" i="1" s="1"/>
  <c r="N1230" i="1" a="1"/>
  <c r="N1230" i="1"/>
  <c r="K1230" i="1" a="1"/>
  <c r="K1230" i="1" s="1"/>
  <c r="G1230" i="1" a="1"/>
  <c r="G1230" i="1" s="1"/>
  <c r="M1229" i="1" a="1"/>
  <c r="M1229" i="1" s="1"/>
  <c r="P1233" i="1" a="1"/>
  <c r="P1233" i="1"/>
  <c r="O1233" i="1" a="1"/>
  <c r="O1233" i="1" s="1"/>
  <c r="N1233" i="1" a="1"/>
  <c r="N1233" i="1"/>
  <c r="M1233" i="1" a="1"/>
  <c r="M1233" i="1" s="1"/>
  <c r="L1233" i="1" a="1"/>
  <c r="L1233" i="1"/>
  <c r="H1233" i="1" a="1"/>
  <c r="H1233" i="1"/>
  <c r="M1230" i="1" a="1"/>
  <c r="M1230" i="1"/>
  <c r="N1232" i="1" a="1"/>
  <c r="N1232" i="1" s="1"/>
  <c r="P1232" i="1" a="1"/>
  <c r="P1232" i="1" s="1"/>
  <c r="L1232" i="1" a="1"/>
  <c r="L1232" i="1" s="1"/>
  <c r="L1231" i="1" a="1"/>
  <c r="L1231" i="1" s="1"/>
  <c r="I1230" i="1" a="1"/>
  <c r="I1230" i="1"/>
  <c r="O1229" i="1" a="1"/>
  <c r="O1229" i="1"/>
  <c r="F1228" i="1" a="1"/>
  <c r="F1228" i="1"/>
  <c r="P1227" i="1" a="1"/>
  <c r="P1227" i="1" s="1"/>
  <c r="J1227" i="1" a="1"/>
  <c r="J1227" i="1"/>
  <c r="G1227" i="1" a="1"/>
  <c r="G1227" i="1" s="1"/>
  <c r="G1226" i="1" a="1"/>
  <c r="G1226" i="1" s="1"/>
  <c r="O1228" i="1" a="1"/>
  <c r="O1228" i="1" s="1"/>
  <c r="J1226" i="1" a="1"/>
  <c r="J1226" i="1"/>
  <c r="M1225" i="1" a="1"/>
  <c r="M1225" i="1"/>
  <c r="K1226" i="1" a="1"/>
  <c r="K1226" i="1"/>
  <c r="L1225" i="1" a="1"/>
  <c r="L1225" i="1" s="1"/>
  <c r="I1228" i="1" a="1"/>
  <c r="I1228" i="1"/>
  <c r="L1226" i="1" a="1"/>
  <c r="L1226" i="1"/>
  <c r="M1227" i="1" a="1"/>
  <c r="M1227" i="1"/>
  <c r="O1227" i="1" a="1"/>
  <c r="O1227" i="1"/>
  <c r="N1227" i="1" a="1"/>
  <c r="N1227" i="1" s="1"/>
  <c r="K1225" i="1" a="1"/>
  <c r="K1225" i="1"/>
  <c r="Q1224" i="1" a="1"/>
  <c r="Q1224" i="1"/>
  <c r="I1226" i="1" a="1"/>
  <c r="I1226" i="1" s="1"/>
  <c r="N1225" i="1" a="1"/>
  <c r="N1225" i="1" s="1"/>
  <c r="N1226" i="1" a="1"/>
  <c r="N1226" i="1" s="1"/>
  <c r="H1225" i="1" a="1"/>
  <c r="H1225" i="1"/>
  <c r="M1226" i="1" a="1"/>
  <c r="M1226" i="1"/>
  <c r="P1224" i="1" a="1"/>
  <c r="P1224" i="1"/>
  <c r="F1227" i="1" a="1"/>
  <c r="F1227" i="1"/>
  <c r="L1228" i="1" a="1"/>
  <c r="L1228" i="1"/>
  <c r="H1226" i="1" a="1"/>
  <c r="H1226" i="1" s="1"/>
  <c r="Q1227" i="1" a="1"/>
  <c r="Q1227" i="1" s="1"/>
  <c r="J1229" i="1" a="1"/>
  <c r="J1229" i="1" s="1"/>
  <c r="F1225" i="1" a="1"/>
  <c r="F1225" i="1" s="1"/>
  <c r="M1224" i="1" a="1"/>
  <c r="M1224" i="1"/>
  <c r="I1229" i="1" a="1"/>
  <c r="I1229" i="1"/>
  <c r="K1228" i="1" a="1"/>
  <c r="K1228" i="1"/>
  <c r="L1227" i="1" a="1"/>
  <c r="L1227" i="1" s="1"/>
  <c r="F1226" i="1" a="1"/>
  <c r="F1226" i="1"/>
  <c r="I1225" i="1" a="1"/>
  <c r="I1225" i="1" s="1"/>
  <c r="O1224" i="1" a="1"/>
  <c r="O1224" i="1"/>
  <c r="M1228" i="1" a="1"/>
  <c r="M1228" i="1"/>
  <c r="H1228" i="1" a="1"/>
  <c r="H1228" i="1"/>
  <c r="O1226" i="1" a="1"/>
  <c r="O1226" i="1" s="1"/>
  <c r="N1224" i="1" a="1"/>
  <c r="N1224" i="1"/>
  <c r="I1227" i="1" a="1"/>
  <c r="I1227" i="1" s="1"/>
  <c r="H1229" i="1" a="1"/>
  <c r="H1229" i="1" s="1"/>
  <c r="K1227" i="1" a="1"/>
  <c r="K1227" i="1" s="1"/>
  <c r="G1229" i="1" a="1"/>
  <c r="G1229" i="1" s="1"/>
  <c r="F1229" i="1" a="1"/>
  <c r="F1229" i="1"/>
  <c r="G1228" i="1" a="1"/>
  <c r="G1228" i="1" s="1"/>
  <c r="H1227" i="1" a="1"/>
  <c r="H1227" i="1" s="1"/>
  <c r="Q1226" i="1" a="1"/>
  <c r="Q1226" i="1" s="1"/>
  <c r="Q1225" i="1" a="1"/>
  <c r="Q1225" i="1" s="1"/>
  <c r="P1225" i="1" a="1"/>
  <c r="P1225" i="1"/>
  <c r="O1225" i="1" a="1"/>
  <c r="O1225" i="1"/>
  <c r="J1225" i="1" a="1"/>
  <c r="J1225" i="1"/>
  <c r="P1226" i="1" a="1"/>
  <c r="P1226" i="1"/>
  <c r="G1225" i="1" a="1"/>
  <c r="G1225" i="1" s="1"/>
  <c r="Q1228" i="1" a="1"/>
  <c r="Q1228" i="1" s="1"/>
  <c r="P1228" i="1" a="1"/>
  <c r="P1228" i="1" s="1"/>
  <c r="N1228" i="1" a="1"/>
  <c r="N1228" i="1"/>
  <c r="J1228" i="1" a="1"/>
  <c r="J1228" i="1"/>
  <c r="J1224" i="1" a="1"/>
  <c r="J1224" i="1"/>
  <c r="Q1223" i="1" a="1"/>
  <c r="Q1223" i="1"/>
  <c r="N1222" i="1" a="1"/>
  <c r="N1222" i="1" s="1"/>
  <c r="I1224" i="1" a="1"/>
  <c r="I1224" i="1" s="1"/>
  <c r="H1224" i="1" a="1"/>
  <c r="H1224" i="1"/>
  <c r="G1224" i="1" a="1"/>
  <c r="G1224" i="1" s="1"/>
  <c r="F1224" i="1" a="1"/>
  <c r="F1224" i="1"/>
  <c r="I1220" i="1" a="1"/>
  <c r="I1220" i="1"/>
  <c r="N1223" i="1" a="1"/>
  <c r="N1223" i="1" s="1"/>
  <c r="M1223" i="1" a="1"/>
  <c r="M1223" i="1"/>
  <c r="K1223" i="1" a="1"/>
  <c r="K1223" i="1"/>
  <c r="F1221" i="1" a="1"/>
  <c r="F1221" i="1" s="1"/>
  <c r="J1223" i="1" a="1"/>
  <c r="J1223" i="1" s="1"/>
  <c r="P1222" i="1" a="1"/>
  <c r="P1222" i="1" s="1"/>
  <c r="H1220" i="1" a="1"/>
  <c r="H1220" i="1" s="1"/>
  <c r="I1223" i="1" a="1"/>
  <c r="I1223" i="1" s="1"/>
  <c r="G1223" i="1" a="1"/>
  <c r="G1223" i="1" s="1"/>
  <c r="Q1220" i="1" a="1"/>
  <c r="Q1220" i="1"/>
  <c r="F1223" i="1" a="1"/>
  <c r="F1223" i="1" s="1"/>
  <c r="Q1222" i="1" a="1"/>
  <c r="Q1222" i="1" s="1"/>
  <c r="J1222" i="1" a="1"/>
  <c r="J1222" i="1"/>
  <c r="F1222" i="1" a="1"/>
  <c r="F1222" i="1"/>
  <c r="L1221" i="1" a="1"/>
  <c r="L1221" i="1" s="1"/>
  <c r="K1221" i="1" a="1"/>
  <c r="K1221" i="1"/>
  <c r="J1221" i="1" a="1"/>
  <c r="J1221" i="1"/>
  <c r="P1220" i="1" a="1"/>
  <c r="P1220" i="1"/>
  <c r="M1220" i="1" a="1"/>
  <c r="M1220" i="1" s="1"/>
  <c r="P1223" i="1" a="1"/>
  <c r="P1223" i="1" s="1"/>
  <c r="G1221" i="1" a="1"/>
  <c r="G1221" i="1" s="1"/>
  <c r="L1223" i="1" a="1"/>
  <c r="L1223" i="1"/>
  <c r="H1223" i="1" a="1"/>
  <c r="H1223" i="1" s="1"/>
  <c r="K1220" i="1" a="1"/>
  <c r="K1220" i="1" s="1"/>
  <c r="O1222" i="1" a="1"/>
  <c r="O1222" i="1" s="1"/>
  <c r="H1222" i="1" a="1"/>
  <c r="H1222" i="1"/>
  <c r="O1220" i="1" a="1"/>
  <c r="O1220" i="1" s="1"/>
  <c r="O1221" i="1" a="1"/>
  <c r="O1221" i="1"/>
  <c r="G1222" i="1" a="1"/>
  <c r="G1222" i="1"/>
  <c r="M1221" i="1" a="1"/>
  <c r="M1221" i="1" s="1"/>
  <c r="N1220" i="1" a="1"/>
  <c r="N1220" i="1"/>
  <c r="J1220" i="1" a="1"/>
  <c r="J1220" i="1"/>
  <c r="G1220" i="1" a="1"/>
  <c r="G1220" i="1" s="1"/>
  <c r="M1222" i="1" a="1"/>
  <c r="M1222" i="1"/>
  <c r="K1222" i="1" a="1"/>
  <c r="K1222" i="1" s="1"/>
  <c r="Q1221" i="1" a="1"/>
  <c r="Q1221" i="1"/>
  <c r="F1220" i="1" a="1"/>
  <c r="F1220" i="1" s="1"/>
  <c r="I1221" i="1" a="1"/>
  <c r="I1221" i="1"/>
  <c r="H1221" i="1" a="1"/>
  <c r="H1221" i="1"/>
  <c r="L1224" i="1" a="1"/>
  <c r="L1224" i="1" s="1"/>
  <c r="K1224" i="1" a="1"/>
  <c r="K1224" i="1" s="1"/>
  <c r="O1223" i="1" a="1"/>
  <c r="O1223" i="1"/>
  <c r="L1222" i="1" a="1"/>
  <c r="L1222" i="1"/>
  <c r="N1221" i="1" a="1"/>
  <c r="N1221" i="1"/>
  <c r="I1222" i="1" a="1"/>
  <c r="I1222" i="1"/>
  <c r="P1221" i="1" a="1"/>
  <c r="P1221" i="1" s="1"/>
  <c r="L1220" i="1" a="1"/>
  <c r="L1220" i="1"/>
  <c r="N1219" i="1" a="1"/>
  <c r="N1219" i="1"/>
  <c r="M1219" i="1" a="1"/>
  <c r="M1219" i="1" s="1"/>
  <c r="N1216" i="1" a="1"/>
  <c r="N1216" i="1"/>
  <c r="P1218" i="1" a="1"/>
  <c r="P1218" i="1" s="1"/>
  <c r="L1219" i="1" a="1"/>
  <c r="L1219" i="1" s="1"/>
  <c r="K1219" i="1" a="1"/>
  <c r="K1219" i="1" s="1"/>
  <c r="J1219" i="1" a="1"/>
  <c r="J1219" i="1" s="1"/>
  <c r="I1217" i="1" a="1"/>
  <c r="I1217" i="1"/>
  <c r="I1219" i="1" a="1"/>
  <c r="I1219" i="1" s="1"/>
  <c r="L1218" i="1" a="1"/>
  <c r="L1218" i="1"/>
  <c r="H1219" i="1" a="1"/>
  <c r="H1219" i="1"/>
  <c r="G1219" i="1" a="1"/>
  <c r="G1219" i="1"/>
  <c r="F1219" i="1" a="1"/>
  <c r="F1219" i="1"/>
  <c r="N1218" i="1" a="1"/>
  <c r="N1218" i="1"/>
  <c r="Q1218" i="1" a="1"/>
  <c r="Q1218" i="1"/>
  <c r="O1218" i="1" a="1"/>
  <c r="O1218" i="1" s="1"/>
  <c r="K1218" i="1" a="1"/>
  <c r="K1218" i="1"/>
  <c r="I1218" i="1" a="1"/>
  <c r="I1218" i="1" s="1"/>
  <c r="F1218" i="1" a="1"/>
  <c r="F1218" i="1"/>
  <c r="Q1217" i="1" a="1"/>
  <c r="Q1217" i="1"/>
  <c r="M1217" i="1" a="1"/>
  <c r="M1217" i="1" s="1"/>
  <c r="G1217" i="1" a="1"/>
  <c r="G1217" i="1" s="1"/>
  <c r="L1216" i="1" a="1"/>
  <c r="L1216" i="1" s="1"/>
  <c r="M1216" i="1" a="1"/>
  <c r="M1216" i="1"/>
  <c r="M1218" i="1" a="1"/>
  <c r="M1218" i="1"/>
  <c r="H1218" i="1" a="1"/>
  <c r="H1218" i="1"/>
  <c r="Q1216" i="1" a="1"/>
  <c r="Q1216" i="1" s="1"/>
  <c r="G1218" i="1" a="1"/>
  <c r="G1218" i="1"/>
  <c r="P1217" i="1" a="1"/>
  <c r="P1217" i="1" s="1"/>
  <c r="N1217" i="1" a="1"/>
  <c r="N1217" i="1" s="1"/>
  <c r="K1217" i="1" a="1"/>
  <c r="K1217" i="1"/>
  <c r="O1216" i="1" a="1"/>
  <c r="O1216" i="1" s="1"/>
  <c r="L1217" i="1" a="1"/>
  <c r="L1217" i="1" s="1"/>
  <c r="F1217" i="1" a="1"/>
  <c r="F1217" i="1"/>
  <c r="P1216" i="1" a="1"/>
  <c r="P1216" i="1" s="1"/>
  <c r="O1217" i="1" a="1"/>
  <c r="O1217" i="1" s="1"/>
  <c r="J1217" i="1" a="1"/>
  <c r="J1217" i="1"/>
  <c r="H1217" i="1" a="1"/>
  <c r="H1217" i="1" s="1"/>
  <c r="O1219" i="1" a="1"/>
  <c r="O1219" i="1"/>
  <c r="Q1219" i="1" a="1"/>
  <c r="Q1219" i="1" s="1"/>
  <c r="P1219" i="1" a="1"/>
  <c r="P1219" i="1" s="1"/>
  <c r="J1218" i="1" a="1"/>
  <c r="J1218" i="1"/>
  <c r="O1214" i="1" a="1"/>
  <c r="O1214" i="1" s="1"/>
  <c r="P1212" i="1" a="1"/>
  <c r="P1212" i="1" s="1"/>
  <c r="Q1212" i="1" a="1"/>
  <c r="Q1212" i="1"/>
  <c r="M1212" i="1" a="1"/>
  <c r="M1212" i="1" s="1"/>
  <c r="L1212" i="1" a="1"/>
  <c r="L1212" i="1"/>
  <c r="N1211" i="1" a="1"/>
  <c r="N1211" i="1"/>
  <c r="F1215" i="1" a="1"/>
  <c r="F1215" i="1" s="1"/>
  <c r="L1214" i="1" a="1"/>
  <c r="L1214" i="1"/>
  <c r="K1214" i="1" a="1"/>
  <c r="K1214" i="1" s="1"/>
  <c r="J1214" i="1" a="1"/>
  <c r="J1214" i="1" s="1"/>
  <c r="M1211" i="1" a="1"/>
  <c r="M1211" i="1"/>
  <c r="I1212" i="1" a="1"/>
  <c r="I1212" i="1"/>
  <c r="I1214" i="1" a="1"/>
  <c r="I1214" i="1"/>
  <c r="K1211" i="1" a="1"/>
  <c r="K1211" i="1"/>
  <c r="G1214" i="1" a="1"/>
  <c r="G1214" i="1"/>
  <c r="J1211" i="1" a="1"/>
  <c r="J1211" i="1"/>
  <c r="F1216" i="1" a="1"/>
  <c r="F1216" i="1"/>
  <c r="M1215" i="1" a="1"/>
  <c r="M1215" i="1" s="1"/>
  <c r="H1212" i="1" a="1"/>
  <c r="H1212" i="1"/>
  <c r="P1211" i="1" a="1"/>
  <c r="P1211" i="1"/>
  <c r="P1215" i="1" a="1"/>
  <c r="P1215" i="1"/>
  <c r="K1215" i="1" a="1"/>
  <c r="K1215" i="1" s="1"/>
  <c r="K1216" i="1" a="1"/>
  <c r="K1216" i="1" s="1"/>
  <c r="G1215" i="1" a="1"/>
  <c r="G1215" i="1"/>
  <c r="J1216" i="1" a="1"/>
  <c r="J1216" i="1" s="1"/>
  <c r="I1216" i="1" a="1"/>
  <c r="I1216" i="1"/>
  <c r="H1216" i="1" a="1"/>
  <c r="H1216" i="1" s="1"/>
  <c r="L1215" i="1" a="1"/>
  <c r="L1215" i="1" s="1"/>
  <c r="N1212" i="1" a="1"/>
  <c r="N1212" i="1" s="1"/>
  <c r="J1215" i="1" a="1"/>
  <c r="J1215" i="1" s="1"/>
  <c r="H1215" i="1" a="1"/>
  <c r="H1215" i="1"/>
  <c r="Q1214" i="1" a="1"/>
  <c r="Q1214" i="1" s="1"/>
  <c r="J1212" i="1" a="1"/>
  <c r="J1212" i="1" s="1"/>
  <c r="K1212" i="1" a="1"/>
  <c r="K1212" i="1"/>
  <c r="F1212" i="1" a="1"/>
  <c r="F1212" i="1" s="1"/>
  <c r="Q1211" i="1" a="1"/>
  <c r="Q1211" i="1" s="1"/>
  <c r="L1211" i="1" a="1"/>
  <c r="L1211" i="1"/>
  <c r="G1216" i="1" a="1"/>
  <c r="G1216" i="1" s="1"/>
  <c r="P1214" i="1" a="1"/>
  <c r="P1214" i="1" s="1"/>
  <c r="F1214" i="1" a="1"/>
  <c r="F1214" i="1"/>
  <c r="N1214" i="1" a="1"/>
  <c r="N1214" i="1" s="1"/>
  <c r="I1215" i="1" a="1"/>
  <c r="I1215" i="1" s="1"/>
  <c r="M1214" i="1" a="1"/>
  <c r="M1214" i="1"/>
  <c r="H1214" i="1" a="1"/>
  <c r="H1214" i="1"/>
  <c r="O1211" i="1" a="1"/>
  <c r="O1211" i="1"/>
  <c r="G1212" i="1" a="1"/>
  <c r="G1212" i="1" s="1"/>
  <c r="O1212" i="1" a="1"/>
  <c r="O1212" i="1"/>
  <c r="Q1215" i="1" a="1"/>
  <c r="Q1215" i="1"/>
  <c r="O1215" i="1" a="1"/>
  <c r="O1215" i="1"/>
  <c r="N1215" i="1" a="1"/>
  <c r="N1215" i="1" s="1"/>
  <c r="G1211" i="1" a="1"/>
  <c r="G1211" i="1"/>
  <c r="M1209" i="1" a="1"/>
  <c r="M1209" i="1" s="1"/>
  <c r="Q1210" i="1" a="1"/>
  <c r="Q1210" i="1"/>
  <c r="N1209" i="1" a="1"/>
  <c r="N1209" i="1" s="1"/>
  <c r="Q1202" i="1" a="1"/>
  <c r="Q1202" i="1"/>
  <c r="O1202" i="1" a="1"/>
  <c r="O1202" i="1"/>
  <c r="M1202" i="1" a="1"/>
  <c r="M1202" i="1" s="1"/>
  <c r="F1211" i="1" a="1"/>
  <c r="F1211" i="1" s="1"/>
  <c r="N1210" i="1" a="1"/>
  <c r="N1210" i="1" s="1"/>
  <c r="P1210" i="1" a="1"/>
  <c r="P1210" i="1" s="1"/>
  <c r="L1209" i="1" a="1"/>
  <c r="L1209" i="1"/>
  <c r="G1209" i="1" a="1"/>
  <c r="G1209" i="1"/>
  <c r="L1202" i="1" a="1"/>
  <c r="L1202" i="1"/>
  <c r="K1210" i="1" a="1"/>
  <c r="K1210" i="1" s="1"/>
  <c r="J1210" i="1" a="1"/>
  <c r="J1210" i="1" s="1"/>
  <c r="F1208" i="1" a="1"/>
  <c r="F1208" i="1" s="1"/>
  <c r="O1210" i="1" a="1"/>
  <c r="O1210" i="1" s="1"/>
  <c r="M1210" i="1" a="1"/>
  <c r="M1210" i="1" s="1"/>
  <c r="I1210" i="1" a="1"/>
  <c r="I1210" i="1"/>
  <c r="P1209" i="1" a="1"/>
  <c r="P1209" i="1" s="1"/>
  <c r="O1208" i="1" a="1"/>
  <c r="O1208" i="1"/>
  <c r="L1210" i="1" a="1"/>
  <c r="L1210" i="1" s="1"/>
  <c r="P1208" i="1" a="1"/>
  <c r="P1208" i="1" s="1"/>
  <c r="H1210" i="1" a="1"/>
  <c r="H1210" i="1" s="1"/>
  <c r="I1209" i="1" a="1"/>
  <c r="I1209" i="1" s="1"/>
  <c r="H1209" i="1" a="1"/>
  <c r="H1209" i="1" s="1"/>
  <c r="K1208" i="1" a="1"/>
  <c r="K1208" i="1" s="1"/>
  <c r="N1202" i="1" a="1"/>
  <c r="N1202" i="1"/>
  <c r="N1208" i="1" a="1"/>
  <c r="N1208" i="1"/>
  <c r="I1208" i="1" a="1"/>
  <c r="I1208" i="1"/>
  <c r="G1210" i="1" a="1"/>
  <c r="G1210" i="1" s="1"/>
  <c r="F1209" i="1" a="1"/>
  <c r="F1209" i="1"/>
  <c r="K1209" i="1" a="1"/>
  <c r="K1209" i="1" s="1"/>
  <c r="J1209" i="1" a="1"/>
  <c r="J1209" i="1"/>
  <c r="J1208" i="1" a="1"/>
  <c r="J1208" i="1" s="1"/>
  <c r="H1208" i="1" a="1"/>
  <c r="H1208" i="1"/>
  <c r="G1208" i="1" a="1"/>
  <c r="G1208" i="1"/>
  <c r="K1202" i="1" a="1"/>
  <c r="K1202" i="1" s="1"/>
  <c r="F1210" i="1" a="1"/>
  <c r="F1210" i="1" s="1"/>
  <c r="Q1209" i="1" a="1"/>
  <c r="Q1209" i="1"/>
  <c r="O1209" i="1" a="1"/>
  <c r="O1209" i="1"/>
  <c r="M1208" i="1" a="1"/>
  <c r="M1208" i="1"/>
  <c r="P1202" i="1" a="1"/>
  <c r="P1202" i="1"/>
  <c r="Q1208" i="1" a="1"/>
  <c r="Q1208" i="1" s="1"/>
  <c r="I1211" i="1" a="1"/>
  <c r="I1211" i="1"/>
  <c r="H1211" i="1" a="1"/>
  <c r="H1211" i="1" s="1"/>
  <c r="L1208" i="1" a="1"/>
  <c r="L1208" i="1" s="1"/>
  <c r="P1240" i="1" a="1"/>
  <c r="P1240" i="1"/>
  <c r="N1238" i="1" a="1"/>
  <c r="N1238" i="1" s="1"/>
  <c r="L1238" i="1" a="1"/>
  <c r="L1238" i="1" s="1"/>
  <c r="O1240" i="1" a="1"/>
  <c r="O1240" i="1" s="1"/>
  <c r="J1240" i="1" a="1"/>
  <c r="J1240" i="1" s="1"/>
  <c r="F1240" i="1" a="1"/>
  <c r="F1240" i="1" s="1"/>
  <c r="M1239" i="1" a="1"/>
  <c r="M1239" i="1" s="1"/>
  <c r="G1239" i="1" a="1"/>
  <c r="G1239" i="1" s="1"/>
  <c r="J1241" i="1" a="1"/>
  <c r="J1241" i="1" s="1"/>
  <c r="F1241" i="1" a="1"/>
  <c r="F1241" i="1" s="1"/>
  <c r="I1241" i="1" a="1"/>
  <c r="I1241" i="1" s="1"/>
  <c r="L1240" i="1" a="1"/>
  <c r="L1240" i="1"/>
  <c r="Q1240" i="1" a="1"/>
  <c r="Q1240" i="1" s="1"/>
  <c r="K1240" i="1" a="1"/>
  <c r="K1240" i="1"/>
  <c r="L1239" i="1" a="1"/>
  <c r="L1239" i="1" s="1"/>
  <c r="I1240" i="1" a="1"/>
  <c r="I1240" i="1"/>
  <c r="Q1239" i="1" a="1"/>
  <c r="Q1239" i="1"/>
  <c r="G1240" i="1" a="1"/>
  <c r="G1240" i="1"/>
  <c r="P1239" i="1" a="1"/>
  <c r="P1239" i="1" s="1"/>
  <c r="H1240" i="1" a="1"/>
  <c r="H1240" i="1" s="1"/>
  <c r="F1239" i="1" a="1"/>
  <c r="F1239" i="1" s="1"/>
  <c r="Q1238" i="1" a="1"/>
  <c r="Q1238" i="1" s="1"/>
  <c r="K1241" i="1" a="1"/>
  <c r="K1241" i="1" s="1"/>
  <c r="O1239" i="1" a="1"/>
  <c r="O1239" i="1"/>
  <c r="F1242" i="1" a="1"/>
  <c r="F1242" i="1"/>
  <c r="Q1241" i="1" a="1"/>
  <c r="Q1241" i="1"/>
  <c r="P1241" i="1" a="1"/>
  <c r="P1241" i="1"/>
  <c r="O1241" i="1" a="1"/>
  <c r="O1241" i="1" s="1"/>
  <c r="N1241" i="1" a="1"/>
  <c r="N1241" i="1" s="1"/>
  <c r="M1241" i="1" a="1"/>
  <c r="M1241" i="1"/>
  <c r="P1238" i="1" a="1"/>
  <c r="P1238" i="1" s="1"/>
  <c r="M1240" i="1" a="1"/>
  <c r="M1240" i="1" s="1"/>
  <c r="O1238" i="1" a="1"/>
  <c r="O1238" i="1" s="1"/>
  <c r="H1241" i="1" a="1"/>
  <c r="H1241" i="1" s="1"/>
  <c r="K1239" i="1" a="1"/>
  <c r="K1239" i="1"/>
  <c r="N1240" i="1" a="1"/>
  <c r="N1240" i="1"/>
  <c r="J1239" i="1" a="1"/>
  <c r="J1239" i="1"/>
  <c r="I1239" i="1" a="1"/>
  <c r="I1239" i="1"/>
  <c r="M1238" i="1" a="1"/>
  <c r="M1238" i="1" s="1"/>
  <c r="N1239" i="1" a="1"/>
  <c r="N1239" i="1" s="1"/>
  <c r="L1241" i="1" a="1"/>
  <c r="L1241" i="1" s="1"/>
  <c r="G1241" i="1" a="1"/>
  <c r="G1241" i="1" s="1"/>
  <c r="H1239" i="1" a="1"/>
  <c r="H1239" i="1"/>
  <c r="F1238" i="1" a="1"/>
  <c r="F1238" i="1" s="1"/>
  <c r="J1238" i="1" a="1"/>
  <c r="J1238" i="1"/>
  <c r="H1238" i="1" a="1"/>
  <c r="H1238" i="1"/>
  <c r="I1238" i="1" a="1"/>
  <c r="I1238" i="1" s="1"/>
  <c r="G1238" i="1" a="1"/>
  <c r="G1238" i="1" s="1"/>
  <c r="K1238" i="1" a="1"/>
  <c r="K1238" i="1" s="1"/>
  <c r="F1237" i="1" a="1"/>
  <c r="F1237" i="1" s="1"/>
  <c r="Q1237" i="1" a="1"/>
  <c r="Q1237" i="1"/>
  <c r="P1237" i="1" a="1"/>
  <c r="P1237" i="1"/>
  <c r="O1237" i="1" a="1"/>
  <c r="O1237" i="1"/>
  <c r="N1236" i="1" a="1"/>
  <c r="N1236" i="1" s="1"/>
  <c r="N1237" i="1" a="1"/>
  <c r="N1237" i="1"/>
  <c r="M1237" i="1" a="1"/>
  <c r="M1237" i="1"/>
  <c r="K1237" i="1" a="1"/>
  <c r="K1237" i="1" s="1"/>
  <c r="J1237" i="1" a="1"/>
  <c r="J1237" i="1" s="1"/>
  <c r="I1237" i="1" a="1"/>
  <c r="I1237" i="1"/>
  <c r="H1237" i="1" a="1"/>
  <c r="H1237" i="1" s="1"/>
  <c r="G1237" i="1" a="1"/>
  <c r="G1237" i="1" s="1"/>
  <c r="P1236" i="1" a="1"/>
  <c r="P1236" i="1"/>
  <c r="M1236" i="1" a="1"/>
  <c r="M1236" i="1"/>
  <c r="L1237" i="1" a="1"/>
  <c r="L1237" i="1"/>
  <c r="Q1236" i="1" a="1"/>
  <c r="Q1236" i="1" s="1"/>
  <c r="O1236" i="1" a="1"/>
  <c r="O1236" i="1" s="1"/>
  <c r="L1236" i="1" a="1"/>
  <c r="L1236" i="1"/>
  <c r="K1236" i="1" a="1"/>
  <c r="K1236" i="1"/>
  <c r="J1236" i="1" a="1"/>
  <c r="J1236" i="1"/>
  <c r="L1235" i="1" a="1"/>
  <c r="L1235" i="1" s="1"/>
  <c r="J1235" i="1" a="1"/>
  <c r="J1235" i="1" s="1"/>
  <c r="I1236" i="1" a="1"/>
  <c r="I1236" i="1"/>
  <c r="Q1235" i="1" a="1"/>
  <c r="Q1235" i="1" s="1"/>
  <c r="O1235" i="1" a="1"/>
  <c r="O1235" i="1"/>
  <c r="K1235" i="1" a="1"/>
  <c r="K1235" i="1" s="1"/>
  <c r="I1235" i="1" a="1"/>
  <c r="I1235" i="1"/>
  <c r="H1236" i="1" a="1"/>
  <c r="H1236" i="1"/>
  <c r="G1236" i="1" a="1"/>
  <c r="G1236" i="1"/>
  <c r="N1235" i="1" a="1"/>
  <c r="N1235" i="1" s="1"/>
  <c r="F1236" i="1" a="1"/>
  <c r="F1236" i="1"/>
  <c r="P1235" i="1" a="1"/>
  <c r="P1235" i="1" s="1"/>
  <c r="M1235" i="1" a="1"/>
  <c r="M1235" i="1" s="1"/>
  <c r="Q1263" i="1" a="1"/>
  <c r="Q1263" i="1"/>
  <c r="H1263" i="1" a="1"/>
  <c r="H1263" i="1" s="1"/>
  <c r="H1262" i="1" a="1"/>
  <c r="H1262" i="1" s="1"/>
  <c r="M1263" i="1" a="1"/>
  <c r="M1263" i="1" s="1"/>
  <c r="L1263" i="1" a="1"/>
  <c r="L1263" i="1" s="1"/>
  <c r="N1262" i="1" a="1"/>
  <c r="N1262" i="1"/>
  <c r="I1262" i="1" a="1"/>
  <c r="I1262" i="1" s="1"/>
  <c r="K1263" i="1" a="1"/>
  <c r="K1263" i="1" s="1"/>
  <c r="J1262" i="1" a="1"/>
  <c r="J1262" i="1"/>
  <c r="O1263" i="1" a="1"/>
  <c r="O1263" i="1" s="1"/>
  <c r="F1263" i="1" a="1"/>
  <c r="F1263" i="1"/>
  <c r="M1261" i="1" a="1"/>
  <c r="M1261" i="1"/>
  <c r="G1262" i="1" a="1"/>
  <c r="G1262" i="1"/>
  <c r="P1263" i="1" a="1"/>
  <c r="P1263" i="1"/>
  <c r="J1263" i="1" a="1"/>
  <c r="J1263" i="1"/>
  <c r="G1263" i="1" a="1"/>
  <c r="G1263" i="1" s="1"/>
  <c r="O1261" i="1" a="1"/>
  <c r="O1261" i="1" s="1"/>
  <c r="I1263" i="1" a="1"/>
  <c r="I1263" i="1"/>
  <c r="P1261" i="1" a="1"/>
  <c r="P1261" i="1"/>
  <c r="N1261" i="1" a="1"/>
  <c r="N1261" i="1" s="1"/>
  <c r="P1262" i="1" a="1"/>
  <c r="P1262" i="1" s="1"/>
  <c r="M1262" i="1" a="1"/>
  <c r="M1262" i="1" s="1"/>
  <c r="Q1261" i="1" a="1"/>
  <c r="Q1261" i="1" s="1"/>
  <c r="F1262" i="1" a="1"/>
  <c r="F1262" i="1"/>
  <c r="K1262" i="1" a="1"/>
  <c r="K1262" i="1" s="1"/>
  <c r="L1262" i="1" a="1"/>
  <c r="L1262" i="1" s="1"/>
  <c r="N1263" i="1" a="1"/>
  <c r="N1263" i="1"/>
  <c r="O1262" i="1" a="1"/>
  <c r="O1262" i="1"/>
  <c r="Q1262" i="1" a="1"/>
  <c r="Q1262" i="1"/>
  <c r="P1260" i="1" a="1"/>
  <c r="P1260" i="1"/>
  <c r="O1260" i="1" a="1"/>
  <c r="O1260" i="1"/>
  <c r="J1260" i="1" a="1"/>
  <c r="J1260" i="1" s="1"/>
  <c r="H1260" i="1" a="1"/>
  <c r="H1260" i="1" s="1"/>
  <c r="K1260" i="1" a="1"/>
  <c r="K1260" i="1" s="1"/>
  <c r="G1260" i="1" a="1"/>
  <c r="G1260" i="1" s="1"/>
  <c r="P1259" i="1" a="1"/>
  <c r="P1259" i="1"/>
  <c r="G1258" i="1" a="1"/>
  <c r="G1258" i="1"/>
  <c r="I1259" i="1" a="1"/>
  <c r="I1259" i="1"/>
  <c r="N1257" i="1" a="1"/>
  <c r="N1257" i="1"/>
  <c r="L1259" i="1" a="1"/>
  <c r="L1259" i="1"/>
  <c r="H1259" i="1" a="1"/>
  <c r="H1259" i="1" s="1"/>
  <c r="M1258" i="1" a="1"/>
  <c r="M1258" i="1" s="1"/>
  <c r="I1258" i="1" a="1"/>
  <c r="I1258" i="1" s="1"/>
  <c r="Q1260" i="1" a="1"/>
  <c r="Q1260" i="1" s="1"/>
  <c r="O1259" i="1" a="1"/>
  <c r="O1259" i="1"/>
  <c r="O1258" i="1" a="1"/>
  <c r="O1258" i="1"/>
  <c r="I1260" i="1" a="1"/>
  <c r="I1260" i="1"/>
  <c r="Q1259" i="1" a="1"/>
  <c r="Q1259" i="1"/>
  <c r="N1259" i="1" a="1"/>
  <c r="N1259" i="1" s="1"/>
  <c r="N1260" i="1" a="1"/>
  <c r="N1260" i="1"/>
  <c r="L1258" i="1" a="1"/>
  <c r="L1258" i="1" s="1"/>
  <c r="J1259" i="1" a="1"/>
  <c r="J1259" i="1" s="1"/>
  <c r="M1260" i="1" a="1"/>
  <c r="M1260" i="1" s="1"/>
  <c r="F1258" i="1" a="1"/>
  <c r="F1258" i="1"/>
  <c r="P1257" i="1" a="1"/>
  <c r="P1257" i="1" s="1"/>
  <c r="O1257" i="1" a="1"/>
  <c r="O1257" i="1" s="1"/>
  <c r="M1259" i="1" a="1"/>
  <c r="M1259" i="1" s="1"/>
  <c r="K1259" i="1" a="1"/>
  <c r="K1259" i="1"/>
  <c r="H1258" i="1" a="1"/>
  <c r="H1258" i="1"/>
  <c r="G1259" i="1" a="1"/>
  <c r="G1259" i="1" s="1"/>
  <c r="J1258" i="1" a="1"/>
  <c r="J1258" i="1"/>
  <c r="Q1257" i="1" a="1"/>
  <c r="Q1257" i="1" s="1"/>
  <c r="K1258" i="1" a="1"/>
  <c r="K1258" i="1" s="1"/>
  <c r="L1261" i="1" a="1"/>
  <c r="L1261" i="1" s="1"/>
  <c r="F1261" i="1" a="1"/>
  <c r="F1261" i="1"/>
  <c r="F1260" i="1" a="1"/>
  <c r="F1260" i="1"/>
  <c r="K1261" i="1" a="1"/>
  <c r="K1261" i="1"/>
  <c r="J1261" i="1" a="1"/>
  <c r="J1261" i="1"/>
  <c r="Q1258" i="1" a="1"/>
  <c r="Q1258" i="1"/>
  <c r="P1258" i="1" a="1"/>
  <c r="P1258" i="1"/>
  <c r="I1261" i="1" a="1"/>
  <c r="I1261" i="1"/>
  <c r="F1259" i="1" a="1"/>
  <c r="F1259" i="1"/>
  <c r="L1260" i="1" a="1"/>
  <c r="L1260" i="1" s="1"/>
  <c r="H1261" i="1" a="1"/>
  <c r="H1261" i="1" s="1"/>
  <c r="N1258" i="1" a="1"/>
  <c r="N1258" i="1"/>
  <c r="M1257" i="1" a="1"/>
  <c r="M1257" i="1" s="1"/>
  <c r="G1261" i="1" a="1"/>
  <c r="G1261" i="1" s="1"/>
  <c r="Q1256" i="1" a="1"/>
  <c r="Q1256" i="1" s="1"/>
  <c r="P1256" i="1" a="1"/>
  <c r="P1256" i="1"/>
  <c r="Q1253" i="1" a="1"/>
  <c r="Q1253" i="1" s="1"/>
  <c r="O1256" i="1" a="1"/>
  <c r="O1256" i="1"/>
  <c r="G1255" i="1" a="1"/>
  <c r="G1255" i="1"/>
  <c r="G1256" i="1" a="1"/>
  <c r="G1256" i="1"/>
  <c r="F1256" i="1" a="1"/>
  <c r="F1256" i="1"/>
  <c r="N1255" i="1" a="1"/>
  <c r="N1255" i="1"/>
  <c r="M1255" i="1" a="1"/>
  <c r="M1255" i="1"/>
  <c r="O1252" i="1" a="1"/>
  <c r="O1252" i="1"/>
  <c r="J1255" i="1" a="1"/>
  <c r="J1255" i="1" s="1"/>
  <c r="I1253" i="1" a="1"/>
  <c r="I1253" i="1" s="1"/>
  <c r="P1252" i="1" a="1"/>
  <c r="P1252" i="1" s="1"/>
  <c r="F1255" i="1" a="1"/>
  <c r="F1255" i="1" s="1"/>
  <c r="K1253" i="1" a="1"/>
  <c r="K1253" i="1"/>
  <c r="L1255" i="1" a="1"/>
  <c r="L1255" i="1" s="1"/>
  <c r="N1254" i="1" a="1"/>
  <c r="N1254" i="1"/>
  <c r="N1253" i="1" a="1"/>
  <c r="N1253" i="1" s="1"/>
  <c r="O1255" i="1" a="1"/>
  <c r="O1255" i="1"/>
  <c r="I1254" i="1" a="1"/>
  <c r="I1254" i="1"/>
  <c r="J1253" i="1" a="1"/>
  <c r="J1253" i="1"/>
  <c r="I1257" i="1" a="1"/>
  <c r="I1257" i="1"/>
  <c r="M1254" i="1" a="1"/>
  <c r="M1254" i="1" s="1"/>
  <c r="H1257" i="1" a="1"/>
  <c r="H1257" i="1"/>
  <c r="G1257" i="1" a="1"/>
  <c r="G1257" i="1" s="1"/>
  <c r="N1256" i="1" a="1"/>
  <c r="N1256" i="1" s="1"/>
  <c r="P1253" i="1" a="1"/>
  <c r="P1253" i="1" s="1"/>
  <c r="H1254" i="1" a="1"/>
  <c r="H1254" i="1" s="1"/>
  <c r="L1253" i="1" a="1"/>
  <c r="L1253" i="1" s="1"/>
  <c r="L1256" i="1" a="1"/>
  <c r="L1256" i="1" s="1"/>
  <c r="I1255" i="1" a="1"/>
  <c r="I1255" i="1"/>
  <c r="K1256" i="1" a="1"/>
  <c r="K1256" i="1" s="1"/>
  <c r="J1256" i="1" a="1"/>
  <c r="J1256" i="1"/>
  <c r="I1256" i="1" a="1"/>
  <c r="I1256" i="1" s="1"/>
  <c r="P1254" i="1" a="1"/>
  <c r="P1254" i="1" s="1"/>
  <c r="M1253" i="1" a="1"/>
  <c r="M1253" i="1" s="1"/>
  <c r="Q1252" i="1" a="1"/>
  <c r="Q1252" i="1" s="1"/>
  <c r="F1254" i="1" a="1"/>
  <c r="F1254" i="1"/>
  <c r="O1253" i="1" a="1"/>
  <c r="O1253" i="1" s="1"/>
  <c r="H1253" i="1" a="1"/>
  <c r="H1253" i="1"/>
  <c r="G1254" i="1" a="1"/>
  <c r="G1254" i="1" s="1"/>
  <c r="H1256" i="1" a="1"/>
  <c r="H1256" i="1" s="1"/>
  <c r="H1255" i="1" a="1"/>
  <c r="H1255" i="1"/>
  <c r="F1253" i="1" a="1"/>
  <c r="F1253" i="1"/>
  <c r="L1254" i="1" a="1"/>
  <c r="L1254" i="1" s="1"/>
  <c r="L1257" i="1" a="1"/>
  <c r="L1257" i="1"/>
  <c r="M1256" i="1" a="1"/>
  <c r="M1256" i="1" s="1"/>
  <c r="Q1255" i="1" a="1"/>
  <c r="Q1255" i="1" s="1"/>
  <c r="J1254" i="1" a="1"/>
  <c r="J1254" i="1" s="1"/>
  <c r="G1253" i="1" a="1"/>
  <c r="G1253" i="1" s="1"/>
  <c r="P1255" i="1" a="1"/>
  <c r="P1255" i="1" s="1"/>
  <c r="K1255" i="1" a="1"/>
  <c r="K1255" i="1" s="1"/>
  <c r="K1254" i="1" a="1"/>
  <c r="K1254" i="1"/>
  <c r="O1254" i="1" a="1"/>
  <c r="O1254" i="1"/>
  <c r="K1257" i="1" a="1"/>
  <c r="K1257" i="1" s="1"/>
  <c r="J1257" i="1" a="1"/>
  <c r="J1257" i="1" s="1"/>
  <c r="F1257" i="1" a="1"/>
  <c r="F1257" i="1" s="1"/>
  <c r="Q1254" i="1" a="1"/>
  <c r="Q1254" i="1" s="1"/>
  <c r="N1252" i="1" a="1"/>
  <c r="N1252" i="1" s="1"/>
  <c r="K1252" i="1" a="1"/>
  <c r="K1252" i="1"/>
  <c r="J1251" i="1" a="1"/>
  <c r="J1251" i="1"/>
  <c r="Q1250" i="1" a="1"/>
  <c r="Q1250" i="1" s="1"/>
  <c r="O1249" i="1" a="1"/>
  <c r="O1249" i="1"/>
  <c r="N1249" i="1" a="1"/>
  <c r="N1249" i="1" s="1"/>
  <c r="J1249" i="1" a="1"/>
  <c r="J1249" i="1"/>
  <c r="H1252" i="1" a="1"/>
  <c r="H1252" i="1"/>
  <c r="K1250" i="1" a="1"/>
  <c r="K1250" i="1"/>
  <c r="K1249" i="1" a="1"/>
  <c r="K1249" i="1"/>
  <c r="K1251" i="1" a="1"/>
  <c r="K1251" i="1"/>
  <c r="Q1247" i="1" a="1"/>
  <c r="Q1247" i="1" s="1"/>
  <c r="L1247" i="1" a="1"/>
  <c r="L1247" i="1"/>
  <c r="Q1249" i="1" a="1"/>
  <c r="Q1249" i="1" s="1"/>
  <c r="P1251" i="1" a="1"/>
  <c r="P1251" i="1"/>
  <c r="J1250" i="1" a="1"/>
  <c r="J1250" i="1" s="1"/>
  <c r="J1252" i="1" a="1"/>
  <c r="J1252" i="1"/>
  <c r="I1251" i="1" a="1"/>
  <c r="I1251" i="1"/>
  <c r="P1250" i="1" a="1"/>
  <c r="P1250" i="1"/>
  <c r="I1252" i="1" a="1"/>
  <c r="I1252" i="1" s="1"/>
  <c r="G1252" i="1" a="1"/>
  <c r="G1252" i="1" s="1"/>
  <c r="O1248" i="1" a="1"/>
  <c r="O1248" i="1"/>
  <c r="M1248" i="1" a="1"/>
  <c r="M1248" i="1"/>
  <c r="F1252" i="1" a="1"/>
  <c r="F1252" i="1"/>
  <c r="Q1251" i="1" a="1"/>
  <c r="Q1251" i="1"/>
  <c r="O1251" i="1" a="1"/>
  <c r="O1251" i="1" s="1"/>
  <c r="G1248" i="1" a="1"/>
  <c r="G1248" i="1"/>
  <c r="M1251" i="1" a="1"/>
  <c r="M1251" i="1"/>
  <c r="L1251" i="1" a="1"/>
  <c r="L1251" i="1" s="1"/>
  <c r="H1249" i="1" a="1"/>
  <c r="H1249" i="1" s="1"/>
  <c r="H1251" i="1" a="1"/>
  <c r="H1251" i="1"/>
  <c r="G1251" i="1" a="1"/>
  <c r="G1251" i="1" s="1"/>
  <c r="F1251" i="1" a="1"/>
  <c r="F1251" i="1"/>
  <c r="O1247" i="1" a="1"/>
  <c r="O1247" i="1"/>
  <c r="O1250" i="1" a="1"/>
  <c r="O1250" i="1"/>
  <c r="M1250" i="1" a="1"/>
  <c r="M1250" i="1" s="1"/>
  <c r="K1248" i="1" a="1"/>
  <c r="K1248" i="1" s="1"/>
  <c r="M1249" i="1" a="1"/>
  <c r="M1249" i="1" s="1"/>
  <c r="Q1248" i="1" a="1"/>
  <c r="Q1248" i="1" s="1"/>
  <c r="N1248" i="1" a="1"/>
  <c r="N1248" i="1" s="1"/>
  <c r="F1249" i="1" a="1"/>
  <c r="F1249" i="1"/>
  <c r="N1247" i="1" a="1"/>
  <c r="N1247" i="1"/>
  <c r="P1248" i="1" a="1"/>
  <c r="P1248" i="1" s="1"/>
  <c r="J1248" i="1" a="1"/>
  <c r="J1248" i="1"/>
  <c r="H1248" i="1" a="1"/>
  <c r="H1248" i="1" s="1"/>
  <c r="I1248" i="1" a="1"/>
  <c r="I1248" i="1"/>
  <c r="F1248" i="1" a="1"/>
  <c r="F1248" i="1" s="1"/>
  <c r="I1250" i="1" a="1"/>
  <c r="I1250" i="1" s="1"/>
  <c r="H1250" i="1" a="1"/>
  <c r="H1250" i="1"/>
  <c r="L1249" i="1" a="1"/>
  <c r="L1249" i="1" s="1"/>
  <c r="P1247" i="1" a="1"/>
  <c r="P1247" i="1"/>
  <c r="L1248" i="1" a="1"/>
  <c r="L1248" i="1" s="1"/>
  <c r="G1250" i="1" a="1"/>
  <c r="G1250" i="1" s="1"/>
  <c r="N1250" i="1" a="1"/>
  <c r="N1250" i="1" s="1"/>
  <c r="P1249" i="1" a="1"/>
  <c r="P1249" i="1"/>
  <c r="N1251" i="1" a="1"/>
  <c r="N1251" i="1"/>
  <c r="M1247" i="1" a="1"/>
  <c r="M1247" i="1" s="1"/>
  <c r="L1250" i="1" a="1"/>
  <c r="L1250" i="1" s="1"/>
  <c r="F1250" i="1" a="1"/>
  <c r="F1250" i="1" s="1"/>
  <c r="I1249" i="1" a="1"/>
  <c r="I1249" i="1"/>
  <c r="M1252" i="1" a="1"/>
  <c r="M1252" i="1" s="1"/>
  <c r="L1252" i="1" a="1"/>
  <c r="L1252" i="1"/>
  <c r="G1249" i="1" a="1"/>
  <c r="G1249" i="1"/>
  <c r="N1245" i="1" a="1"/>
  <c r="N1245" i="1" s="1"/>
  <c r="L1246" i="1" a="1"/>
  <c r="L1246" i="1" s="1"/>
  <c r="G1246" i="1" a="1"/>
  <c r="G1246" i="1"/>
  <c r="F1246" i="1" a="1"/>
  <c r="F1246" i="1" s="1"/>
  <c r="M1245" i="1" a="1"/>
  <c r="M1245" i="1" s="1"/>
  <c r="M1246" i="1" a="1"/>
  <c r="M1246" i="1" s="1"/>
  <c r="J1246" i="1" a="1"/>
  <c r="J1246" i="1" s="1"/>
  <c r="Q1245" i="1" a="1"/>
  <c r="Q1245" i="1" s="1"/>
  <c r="O1245" i="1" a="1"/>
  <c r="O1245" i="1"/>
  <c r="K1246" i="1" a="1"/>
  <c r="K1246" i="1"/>
  <c r="K1247" i="1" a="1"/>
  <c r="K1247" i="1" s="1"/>
  <c r="H1247" i="1" a="1"/>
  <c r="H1247" i="1" s="1"/>
  <c r="I1246" i="1" a="1"/>
  <c r="I1246" i="1" s="1"/>
  <c r="H1246" i="1" a="1"/>
  <c r="H1246" i="1"/>
  <c r="J1247" i="1" a="1"/>
  <c r="J1247" i="1" s="1"/>
  <c r="I1247" i="1" a="1"/>
  <c r="I1247" i="1"/>
  <c r="G1247" i="1" a="1"/>
  <c r="G1247" i="1"/>
  <c r="F1247" i="1" a="1"/>
  <c r="F1247" i="1"/>
  <c r="Q1246" i="1" a="1"/>
  <c r="Q1246" i="1" s="1"/>
  <c r="P1246" i="1" a="1"/>
  <c r="P1246" i="1" s="1"/>
  <c r="P1245" i="1" a="1"/>
  <c r="P1245" i="1" s="1"/>
  <c r="O1246" i="1" a="1"/>
  <c r="O1246" i="1" s="1"/>
  <c r="N1246" i="1" a="1"/>
  <c r="N1246" i="1" s="1"/>
  <c r="Q1244" i="1" a="1"/>
  <c r="Q1244" i="1" s="1"/>
  <c r="M1244" i="1" a="1"/>
  <c r="M1244" i="1" s="1"/>
  <c r="L1243" i="1" a="1"/>
  <c r="L1243" i="1"/>
  <c r="J1243" i="1" a="1"/>
  <c r="J1243" i="1" s="1"/>
  <c r="H1242" i="1" a="1"/>
  <c r="H1242" i="1"/>
  <c r="L1244" i="1" a="1"/>
  <c r="L1244" i="1"/>
  <c r="K1243" i="1" a="1"/>
  <c r="K1243" i="1" s="1"/>
  <c r="G1244" i="1" a="1"/>
  <c r="G1244" i="1" s="1"/>
  <c r="N1243" i="1" a="1"/>
  <c r="N1243" i="1" s="1"/>
  <c r="M1242" i="1" a="1"/>
  <c r="M1242" i="1" s="1"/>
  <c r="I1243" i="1" a="1"/>
  <c r="I1243" i="1"/>
  <c r="G1242" i="1" a="1"/>
  <c r="G1242" i="1" s="1"/>
  <c r="K1244" i="1" a="1"/>
  <c r="K1244" i="1"/>
  <c r="J1242" i="1" a="1"/>
  <c r="J1242" i="1"/>
  <c r="Q1243" i="1" a="1"/>
  <c r="Q1243" i="1"/>
  <c r="P1243" i="1" a="1"/>
  <c r="P1243" i="1"/>
  <c r="M1243" i="1" a="1"/>
  <c r="M1243" i="1" s="1"/>
  <c r="H1244" i="1" a="1"/>
  <c r="H1244" i="1"/>
  <c r="F1244" i="1" a="1"/>
  <c r="F1244" i="1"/>
  <c r="L1245" i="1" a="1"/>
  <c r="L1245" i="1" s="1"/>
  <c r="K1245" i="1" a="1"/>
  <c r="K1245" i="1"/>
  <c r="J1245" i="1" a="1"/>
  <c r="J1245" i="1" s="1"/>
  <c r="I1245" i="1" a="1"/>
  <c r="I1245" i="1" s="1"/>
  <c r="P1244" i="1" a="1"/>
  <c r="P1244" i="1" s="1"/>
  <c r="K1242" i="1" a="1"/>
  <c r="K1242" i="1" s="1"/>
  <c r="O1242" i="1" a="1"/>
  <c r="O1242" i="1"/>
  <c r="N1242" i="1" a="1"/>
  <c r="N1242" i="1" s="1"/>
  <c r="O1244" i="1" a="1"/>
  <c r="O1244" i="1"/>
  <c r="H1243" i="1" a="1"/>
  <c r="H1243" i="1"/>
  <c r="Q1242" i="1" a="1"/>
  <c r="Q1242" i="1" s="1"/>
  <c r="P1242" i="1" a="1"/>
  <c r="P1242" i="1" s="1"/>
  <c r="O1243" i="1" a="1"/>
  <c r="O1243" i="1"/>
  <c r="N1244" i="1" a="1"/>
  <c r="N1244" i="1"/>
  <c r="F1243" i="1" a="1"/>
  <c r="F1243" i="1" s="1"/>
  <c r="H1245" i="1" a="1"/>
  <c r="H1245" i="1"/>
  <c r="I1242" i="1" a="1"/>
  <c r="I1242" i="1" s="1"/>
  <c r="G1245" i="1" a="1"/>
  <c r="G1245" i="1"/>
  <c r="J1244" i="1" a="1"/>
  <c r="J1244" i="1" s="1"/>
  <c r="G1243" i="1" a="1"/>
  <c r="G1243" i="1" s="1"/>
  <c r="I1244" i="1" a="1"/>
  <c r="I1244" i="1" s="1"/>
  <c r="F1245" i="1" a="1"/>
  <c r="F1245" i="1"/>
  <c r="L1242" i="1" a="1"/>
  <c r="L1242" i="1" s="1"/>
  <c r="Q1434" i="1" a="1"/>
  <c r="Q1434" i="1" s="1"/>
  <c r="M1434" i="1" a="1"/>
  <c r="M1434" i="1" s="1"/>
  <c r="H1434" i="1" a="1"/>
  <c r="H1434" i="1"/>
  <c r="G1434" i="1" a="1"/>
  <c r="G1434" i="1" s="1"/>
  <c r="I1434" i="1" a="1"/>
  <c r="I1434" i="1"/>
  <c r="N1433" i="1" a="1"/>
  <c r="N1433" i="1" s="1"/>
  <c r="N1434" i="1" a="1"/>
  <c r="N1434" i="1"/>
  <c r="K1434" i="1" a="1"/>
  <c r="K1434" i="1"/>
  <c r="J1434" i="1" a="1"/>
  <c r="J1434" i="1" s="1"/>
  <c r="Q1433" i="1" a="1"/>
  <c r="Q1433" i="1" s="1"/>
  <c r="L1434" i="1" a="1"/>
  <c r="L1434" i="1"/>
  <c r="F1434" i="1" a="1"/>
  <c r="F1434" i="1"/>
  <c r="P1433" i="1" a="1"/>
  <c r="P1433" i="1"/>
  <c r="O1433" i="1" a="1"/>
  <c r="O1433" i="1"/>
  <c r="P1434" i="1" a="1"/>
  <c r="P1434" i="1" s="1"/>
  <c r="O1434" i="1" a="1"/>
  <c r="O1434" i="1" s="1"/>
  <c r="G1431" i="1" a="1"/>
  <c r="G1431" i="1" s="1"/>
  <c r="F1431" i="1" a="1"/>
  <c r="F1431" i="1" s="1"/>
  <c r="L1433" i="1" a="1"/>
  <c r="L1433" i="1"/>
  <c r="K1433" i="1" a="1"/>
  <c r="K1433" i="1"/>
  <c r="H1433" i="1" a="1"/>
  <c r="H1433" i="1"/>
  <c r="G1432" i="1" a="1"/>
  <c r="G1432" i="1" s="1"/>
  <c r="L1431" i="1" a="1"/>
  <c r="L1431" i="1" s="1"/>
  <c r="G1433" i="1" a="1"/>
  <c r="G1433" i="1" s="1"/>
  <c r="L1430" i="1" a="1"/>
  <c r="L1430" i="1"/>
  <c r="F1433" i="1" a="1"/>
  <c r="F1433" i="1"/>
  <c r="I1432" i="1" a="1"/>
  <c r="I1432" i="1" s="1"/>
  <c r="O1432" i="1" a="1"/>
  <c r="O1432" i="1"/>
  <c r="K1430" i="1" a="1"/>
  <c r="K1430" i="1"/>
  <c r="K1431" i="1" a="1"/>
  <c r="K1431" i="1" s="1"/>
  <c r="F1432" i="1" a="1"/>
  <c r="F1432" i="1"/>
  <c r="G1430" i="1" a="1"/>
  <c r="G1430" i="1"/>
  <c r="M1432" i="1" a="1"/>
  <c r="M1432" i="1" s="1"/>
  <c r="P1430" i="1" a="1"/>
  <c r="P1430" i="1" s="1"/>
  <c r="J1431" i="1" a="1"/>
  <c r="J1431" i="1"/>
  <c r="N1432" i="1" a="1"/>
  <c r="N1432" i="1"/>
  <c r="K1432" i="1" a="1"/>
  <c r="K1432" i="1"/>
  <c r="N1430" i="1" a="1"/>
  <c r="N1430" i="1" s="1"/>
  <c r="Q1430" i="1" a="1"/>
  <c r="Q1430" i="1" s="1"/>
  <c r="P1432" i="1" a="1"/>
  <c r="P1432" i="1" s="1"/>
  <c r="P1431" i="1" a="1"/>
  <c r="P1431" i="1"/>
  <c r="N1431" i="1" a="1"/>
  <c r="N1431" i="1" s="1"/>
  <c r="I1430" i="1" a="1"/>
  <c r="I1430" i="1"/>
  <c r="F1430" i="1" a="1"/>
  <c r="F1430" i="1" s="1"/>
  <c r="I1431" i="1" a="1"/>
  <c r="I1431" i="1" s="1"/>
  <c r="H1430" i="1" a="1"/>
  <c r="H1430" i="1" s="1"/>
  <c r="J1432" i="1" a="1"/>
  <c r="J1432" i="1"/>
  <c r="Q1432" i="1" a="1"/>
  <c r="Q1432" i="1"/>
  <c r="Q1431" i="1" a="1"/>
  <c r="Q1431" i="1"/>
  <c r="J1430" i="1" a="1"/>
  <c r="J1430" i="1" s="1"/>
  <c r="H1432" i="1" a="1"/>
  <c r="H1432" i="1"/>
  <c r="H1431" i="1" a="1"/>
  <c r="H1431" i="1" s="1"/>
  <c r="M1430" i="1" a="1"/>
  <c r="M1430" i="1"/>
  <c r="L1432" i="1" a="1"/>
  <c r="L1432" i="1"/>
  <c r="O1430" i="1" a="1"/>
  <c r="O1430" i="1" s="1"/>
  <c r="M1433" i="1" a="1"/>
  <c r="M1433" i="1"/>
  <c r="I1433" i="1" a="1"/>
  <c r="I1433" i="1" s="1"/>
  <c r="J1433" i="1" a="1"/>
  <c r="J1433" i="1"/>
  <c r="O1431" i="1" a="1"/>
  <c r="O1431" i="1" s="1"/>
  <c r="M1431" i="1" a="1"/>
  <c r="M1431" i="1"/>
  <c r="I1107" i="1"/>
  <c r="O1106" i="1"/>
  <c r="N1106" i="1"/>
  <c r="L1106" i="1"/>
  <c r="K1106" i="1"/>
  <c r="J1106" i="1"/>
  <c r="I1106" i="1"/>
  <c r="H1106" i="1"/>
  <c r="G1106" i="1"/>
  <c r="F1106" i="1"/>
  <c r="M1104" i="1"/>
  <c r="Q1102" i="1"/>
  <c r="P1102" i="1"/>
  <c r="L1102" i="1"/>
  <c r="K1102" i="1"/>
  <c r="J1102" i="1"/>
  <c r="H1102" i="1"/>
  <c r="G1102" i="1"/>
  <c r="F1102" i="1"/>
  <c r="Q1100" i="1"/>
  <c r="P1100" i="1"/>
  <c r="O1100" i="1"/>
  <c r="N1100" i="1"/>
  <c r="L1100" i="1"/>
  <c r="J1100" i="1"/>
  <c r="H1100" i="1"/>
  <c r="M1094" i="1"/>
  <c r="L1094" i="1"/>
  <c r="H1094" i="1"/>
  <c r="G1094" i="1"/>
  <c r="F1094" i="1"/>
  <c r="O1090" i="1"/>
  <c r="N1090" i="1"/>
  <c r="K1090" i="1"/>
  <c r="J1090" i="1"/>
  <c r="I1090" i="1"/>
  <c r="H1090" i="1"/>
  <c r="G1090" i="1"/>
  <c r="P1089" i="1"/>
  <c r="N1089" i="1"/>
  <c r="M1089" i="1"/>
  <c r="L1089" i="1"/>
  <c r="J1089" i="1"/>
  <c r="I1089" i="1"/>
  <c r="H1089" i="1"/>
  <c r="P1087" i="1"/>
  <c r="O1087" i="1"/>
  <c r="L1087" i="1"/>
  <c r="J1087" i="1"/>
  <c r="G1087" i="1"/>
  <c r="Q1085" i="1"/>
  <c r="O1085" i="1"/>
  <c r="M1085" i="1"/>
  <c r="L1085" i="1"/>
  <c r="H1085" i="1"/>
  <c r="G1085" i="1"/>
  <c r="P1084" i="1"/>
  <c r="O1084" i="1"/>
  <c r="N1084" i="1"/>
  <c r="M1084" i="1"/>
  <c r="L1084" i="1"/>
  <c r="K1084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Q1081" i="1"/>
  <c r="Q1107" i="1" s="1"/>
  <c r="P1081" i="1"/>
  <c r="P1107" i="1" s="1"/>
  <c r="O1081" i="1"/>
  <c r="O1107" i="1" s="1"/>
  <c r="N1081" i="1"/>
  <c r="N1107" i="1" s="1"/>
  <c r="M1081" i="1"/>
  <c r="M1107" i="1" s="1"/>
  <c r="L1081" i="1"/>
  <c r="L1107" i="1" s="1"/>
  <c r="K1081" i="1"/>
  <c r="K1107" i="1" s="1"/>
  <c r="J1081" i="1"/>
  <c r="J1107" i="1" s="1"/>
  <c r="I1081" i="1"/>
  <c r="H1081" i="1"/>
  <c r="H1107" i="1" s="1"/>
  <c r="G1081" i="1"/>
  <c r="G1107" i="1" s="1"/>
  <c r="F1081" i="1"/>
  <c r="F1107" i="1" s="1"/>
  <c r="Q1080" i="1"/>
  <c r="Q1106" i="1" s="1"/>
  <c r="P1080" i="1"/>
  <c r="P1106" i="1" s="1"/>
  <c r="O1080" i="1"/>
  <c r="N1080" i="1"/>
  <c r="M1080" i="1"/>
  <c r="M1106" i="1" s="1"/>
  <c r="L1080" i="1"/>
  <c r="K1080" i="1"/>
  <c r="J1080" i="1"/>
  <c r="I1080" i="1"/>
  <c r="H1080" i="1"/>
  <c r="G1080" i="1"/>
  <c r="F1080" i="1"/>
  <c r="Q1078" i="1"/>
  <c r="Q1104" i="1" s="1"/>
  <c r="P1078" i="1"/>
  <c r="P1104" i="1" s="1"/>
  <c r="O1078" i="1"/>
  <c r="O1104" i="1" s="1"/>
  <c r="N1078" i="1"/>
  <c r="N1104" i="1" s="1"/>
  <c r="M1078" i="1"/>
  <c r="L1078" i="1"/>
  <c r="L1104" i="1" s="1"/>
  <c r="K1078" i="1"/>
  <c r="K1104" i="1" s="1"/>
  <c r="J1078" i="1"/>
  <c r="J1104" i="1" s="1"/>
  <c r="I1078" i="1"/>
  <c r="I1104" i="1" s="1"/>
  <c r="H1078" i="1"/>
  <c r="H1104" i="1" s="1"/>
  <c r="G1078" i="1"/>
  <c r="G1104" i="1" s="1"/>
  <c r="F1078" i="1"/>
  <c r="F1104" i="1" s="1"/>
  <c r="Q1076" i="1"/>
  <c r="P1076" i="1"/>
  <c r="O1076" i="1"/>
  <c r="O1102" i="1" s="1"/>
  <c r="N1076" i="1"/>
  <c r="N1102" i="1" s="1"/>
  <c r="M1076" i="1"/>
  <c r="M1102" i="1" s="1"/>
  <c r="L1076" i="1"/>
  <c r="K1076" i="1"/>
  <c r="J1076" i="1"/>
  <c r="I1076" i="1"/>
  <c r="I1102" i="1" s="1"/>
  <c r="H1076" i="1"/>
  <c r="G1076" i="1"/>
  <c r="F1076" i="1"/>
  <c r="Q1074" i="1"/>
  <c r="P1074" i="1"/>
  <c r="O1074" i="1"/>
  <c r="N1074" i="1"/>
  <c r="M1074" i="1"/>
  <c r="M1100" i="1" s="1"/>
  <c r="L1074" i="1"/>
  <c r="K1074" i="1"/>
  <c r="K1100" i="1" s="1"/>
  <c r="J1074" i="1"/>
  <c r="I1074" i="1"/>
  <c r="I1100" i="1" s="1"/>
  <c r="H1074" i="1"/>
  <c r="G1074" i="1"/>
  <c r="G1100" i="1" s="1"/>
  <c r="F1074" i="1"/>
  <c r="F1100" i="1" s="1"/>
  <c r="Q1068" i="1"/>
  <c r="Q1094" i="1" s="1"/>
  <c r="P1068" i="1"/>
  <c r="P1094" i="1" s="1"/>
  <c r="O1068" i="1"/>
  <c r="O1094" i="1" s="1"/>
  <c r="N1068" i="1"/>
  <c r="N1094" i="1" s="1"/>
  <c r="M1068" i="1"/>
  <c r="L1068" i="1"/>
  <c r="K1068" i="1"/>
  <c r="K1094" i="1" s="1"/>
  <c r="J1068" i="1"/>
  <c r="J1094" i="1" s="1"/>
  <c r="I1068" i="1"/>
  <c r="I1094" i="1" s="1"/>
  <c r="H1068" i="1"/>
  <c r="G1068" i="1"/>
  <c r="F1068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Q1064" i="1"/>
  <c r="Q1090" i="1" s="1"/>
  <c r="P1064" i="1"/>
  <c r="P1090" i="1" s="1"/>
  <c r="O1064" i="1"/>
  <c r="N1064" i="1"/>
  <c r="M1064" i="1"/>
  <c r="M1090" i="1" s="1"/>
  <c r="L1064" i="1"/>
  <c r="L1090" i="1" s="1"/>
  <c r="K1064" i="1"/>
  <c r="J1064" i="1"/>
  <c r="I1064" i="1"/>
  <c r="H1064" i="1"/>
  <c r="G1064" i="1"/>
  <c r="F1064" i="1"/>
  <c r="F1090" i="1" s="1"/>
  <c r="Q1063" i="1"/>
  <c r="Q1089" i="1" s="1"/>
  <c r="P1063" i="1"/>
  <c r="O1063" i="1"/>
  <c r="O1089" i="1" s="1"/>
  <c r="N1063" i="1"/>
  <c r="M1063" i="1"/>
  <c r="L1063" i="1"/>
  <c r="K1063" i="1"/>
  <c r="K1089" i="1" s="1"/>
  <c r="J1063" i="1"/>
  <c r="I1063" i="1"/>
  <c r="H1063" i="1"/>
  <c r="G1063" i="1"/>
  <c r="G1089" i="1" s="1"/>
  <c r="F1063" i="1"/>
  <c r="F1089" i="1" s="1"/>
  <c r="Q1061" i="1"/>
  <c r="Q1087" i="1" s="1"/>
  <c r="P1061" i="1"/>
  <c r="O1061" i="1"/>
  <c r="N1061" i="1"/>
  <c r="N1087" i="1" s="1"/>
  <c r="M1061" i="1"/>
  <c r="M1087" i="1" s="1"/>
  <c r="L1061" i="1"/>
  <c r="K1061" i="1"/>
  <c r="K1087" i="1" s="1"/>
  <c r="J1061" i="1"/>
  <c r="I1061" i="1"/>
  <c r="I1087" i="1" s="1"/>
  <c r="H1061" i="1"/>
  <c r="H1087" i="1" s="1"/>
  <c r="G1061" i="1"/>
  <c r="F1061" i="1"/>
  <c r="F1087" i="1" s="1"/>
  <c r="Q1059" i="1"/>
  <c r="P1059" i="1"/>
  <c r="P1085" i="1" s="1"/>
  <c r="O1059" i="1"/>
  <c r="N1059" i="1"/>
  <c r="N1085" i="1" s="1"/>
  <c r="M1059" i="1"/>
  <c r="L1059" i="1"/>
  <c r="K1059" i="1"/>
  <c r="K1085" i="1" s="1"/>
  <c r="J1059" i="1"/>
  <c r="J1085" i="1" s="1"/>
  <c r="I1059" i="1"/>
  <c r="I1085" i="1" s="1"/>
  <c r="H1059" i="1"/>
  <c r="G1059" i="1"/>
  <c r="F1059" i="1"/>
  <c r="F1085" i="1" s="1"/>
  <c r="Q1058" i="1"/>
  <c r="Q1084" i="1" s="1"/>
  <c r="P1058" i="1"/>
  <c r="O1058" i="1"/>
  <c r="N1058" i="1"/>
  <c r="M1058" i="1"/>
  <c r="L1058" i="1"/>
  <c r="K1058" i="1"/>
  <c r="J1058" i="1"/>
  <c r="J1084" i="1" s="1"/>
  <c r="I1058" i="1"/>
  <c r="I1084" i="1" s="1"/>
  <c r="H1058" i="1"/>
  <c r="H1084" i="1" s="1"/>
  <c r="G1058" i="1"/>
  <c r="G1084" i="1" s="1"/>
  <c r="F1058" i="1"/>
  <c r="F1084" i="1" s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Q904" i="1"/>
  <c r="Q901" i="1" s="1"/>
  <c r="P904" i="1"/>
  <c r="P901" i="1" s="1"/>
  <c r="O904" i="1"/>
  <c r="O901" i="1" s="1"/>
  <c r="N904" i="1"/>
  <c r="N901" i="1" s="1"/>
  <c r="M904" i="1"/>
  <c r="M901" i="1" s="1"/>
  <c r="L904" i="1"/>
  <c r="L901" i="1" s="1"/>
  <c r="K904" i="1"/>
  <c r="J904" i="1"/>
  <c r="I904" i="1"/>
  <c r="H904" i="1"/>
  <c r="G904" i="1"/>
  <c r="F904" i="1"/>
  <c r="K901" i="1"/>
  <c r="J901" i="1"/>
  <c r="I901" i="1"/>
  <c r="H901" i="1"/>
  <c r="G901" i="1"/>
  <c r="F901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Q895" i="1"/>
  <c r="P895" i="1"/>
  <c r="O895" i="1"/>
  <c r="N895" i="1"/>
  <c r="M895" i="1"/>
  <c r="L895" i="1"/>
  <c r="K895" i="1"/>
  <c r="J895" i="1"/>
  <c r="I895" i="1"/>
  <c r="H895" i="1"/>
  <c r="G895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K1902" i="1" a="1"/>
  <c r="K1902" i="1" s="1"/>
  <c r="Q1902" i="1" a="1"/>
  <c r="Q1902" i="1"/>
  <c r="L1898" i="1" a="1"/>
  <c r="L1898" i="1" s="1"/>
  <c r="O1902" i="1" a="1"/>
  <c r="O1902" i="1" s="1"/>
  <c r="G1902" i="1" a="1"/>
  <c r="G1902" i="1"/>
  <c r="Q1900" i="1" a="1"/>
  <c r="Q1900" i="1"/>
  <c r="I1898" i="1" a="1"/>
  <c r="I1898" i="1"/>
  <c r="O1900" i="1" a="1"/>
  <c r="O1900" i="1" s="1"/>
  <c r="J1900" i="1" a="1"/>
  <c r="J1900" i="1"/>
  <c r="F1900" i="1" a="1"/>
  <c r="F1900" i="1" s="1"/>
  <c r="O1898" i="1" a="1"/>
  <c r="O1898" i="1"/>
  <c r="M1898" i="1" a="1"/>
  <c r="M1898" i="1" s="1"/>
  <c r="F1902" i="1" a="1"/>
  <c r="F1902" i="1" s="1"/>
  <c r="F1898" i="1" a="1"/>
  <c r="F1898" i="1"/>
  <c r="M1900" i="1" a="1"/>
  <c r="M1900" i="1" s="1"/>
  <c r="N1900" i="1" a="1"/>
  <c r="N1900" i="1"/>
  <c r="P1898" i="1" a="1"/>
  <c r="P1898" i="1" s="1"/>
  <c r="L1902" i="1" a="1"/>
  <c r="L1902" i="1" s="1"/>
  <c r="Q1896" i="1" a="1"/>
  <c r="Q1896" i="1" s="1"/>
  <c r="H1902" i="1" a="1"/>
  <c r="H1902" i="1" s="1"/>
  <c r="P1902" i="1" a="1"/>
  <c r="P1902" i="1"/>
  <c r="Q1898" i="1" a="1"/>
  <c r="Q1898" i="1" s="1"/>
  <c r="M1902" i="1" a="1"/>
  <c r="M1902" i="1" s="1"/>
  <c r="I1902" i="1" a="1"/>
  <c r="I1902" i="1" s="1"/>
  <c r="K1900" i="1" a="1"/>
  <c r="K1900" i="1"/>
  <c r="J1902" i="1" a="1"/>
  <c r="J1902" i="1"/>
  <c r="I1900" i="1" a="1"/>
  <c r="I1900" i="1"/>
  <c r="J1898" i="1" a="1"/>
  <c r="J1898" i="1" s="1"/>
  <c r="N1898" i="1" a="1"/>
  <c r="N1898" i="1" s="1"/>
  <c r="H1898" i="1" a="1"/>
  <c r="H1898" i="1" s="1"/>
  <c r="G1900" i="1" a="1"/>
  <c r="G1900" i="1" s="1"/>
  <c r="P1896" i="1" a="1"/>
  <c r="P1896" i="1" s="1"/>
  <c r="L1900" i="1" a="1"/>
  <c r="L1900" i="1"/>
  <c r="K1898" i="1" a="1"/>
  <c r="K1898" i="1"/>
  <c r="N1902" i="1" a="1"/>
  <c r="N1902" i="1"/>
  <c r="G1898" i="1" a="1"/>
  <c r="G1898" i="1" s="1"/>
  <c r="H1900" i="1" a="1"/>
  <c r="H1900" i="1" s="1"/>
  <c r="O1896" i="1" a="1"/>
  <c r="O1896" i="1"/>
  <c r="N1896" i="1" a="1"/>
  <c r="N1896" i="1" s="1"/>
  <c r="P1900" i="1" a="1"/>
  <c r="P1900" i="1"/>
  <c r="H1894" i="1" a="1"/>
  <c r="H1894" i="1"/>
  <c r="H1893" i="1" a="1"/>
  <c r="H1893" i="1"/>
  <c r="P1893" i="1" a="1"/>
  <c r="P1893" i="1" s="1"/>
  <c r="G1893" i="1" a="1"/>
  <c r="G1893" i="1"/>
  <c r="H1892" i="1" a="1"/>
  <c r="H1892" i="1"/>
  <c r="N1892" i="1" a="1"/>
  <c r="N1892" i="1" s="1"/>
  <c r="M1894" i="1" a="1"/>
  <c r="M1894" i="1" s="1"/>
  <c r="J1894" i="1" a="1"/>
  <c r="J1894" i="1" s="1"/>
  <c r="P1890" i="1" a="1"/>
  <c r="P1890" i="1" s="1"/>
  <c r="I1894" i="1" a="1"/>
  <c r="I1894" i="1"/>
  <c r="K1893" i="1" a="1"/>
  <c r="K1893" i="1" s="1"/>
  <c r="L1893" i="1" a="1"/>
  <c r="L1893" i="1" s="1"/>
  <c r="M1892" i="1" a="1"/>
  <c r="M1892" i="1" s="1"/>
  <c r="K1890" i="1" a="1"/>
  <c r="K1890" i="1" s="1"/>
  <c r="G1890" i="1" a="1"/>
  <c r="G1890" i="1" s="1"/>
  <c r="G1896" i="1" a="1"/>
  <c r="G1896" i="1"/>
  <c r="M1893" i="1" a="1"/>
  <c r="M1893" i="1" s="1"/>
  <c r="I1892" i="1" a="1"/>
  <c r="I1892" i="1"/>
  <c r="K1894" i="1" a="1"/>
  <c r="K1894" i="1" s="1"/>
  <c r="F1893" i="1" a="1"/>
  <c r="F1893" i="1" s="1"/>
  <c r="K1892" i="1" a="1"/>
  <c r="K1892" i="1" s="1"/>
  <c r="F1892" i="1" a="1"/>
  <c r="F1892" i="1"/>
  <c r="N1890" i="1" a="1"/>
  <c r="N1890" i="1"/>
  <c r="G1894" i="1" a="1"/>
  <c r="G1894" i="1"/>
  <c r="L1890" i="1" a="1"/>
  <c r="L1890" i="1" s="1"/>
  <c r="Q1892" i="1" a="1"/>
  <c r="Q1892" i="1" s="1"/>
  <c r="P1892" i="1" a="1"/>
  <c r="P1892" i="1" s="1"/>
  <c r="J1892" i="1" a="1"/>
  <c r="J1892" i="1" s="1"/>
  <c r="H1890" i="1" a="1"/>
  <c r="H1890" i="1" s="1"/>
  <c r="G1892" i="1" a="1"/>
  <c r="G1892" i="1" s="1"/>
  <c r="M1896" i="1" a="1"/>
  <c r="M1896" i="1"/>
  <c r="L1896" i="1" a="1"/>
  <c r="L1896" i="1" s="1"/>
  <c r="F1894" i="1" a="1"/>
  <c r="F1894" i="1"/>
  <c r="I1890" i="1" a="1"/>
  <c r="I1890" i="1" s="1"/>
  <c r="K1896" i="1" a="1"/>
  <c r="K1896" i="1" s="1"/>
  <c r="Q1894" i="1" a="1"/>
  <c r="Q1894" i="1" s="1"/>
  <c r="M1890" i="1" a="1"/>
  <c r="M1890" i="1" s="1"/>
  <c r="J1890" i="1" a="1"/>
  <c r="J1890" i="1" s="1"/>
  <c r="J1896" i="1" a="1"/>
  <c r="J1896" i="1"/>
  <c r="I1896" i="1" a="1"/>
  <c r="I1896" i="1" s="1"/>
  <c r="O1892" i="1" a="1"/>
  <c r="O1892" i="1" s="1"/>
  <c r="H1896" i="1" a="1"/>
  <c r="H1896" i="1" s="1"/>
  <c r="F1896" i="1" a="1"/>
  <c r="F1896" i="1" s="1"/>
  <c r="P1894" i="1" a="1"/>
  <c r="P1894" i="1" s="1"/>
  <c r="O1894" i="1" a="1"/>
  <c r="O1894" i="1" s="1"/>
  <c r="Q1893" i="1" a="1"/>
  <c r="Q1893" i="1" s="1"/>
  <c r="O1890" i="1" a="1"/>
  <c r="O1890" i="1"/>
  <c r="O1893" i="1" a="1"/>
  <c r="O1893" i="1" s="1"/>
  <c r="J1893" i="1" a="1"/>
  <c r="J1893" i="1"/>
  <c r="N1894" i="1" a="1"/>
  <c r="N1894" i="1" s="1"/>
  <c r="Q1890" i="1" a="1"/>
  <c r="Q1890" i="1"/>
  <c r="L1894" i="1" a="1"/>
  <c r="L1894" i="1"/>
  <c r="N1893" i="1" a="1"/>
  <c r="N1893" i="1"/>
  <c r="L1892" i="1" a="1"/>
  <c r="L1892" i="1" s="1"/>
  <c r="I1893" i="1" a="1"/>
  <c r="I1893" i="1" s="1"/>
  <c r="M1887" i="1" a="1"/>
  <c r="M1887" i="1" s="1"/>
  <c r="P1884" i="1" a="1"/>
  <c r="P1884" i="1" s="1"/>
  <c r="K1887" i="1" a="1"/>
  <c r="K1887" i="1" s="1"/>
  <c r="L1884" i="1" a="1"/>
  <c r="L1884" i="1" s="1"/>
  <c r="I1884" i="1" a="1"/>
  <c r="I1884" i="1" s="1"/>
  <c r="G1882" i="1" a="1"/>
  <c r="G1882" i="1" s="1"/>
  <c r="J1882" i="1" a="1"/>
  <c r="J1882" i="1" s="1"/>
  <c r="M1882" i="1" a="1"/>
  <c r="M1882" i="1"/>
  <c r="G1888" i="1" a="1"/>
  <c r="G1888" i="1"/>
  <c r="F1888" i="1" a="1"/>
  <c r="F1888" i="1" s="1"/>
  <c r="K1884" i="1" a="1"/>
  <c r="K1884" i="1" s="1"/>
  <c r="J1884" i="1" a="1"/>
  <c r="J1884" i="1" s="1"/>
  <c r="H1882" i="1" a="1"/>
  <c r="H1882" i="1"/>
  <c r="I1882" i="1" a="1"/>
  <c r="I1882" i="1"/>
  <c r="O1884" i="1" a="1"/>
  <c r="O1884" i="1" s="1"/>
  <c r="Q1882" i="1" a="1"/>
  <c r="Q1882" i="1" s="1"/>
  <c r="P1887" i="1" a="1"/>
  <c r="P1887" i="1" s="1"/>
  <c r="H1884" i="1" a="1"/>
  <c r="H1884" i="1" s="1"/>
  <c r="F1882" i="1" a="1"/>
  <c r="F1882" i="1" s="1"/>
  <c r="O1887" i="1" a="1"/>
  <c r="O1887" i="1" s="1"/>
  <c r="I1887" i="1" a="1"/>
  <c r="I1887" i="1" s="1"/>
  <c r="J1887" i="1" a="1"/>
  <c r="J1887" i="1"/>
  <c r="M1884" i="1" a="1"/>
  <c r="M1884" i="1"/>
  <c r="P1882" i="1" a="1"/>
  <c r="P1882" i="1" s="1"/>
  <c r="K1882" i="1" a="1"/>
  <c r="K1882" i="1"/>
  <c r="F1890" i="1" a="1"/>
  <c r="F1890" i="1"/>
  <c r="Q1887" i="1" a="1"/>
  <c r="Q1887" i="1"/>
  <c r="N1884" i="1" a="1"/>
  <c r="N1884" i="1"/>
  <c r="F1887" i="1" a="1"/>
  <c r="F1887" i="1"/>
  <c r="N1887" i="1" a="1"/>
  <c r="N1887" i="1" s="1"/>
  <c r="P1888" i="1" a="1"/>
  <c r="P1888" i="1" s="1"/>
  <c r="Q1888" i="1" a="1"/>
  <c r="Q1888" i="1" s="1"/>
  <c r="I1888" i="1" a="1"/>
  <c r="I1888" i="1" s="1"/>
  <c r="H1887" i="1" a="1"/>
  <c r="H1887" i="1" s="1"/>
  <c r="G1887" i="1" a="1"/>
  <c r="G1887" i="1" s="1"/>
  <c r="L1887" i="1" a="1"/>
  <c r="L1887" i="1"/>
  <c r="O1888" i="1" a="1"/>
  <c r="O1888" i="1"/>
  <c r="O1882" i="1" a="1"/>
  <c r="O1882" i="1"/>
  <c r="N1882" i="1" a="1"/>
  <c r="N1882" i="1" s="1"/>
  <c r="F1884" i="1" a="1"/>
  <c r="F1884" i="1" s="1"/>
  <c r="L1882" i="1" a="1"/>
  <c r="L1882" i="1" s="1"/>
  <c r="G1884" i="1" a="1"/>
  <c r="G1884" i="1"/>
  <c r="N1888" i="1" a="1"/>
  <c r="N1888" i="1" s="1"/>
  <c r="Q1884" i="1" a="1"/>
  <c r="Q1884" i="1" s="1"/>
  <c r="M1888" i="1" a="1"/>
  <c r="M1888" i="1"/>
  <c r="L1888" i="1" a="1"/>
  <c r="L1888" i="1" s="1"/>
  <c r="K1888" i="1" a="1"/>
  <c r="K1888" i="1" s="1"/>
  <c r="J1888" i="1" a="1"/>
  <c r="J1888" i="1" s="1"/>
  <c r="H1888" i="1" a="1"/>
  <c r="H1888" i="1" s="1"/>
  <c r="Q2310" i="1" a="1"/>
  <c r="Q2310" i="1"/>
  <c r="I2306" i="1" a="1"/>
  <c r="I2306" i="1"/>
  <c r="P2310" i="1" a="1"/>
  <c r="P2310" i="1"/>
  <c r="K2308" i="1" a="1"/>
  <c r="K2308" i="1" s="1"/>
  <c r="L2308" i="1" a="1"/>
  <c r="L2308" i="1"/>
  <c r="P2306" i="1" a="1"/>
  <c r="P2306" i="1"/>
  <c r="P2312" i="1" a="1"/>
  <c r="P2312" i="1"/>
  <c r="I2312" i="1" a="1"/>
  <c r="I2312" i="1"/>
  <c r="N2310" i="1" a="1"/>
  <c r="N2310" i="1" s="1"/>
  <c r="K2310" i="1" a="1"/>
  <c r="K2310" i="1"/>
  <c r="O2304" i="1" a="1"/>
  <c r="O2304" i="1"/>
  <c r="J2306" i="1" a="1"/>
  <c r="J2306" i="1" s="1"/>
  <c r="F2312" i="1" a="1"/>
  <c r="F2312" i="1" s="1"/>
  <c r="O2308" i="1" a="1"/>
  <c r="O2308" i="1" s="1"/>
  <c r="M2308" i="1" a="1"/>
  <c r="M2308" i="1"/>
  <c r="H2308" i="1" a="1"/>
  <c r="H2308" i="1"/>
  <c r="Q2304" i="1" a="1"/>
  <c r="Q2304" i="1"/>
  <c r="J2310" i="1" a="1"/>
  <c r="J2310" i="1"/>
  <c r="L2304" i="1" a="1"/>
  <c r="L2304" i="1" s="1"/>
  <c r="H2310" i="1" a="1"/>
  <c r="H2310" i="1" s="1"/>
  <c r="F2310" i="1" a="1"/>
  <c r="F2310" i="1" s="1"/>
  <c r="P2304" i="1" a="1"/>
  <c r="P2304" i="1"/>
  <c r="M2312" i="1" a="1"/>
  <c r="M2312" i="1" s="1"/>
  <c r="P2308" i="1" a="1"/>
  <c r="P2308" i="1"/>
  <c r="M2304" i="1" a="1"/>
  <c r="M2304" i="1" s="1"/>
  <c r="Q2308" i="1" a="1"/>
  <c r="Q2308" i="1"/>
  <c r="N2304" i="1" a="1"/>
  <c r="N2304" i="1"/>
  <c r="N2312" i="1" a="1"/>
  <c r="N2312" i="1" s="1"/>
  <c r="Q2312" i="1" a="1"/>
  <c r="Q2312" i="1"/>
  <c r="O2310" i="1" a="1"/>
  <c r="O2310" i="1"/>
  <c r="M2306" i="1" a="1"/>
  <c r="M2306" i="1"/>
  <c r="K2306" i="1" a="1"/>
  <c r="K2306" i="1"/>
  <c r="F2306" i="1" a="1"/>
  <c r="F2306" i="1" s="1"/>
  <c r="O2312" i="1" a="1"/>
  <c r="O2312" i="1"/>
  <c r="L2312" i="1" a="1"/>
  <c r="L2312" i="1"/>
  <c r="K2312" i="1" a="1"/>
  <c r="K2312" i="1"/>
  <c r="I2308" i="1" a="1"/>
  <c r="I2308" i="1" s="1"/>
  <c r="L2306" i="1" a="1"/>
  <c r="L2306" i="1" s="1"/>
  <c r="L2310" i="1" a="1"/>
  <c r="L2310" i="1"/>
  <c r="O2306" i="1" a="1"/>
  <c r="O2306" i="1" s="1"/>
  <c r="G2310" i="1" a="1"/>
  <c r="G2310" i="1" s="1"/>
  <c r="J2312" i="1" a="1"/>
  <c r="J2312" i="1" s="1"/>
  <c r="M2310" i="1" a="1"/>
  <c r="M2310" i="1" s="1"/>
  <c r="N2306" i="1" a="1"/>
  <c r="N2306" i="1"/>
  <c r="H2306" i="1" a="1"/>
  <c r="H2306" i="1"/>
  <c r="G2308" i="1" a="1"/>
  <c r="G2308" i="1"/>
  <c r="F2308" i="1" a="1"/>
  <c r="F2308" i="1"/>
  <c r="Q2306" i="1" a="1"/>
  <c r="Q2306" i="1" s="1"/>
  <c r="J2308" i="1" a="1"/>
  <c r="J2308" i="1" s="1"/>
  <c r="N2308" i="1" a="1"/>
  <c r="N2308" i="1" s="1"/>
  <c r="G2306" i="1" a="1"/>
  <c r="G2306" i="1" s="1"/>
  <c r="H2312" i="1" a="1"/>
  <c r="H2312" i="1" s="1"/>
  <c r="G2312" i="1" a="1"/>
  <c r="G2312" i="1" s="1"/>
  <c r="I2310" i="1" a="1"/>
  <c r="I2310" i="1" s="1"/>
  <c r="N2303" i="1" a="1"/>
  <c r="N2303" i="1" s="1"/>
  <c r="P2298" i="1" a="1"/>
  <c r="P2298" i="1" s="1"/>
  <c r="F2300" i="1" a="1"/>
  <c r="F2300" i="1"/>
  <c r="N2300" i="1" a="1"/>
  <c r="N2300" i="1" s="1"/>
  <c r="H2302" i="1" a="1"/>
  <c r="H2302" i="1" s="1"/>
  <c r="G2300" i="1" a="1"/>
  <c r="G2300" i="1"/>
  <c r="L2303" i="1" a="1"/>
  <c r="L2303" i="1"/>
  <c r="K2303" i="1" a="1"/>
  <c r="K2303" i="1" s="1"/>
  <c r="H2298" i="1" a="1"/>
  <c r="H2298" i="1"/>
  <c r="I2302" i="1" a="1"/>
  <c r="I2302" i="1"/>
  <c r="O2297" i="1" a="1"/>
  <c r="O2297" i="1"/>
  <c r="J2303" i="1" a="1"/>
  <c r="J2303" i="1" s="1"/>
  <c r="J2298" i="1" a="1"/>
  <c r="J2298" i="1" s="1"/>
  <c r="I2300" i="1" a="1"/>
  <c r="I2300" i="1" s="1"/>
  <c r="O2298" i="1" a="1"/>
  <c r="O2298" i="1" s="1"/>
  <c r="K2298" i="1" a="1"/>
  <c r="K2298" i="1" s="1"/>
  <c r="Q2298" i="1" a="1"/>
  <c r="Q2298" i="1" s="1"/>
  <c r="I2303" i="1" a="1"/>
  <c r="I2303" i="1"/>
  <c r="N2297" i="1" a="1"/>
  <c r="N2297" i="1" s="1"/>
  <c r="P2302" i="1" a="1"/>
  <c r="P2302" i="1"/>
  <c r="L2297" i="1" a="1"/>
  <c r="L2297" i="1"/>
  <c r="F2298" i="1" a="1"/>
  <c r="F2298" i="1"/>
  <c r="I2298" i="1" a="1"/>
  <c r="I2298" i="1" s="1"/>
  <c r="L2302" i="1" a="1"/>
  <c r="L2302" i="1" s="1"/>
  <c r="G2298" i="1" a="1"/>
  <c r="G2298" i="1" s="1"/>
  <c r="H2303" i="1" a="1"/>
  <c r="H2303" i="1" s="1"/>
  <c r="L2298" i="1" a="1"/>
  <c r="L2298" i="1" s="1"/>
  <c r="H2300" i="1" a="1"/>
  <c r="H2300" i="1" s="1"/>
  <c r="H2304" i="1" a="1"/>
  <c r="H2304" i="1" s="1"/>
  <c r="K2302" i="1" a="1"/>
  <c r="K2302" i="1" s="1"/>
  <c r="J2302" i="1" a="1"/>
  <c r="J2302" i="1"/>
  <c r="K2300" i="1" a="1"/>
  <c r="K2300" i="1"/>
  <c r="I2304" i="1" a="1"/>
  <c r="I2304" i="1" s="1"/>
  <c r="N2302" i="1" a="1"/>
  <c r="N2302" i="1"/>
  <c r="K2304" i="1" a="1"/>
  <c r="K2304" i="1" s="1"/>
  <c r="M2303" i="1" a="1"/>
  <c r="M2303" i="1" s="1"/>
  <c r="L2300" i="1" a="1"/>
  <c r="L2300" i="1" s="1"/>
  <c r="Q2300" i="1" a="1"/>
  <c r="Q2300" i="1"/>
  <c r="P2297" i="1" a="1"/>
  <c r="P2297" i="1"/>
  <c r="M2298" i="1" a="1"/>
  <c r="M2298" i="1"/>
  <c r="J2300" i="1" a="1"/>
  <c r="J2300" i="1" s="1"/>
  <c r="O2300" i="1" a="1"/>
  <c r="O2300" i="1" s="1"/>
  <c r="J2304" i="1" a="1"/>
  <c r="J2304" i="1" s="1"/>
  <c r="F2304" i="1" a="1"/>
  <c r="F2304" i="1" s="1"/>
  <c r="O2302" i="1" a="1"/>
  <c r="O2302" i="1"/>
  <c r="M2302" i="1" a="1"/>
  <c r="M2302" i="1"/>
  <c r="M2300" i="1" a="1"/>
  <c r="M2300" i="1" s="1"/>
  <c r="Q2303" i="1" a="1"/>
  <c r="Q2303" i="1" s="1"/>
  <c r="G2304" i="1" a="1"/>
  <c r="G2304" i="1" s="1"/>
  <c r="G2302" i="1" a="1"/>
  <c r="G2302" i="1" s="1"/>
  <c r="F2303" i="1" a="1"/>
  <c r="F2303" i="1"/>
  <c r="P2303" i="1" a="1"/>
  <c r="P2303" i="1" s="1"/>
  <c r="O2303" i="1" a="1"/>
  <c r="O2303" i="1" s="1"/>
  <c r="P2300" i="1" a="1"/>
  <c r="P2300" i="1" s="1"/>
  <c r="G2303" i="1" a="1"/>
  <c r="G2303" i="1" s="1"/>
  <c r="Q2302" i="1" a="1"/>
  <c r="Q2302" i="1" s="1"/>
  <c r="F2302" i="1" a="1"/>
  <c r="F2302" i="1" s="1"/>
  <c r="N2298" i="1" a="1"/>
  <c r="N2298" i="1" s="1"/>
  <c r="Q2297" i="1" a="1"/>
  <c r="Q2297" i="1"/>
  <c r="M2297" i="1" a="1"/>
  <c r="M2297" i="1"/>
  <c r="F2297" i="1" a="1"/>
  <c r="F2297" i="1"/>
  <c r="K2290" i="1" a="1"/>
  <c r="K2290" i="1"/>
  <c r="J2292" i="1" a="1"/>
  <c r="J2292" i="1" s="1"/>
  <c r="K2288" i="1" a="1"/>
  <c r="K2288" i="1" s="1"/>
  <c r="F2292" i="1" a="1"/>
  <c r="F2292" i="1" s="1"/>
  <c r="J2294" i="1" a="1"/>
  <c r="J2294" i="1" s="1"/>
  <c r="N2294" i="1" a="1"/>
  <c r="N2294" i="1"/>
  <c r="Q2288" i="1" a="1"/>
  <c r="Q2288" i="1"/>
  <c r="K2292" i="1" a="1"/>
  <c r="K2292" i="1"/>
  <c r="I2290" i="1" a="1"/>
  <c r="I2290" i="1" s="1"/>
  <c r="H2292" i="1" a="1"/>
  <c r="H2292" i="1" s="1"/>
  <c r="L2294" i="1" a="1"/>
  <c r="L2294" i="1" s="1"/>
  <c r="H2290" i="1" a="1"/>
  <c r="H2290" i="1"/>
  <c r="H2294" i="1" a="1"/>
  <c r="H2294" i="1"/>
  <c r="G2294" i="1" a="1"/>
  <c r="G2294" i="1"/>
  <c r="I2288" i="1" a="1"/>
  <c r="I2288" i="1"/>
  <c r="O2292" i="1" a="1"/>
  <c r="O2292" i="1"/>
  <c r="M2288" i="1" a="1"/>
  <c r="M2288" i="1" s="1"/>
  <c r="L2288" i="1" a="1"/>
  <c r="L2288" i="1" s="1"/>
  <c r="N2292" i="1" a="1"/>
  <c r="N2292" i="1" s="1"/>
  <c r="M2292" i="1" a="1"/>
  <c r="M2292" i="1" s="1"/>
  <c r="L2292" i="1" a="1"/>
  <c r="L2292" i="1" s="1"/>
  <c r="M2290" i="1" a="1"/>
  <c r="M2290" i="1" s="1"/>
  <c r="P2290" i="1" a="1"/>
  <c r="P2290" i="1" s="1"/>
  <c r="P2288" i="1" a="1"/>
  <c r="P2288" i="1" s="1"/>
  <c r="I2292" i="1" a="1"/>
  <c r="I2292" i="1" s="1"/>
  <c r="G2292" i="1" a="1"/>
  <c r="G2292" i="1"/>
  <c r="P2294" i="1" a="1"/>
  <c r="P2294" i="1"/>
  <c r="N2288" i="1" a="1"/>
  <c r="N2288" i="1"/>
  <c r="J2288" i="1" a="1"/>
  <c r="J2288" i="1"/>
  <c r="Q2292" i="1" a="1"/>
  <c r="Q2292" i="1"/>
  <c r="J2290" i="1" a="1"/>
  <c r="J2290" i="1"/>
  <c r="K2294" i="1" a="1"/>
  <c r="K2294" i="1"/>
  <c r="K2297" i="1" a="1"/>
  <c r="K2297" i="1" s="1"/>
  <c r="J2297" i="1" a="1"/>
  <c r="J2297" i="1" s="1"/>
  <c r="I2297" i="1" a="1"/>
  <c r="I2297" i="1"/>
  <c r="H2297" i="1" a="1"/>
  <c r="H2297" i="1"/>
  <c r="F2290" i="1" a="1"/>
  <c r="F2290" i="1"/>
  <c r="N2290" i="1" a="1"/>
  <c r="N2290" i="1" s="1"/>
  <c r="L2290" i="1" a="1"/>
  <c r="L2290" i="1" s="1"/>
  <c r="G2290" i="1" a="1"/>
  <c r="G2290" i="1"/>
  <c r="Q2290" i="1" a="1"/>
  <c r="Q2290" i="1"/>
  <c r="Q2294" i="1" a="1"/>
  <c r="Q2294" i="1"/>
  <c r="M2294" i="1" a="1"/>
  <c r="M2294" i="1"/>
  <c r="O2290" i="1" a="1"/>
  <c r="O2290" i="1"/>
  <c r="I2294" i="1" a="1"/>
  <c r="I2294" i="1"/>
  <c r="F2294" i="1" a="1"/>
  <c r="F2294" i="1"/>
  <c r="P2292" i="1" a="1"/>
  <c r="P2292" i="1"/>
  <c r="O2294" i="1" a="1"/>
  <c r="O2294" i="1" s="1"/>
  <c r="G2297" i="1" a="1"/>
  <c r="G2297" i="1" s="1"/>
  <c r="O2288" i="1" a="1"/>
  <c r="O2288" i="1" s="1"/>
  <c r="P2286" i="1" a="1"/>
  <c r="P2286" i="1" s="1"/>
  <c r="L2282" i="1" a="1"/>
  <c r="L2282" i="1" s="1"/>
  <c r="P2281" i="1" a="1"/>
  <c r="P2281" i="1" s="1"/>
  <c r="L2286" i="1" a="1"/>
  <c r="L2286" i="1" s="1"/>
  <c r="K2280" i="1" a="1"/>
  <c r="K2280" i="1"/>
  <c r="H2288" i="1" a="1"/>
  <c r="H2288" i="1"/>
  <c r="G2288" i="1" a="1"/>
  <c r="G2288" i="1"/>
  <c r="J2282" i="1" a="1"/>
  <c r="J2282" i="1"/>
  <c r="F2288" i="1" a="1"/>
  <c r="F2288" i="1"/>
  <c r="F2284" i="1" a="1"/>
  <c r="F2284" i="1"/>
  <c r="Q2286" i="1" a="1"/>
  <c r="Q2286" i="1" s="1"/>
  <c r="O2286" i="1" a="1"/>
  <c r="O2286" i="1"/>
  <c r="N2286" i="1" a="1"/>
  <c r="N2286" i="1" s="1"/>
  <c r="K2286" i="1" a="1"/>
  <c r="K2286" i="1"/>
  <c r="I2286" i="1" a="1"/>
  <c r="I2286" i="1"/>
  <c r="H2286" i="1" a="1"/>
  <c r="H2286" i="1"/>
  <c r="F2286" i="1" a="1"/>
  <c r="F2286" i="1" s="1"/>
  <c r="Q2284" i="1" a="1"/>
  <c r="Q2284" i="1" s="1"/>
  <c r="P2284" i="1" a="1"/>
  <c r="P2284" i="1" s="1"/>
  <c r="H2284" i="1" a="1"/>
  <c r="H2284" i="1"/>
  <c r="G2284" i="1" a="1"/>
  <c r="G2284" i="1"/>
  <c r="Q2281" i="1" a="1"/>
  <c r="Q2281" i="1" s="1"/>
  <c r="N2282" i="1" a="1"/>
  <c r="N2282" i="1"/>
  <c r="I2281" i="1" a="1"/>
  <c r="I2281" i="1"/>
  <c r="F2281" i="1" a="1"/>
  <c r="F2281" i="1"/>
  <c r="Q2280" i="1" a="1"/>
  <c r="Q2280" i="1" s="1"/>
  <c r="O2281" i="1" a="1"/>
  <c r="O2281" i="1"/>
  <c r="M2282" i="1" a="1"/>
  <c r="M2282" i="1" s="1"/>
  <c r="F2282" i="1" a="1"/>
  <c r="F2282" i="1" s="1"/>
  <c r="K2282" i="1" a="1"/>
  <c r="K2282" i="1" s="1"/>
  <c r="J2281" i="1" a="1"/>
  <c r="J2281" i="1" s="1"/>
  <c r="I2282" i="1" a="1"/>
  <c r="I2282" i="1" s="1"/>
  <c r="K2284" i="1" a="1"/>
  <c r="K2284" i="1" s="1"/>
  <c r="J2280" i="1" a="1"/>
  <c r="J2280" i="1" s="1"/>
  <c r="O2282" i="1" a="1"/>
  <c r="O2282" i="1" s="1"/>
  <c r="G2282" i="1" a="1"/>
  <c r="G2282" i="1"/>
  <c r="I2284" i="1" a="1"/>
  <c r="I2284" i="1" s="1"/>
  <c r="J2286" i="1" a="1"/>
  <c r="J2286" i="1" s="1"/>
  <c r="Q2282" i="1" a="1"/>
  <c r="Q2282" i="1" s="1"/>
  <c r="O2280" i="1" a="1"/>
  <c r="O2280" i="1" s="1"/>
  <c r="K2281" i="1" a="1"/>
  <c r="K2281" i="1" s="1"/>
  <c r="M2286" i="1" a="1"/>
  <c r="M2286" i="1" s="1"/>
  <c r="G2286" i="1" a="1"/>
  <c r="G2286" i="1"/>
  <c r="M2284" i="1" a="1"/>
  <c r="M2284" i="1"/>
  <c r="M2280" i="1" a="1"/>
  <c r="M2280" i="1" s="1"/>
  <c r="L2280" i="1" a="1"/>
  <c r="L2280" i="1" s="1"/>
  <c r="L2284" i="1" a="1"/>
  <c r="L2284" i="1" s="1"/>
  <c r="N2280" i="1" a="1"/>
  <c r="N2280" i="1" s="1"/>
  <c r="H2280" i="1" a="1"/>
  <c r="H2280" i="1"/>
  <c r="P2282" i="1" a="1"/>
  <c r="P2282" i="1" s="1"/>
  <c r="I2280" i="1" a="1"/>
  <c r="I2280" i="1" s="1"/>
  <c r="H2282" i="1" a="1"/>
  <c r="H2282" i="1"/>
  <c r="L2281" i="1" a="1"/>
  <c r="L2281" i="1" s="1"/>
  <c r="N2281" i="1" a="1"/>
  <c r="N2281" i="1"/>
  <c r="M2281" i="1" a="1"/>
  <c r="M2281" i="1" s="1"/>
  <c r="H2281" i="1" a="1"/>
  <c r="H2281" i="1" s="1"/>
  <c r="G2281" i="1" a="1"/>
  <c r="G2281" i="1" s="1"/>
  <c r="O2284" i="1" a="1"/>
  <c r="O2284" i="1" s="1"/>
  <c r="N2284" i="1" a="1"/>
  <c r="N2284" i="1" s="1"/>
  <c r="J2284" i="1" a="1"/>
  <c r="J2284" i="1"/>
  <c r="P2280" i="1" a="1"/>
  <c r="P2280" i="1" s="1"/>
  <c r="M2277" i="1" a="1"/>
  <c r="M2277" i="1"/>
  <c r="G2278" i="1" a="1"/>
  <c r="G2278" i="1"/>
  <c r="M2271" i="1" a="1"/>
  <c r="M2271" i="1"/>
  <c r="I2277" i="1" a="1"/>
  <c r="I2277" i="1" s="1"/>
  <c r="N2275" i="1" a="1"/>
  <c r="N2275" i="1"/>
  <c r="N2271" i="1" a="1"/>
  <c r="N2271" i="1" s="1"/>
  <c r="N2274" i="1" a="1"/>
  <c r="N2274" i="1" s="1"/>
  <c r="K2274" i="1" a="1"/>
  <c r="K2274" i="1"/>
  <c r="G2274" i="1" a="1"/>
  <c r="G2274" i="1" s="1"/>
  <c r="P2275" i="1" a="1"/>
  <c r="P2275" i="1"/>
  <c r="J2275" i="1" a="1"/>
  <c r="J2275" i="1"/>
  <c r="H2275" i="1" a="1"/>
  <c r="H2275" i="1" s="1"/>
  <c r="M2274" i="1" a="1"/>
  <c r="M2274" i="1" s="1"/>
  <c r="L2274" i="1" a="1"/>
  <c r="L2274" i="1"/>
  <c r="P2274" i="1" a="1"/>
  <c r="P2274" i="1"/>
  <c r="Q2277" i="1" a="1"/>
  <c r="Q2277" i="1"/>
  <c r="F2278" i="1" a="1"/>
  <c r="F2278" i="1"/>
  <c r="G2280" i="1" a="1"/>
  <c r="G2280" i="1"/>
  <c r="G2275" i="1" a="1"/>
  <c r="G2275" i="1" s="1"/>
  <c r="J2274" i="1" a="1"/>
  <c r="J2274" i="1"/>
  <c r="F2280" i="1" a="1"/>
  <c r="F2280" i="1"/>
  <c r="Q2278" i="1" a="1"/>
  <c r="Q2278" i="1" s="1"/>
  <c r="P2278" i="1" a="1"/>
  <c r="P2278" i="1"/>
  <c r="O2271" i="1" a="1"/>
  <c r="O2271" i="1" s="1"/>
  <c r="M2275" i="1" a="1"/>
  <c r="M2275" i="1" s="1"/>
  <c r="P2271" i="1" a="1"/>
  <c r="P2271" i="1" s="1"/>
  <c r="F2274" i="1" a="1"/>
  <c r="F2274" i="1"/>
  <c r="O2278" i="1" a="1"/>
  <c r="O2278" i="1"/>
  <c r="F2277" i="1" a="1"/>
  <c r="F2277" i="1"/>
  <c r="M2278" i="1" a="1"/>
  <c r="M2278" i="1"/>
  <c r="O2275" i="1" a="1"/>
  <c r="O2275" i="1"/>
  <c r="O2274" i="1" a="1"/>
  <c r="O2274" i="1"/>
  <c r="K2278" i="1" a="1"/>
  <c r="K2278" i="1" s="1"/>
  <c r="G2277" i="1" a="1"/>
  <c r="G2277" i="1" s="1"/>
  <c r="L2271" i="1" a="1"/>
  <c r="L2271" i="1" s="1"/>
  <c r="L2278" i="1" a="1"/>
  <c r="L2278" i="1"/>
  <c r="I2275" i="1" a="1"/>
  <c r="I2275" i="1" s="1"/>
  <c r="O2277" i="1" a="1"/>
  <c r="O2277" i="1"/>
  <c r="J2277" i="1" a="1"/>
  <c r="J2277" i="1" s="1"/>
  <c r="Q2275" i="1" a="1"/>
  <c r="Q2275" i="1" s="1"/>
  <c r="K2275" i="1" a="1"/>
  <c r="K2275" i="1" s="1"/>
  <c r="Q2274" i="1" a="1"/>
  <c r="Q2274" i="1" s="1"/>
  <c r="F2275" i="1" a="1"/>
  <c r="F2275" i="1" s="1"/>
  <c r="Q2271" i="1" a="1"/>
  <c r="Q2271" i="1"/>
  <c r="H2277" i="1" a="1"/>
  <c r="H2277" i="1"/>
  <c r="P2277" i="1" a="1"/>
  <c r="P2277" i="1" s="1"/>
  <c r="L2277" i="1" a="1"/>
  <c r="L2277" i="1" s="1"/>
  <c r="N2277" i="1" a="1"/>
  <c r="N2277" i="1"/>
  <c r="N2278" i="1" a="1"/>
  <c r="N2278" i="1" s="1"/>
  <c r="K2277" i="1" a="1"/>
  <c r="K2277" i="1" s="1"/>
  <c r="L2275" i="1" a="1"/>
  <c r="L2275" i="1"/>
  <c r="I2274" i="1" a="1"/>
  <c r="I2274" i="1" s="1"/>
  <c r="H2274" i="1" a="1"/>
  <c r="H2274" i="1" s="1"/>
  <c r="J2278" i="1" a="1"/>
  <c r="J2278" i="1" s="1"/>
  <c r="I2278" i="1" a="1"/>
  <c r="I2278" i="1"/>
  <c r="H2278" i="1" a="1"/>
  <c r="H2278" i="1"/>
  <c r="O2263" i="1" a="1"/>
  <c r="O2263" i="1"/>
  <c r="O2267" i="1" a="1"/>
  <c r="O2267" i="1"/>
  <c r="J2265" i="1" a="1"/>
  <c r="J2265" i="1"/>
  <c r="I2267" i="1" a="1"/>
  <c r="I2267" i="1" s="1"/>
  <c r="K2265" i="1" a="1"/>
  <c r="K2265" i="1"/>
  <c r="I2271" i="1" a="1"/>
  <c r="I2271" i="1"/>
  <c r="G2271" i="1" a="1"/>
  <c r="G2271" i="1"/>
  <c r="Q2269" i="1" a="1"/>
  <c r="Q2269" i="1" s="1"/>
  <c r="K2269" i="1" a="1"/>
  <c r="K2269" i="1" s="1"/>
  <c r="G2263" i="1" a="1"/>
  <c r="G2263" i="1"/>
  <c r="I2269" i="1" a="1"/>
  <c r="I2269" i="1" s="1"/>
  <c r="G2269" i="1" a="1"/>
  <c r="G2269" i="1" s="1"/>
  <c r="L2265" i="1" a="1"/>
  <c r="L2265" i="1"/>
  <c r="F2263" i="1" a="1"/>
  <c r="F2263" i="1" s="1"/>
  <c r="I2265" i="1" a="1"/>
  <c r="I2265" i="1"/>
  <c r="M2263" i="1" a="1"/>
  <c r="M2263" i="1"/>
  <c r="J2267" i="1" a="1"/>
  <c r="J2267" i="1"/>
  <c r="H2265" i="1" a="1"/>
  <c r="H2265" i="1"/>
  <c r="F2267" i="1" a="1"/>
  <c r="F2267" i="1" s="1"/>
  <c r="L2263" i="1" a="1"/>
  <c r="L2263" i="1"/>
  <c r="F2265" i="1" a="1"/>
  <c r="F2265" i="1"/>
  <c r="K2267" i="1" a="1"/>
  <c r="K2267" i="1"/>
  <c r="G2267" i="1" a="1"/>
  <c r="G2267" i="1" s="1"/>
  <c r="F2271" i="1" a="1"/>
  <c r="F2271" i="1" s="1"/>
  <c r="M2267" i="1" a="1"/>
  <c r="M2267" i="1"/>
  <c r="O2269" i="1" a="1"/>
  <c r="O2269" i="1" s="1"/>
  <c r="N2269" i="1" a="1"/>
  <c r="N2269" i="1"/>
  <c r="J2263" i="1" a="1"/>
  <c r="J2263" i="1" s="1"/>
  <c r="M2269" i="1" a="1"/>
  <c r="M2269" i="1" s="1"/>
  <c r="O2265" i="1" a="1"/>
  <c r="O2265" i="1" s="1"/>
  <c r="P2265" i="1" a="1"/>
  <c r="P2265" i="1" s="1"/>
  <c r="G2265" i="1" a="1"/>
  <c r="G2265" i="1"/>
  <c r="P2267" i="1" a="1"/>
  <c r="P2267" i="1"/>
  <c r="N2267" i="1" a="1"/>
  <c r="N2267" i="1" s="1"/>
  <c r="H2267" i="1" a="1"/>
  <c r="H2267" i="1" s="1"/>
  <c r="N2263" i="1" a="1"/>
  <c r="N2263" i="1" s="1"/>
  <c r="I2263" i="1" a="1"/>
  <c r="I2263" i="1" s="1"/>
  <c r="H2269" i="1" a="1"/>
  <c r="H2269" i="1"/>
  <c r="Q2267" i="1" a="1"/>
  <c r="Q2267" i="1" s="1"/>
  <c r="Q2265" i="1" a="1"/>
  <c r="Q2265" i="1"/>
  <c r="K2263" i="1" a="1"/>
  <c r="K2263" i="1" s="1"/>
  <c r="L2267" i="1" a="1"/>
  <c r="L2267" i="1" s="1"/>
  <c r="H2263" i="1" a="1"/>
  <c r="H2263" i="1" s="1"/>
  <c r="Q2263" i="1" a="1"/>
  <c r="Q2263" i="1"/>
  <c r="P2263" i="1" a="1"/>
  <c r="P2263" i="1"/>
  <c r="N2265" i="1" a="1"/>
  <c r="N2265" i="1"/>
  <c r="P2261" i="1" a="1"/>
  <c r="P2261" i="1"/>
  <c r="K2271" i="1" a="1"/>
  <c r="K2271" i="1" s="1"/>
  <c r="L2269" i="1" a="1"/>
  <c r="L2269" i="1"/>
  <c r="J2269" i="1" a="1"/>
  <c r="J2269" i="1"/>
  <c r="Q2261" i="1" a="1"/>
  <c r="Q2261" i="1" s="1"/>
  <c r="M2265" i="1" a="1"/>
  <c r="M2265" i="1"/>
  <c r="J2271" i="1" a="1"/>
  <c r="J2271" i="1"/>
  <c r="H2271" i="1" a="1"/>
  <c r="H2271" i="1"/>
  <c r="P2269" i="1" a="1"/>
  <c r="P2269" i="1" s="1"/>
  <c r="F2269" i="1" a="1"/>
  <c r="F2269" i="1" s="1"/>
  <c r="O2255" i="1" a="1"/>
  <c r="O2255" i="1"/>
  <c r="F2260" i="1" a="1"/>
  <c r="F2260" i="1" s="1"/>
  <c r="I2261" i="1" a="1"/>
  <c r="I2261" i="1" s="1"/>
  <c r="J2260" i="1" a="1"/>
  <c r="J2260" i="1" s="1"/>
  <c r="G2260" i="1" a="1"/>
  <c r="G2260" i="1"/>
  <c r="G2258" i="1" a="1"/>
  <c r="G2258" i="1"/>
  <c r="H2261" i="1" a="1"/>
  <c r="H2261" i="1" s="1"/>
  <c r="Q2260" i="1" a="1"/>
  <c r="Q2260" i="1" s="1"/>
  <c r="G2255" i="1" a="1"/>
  <c r="G2255" i="1" s="1"/>
  <c r="L2255" i="1" a="1"/>
  <c r="L2255" i="1"/>
  <c r="P2260" i="1" a="1"/>
  <c r="P2260" i="1" s="1"/>
  <c r="N2260" i="1" a="1"/>
  <c r="N2260" i="1"/>
  <c r="Q2258" i="1" a="1"/>
  <c r="Q2258" i="1" s="1"/>
  <c r="O2258" i="1" a="1"/>
  <c r="O2258" i="1" s="1"/>
  <c r="F2258" i="1" a="1"/>
  <c r="F2258" i="1"/>
  <c r="F2255" i="1" a="1"/>
  <c r="F2255" i="1" s="1"/>
  <c r="K2260" i="1" a="1"/>
  <c r="K2260" i="1"/>
  <c r="H2260" i="1" a="1"/>
  <c r="H2260" i="1"/>
  <c r="O2256" i="1" a="1"/>
  <c r="O2256" i="1"/>
  <c r="I2255" i="1" a="1"/>
  <c r="I2255" i="1"/>
  <c r="N2256" i="1" a="1"/>
  <c r="N2256" i="1" s="1"/>
  <c r="H2255" i="1" a="1"/>
  <c r="H2255" i="1" s="1"/>
  <c r="K2256" i="1" a="1"/>
  <c r="K2256" i="1" s="1"/>
  <c r="K2255" i="1" a="1"/>
  <c r="K2255" i="1" s="1"/>
  <c r="G2256" i="1" a="1"/>
  <c r="G2256" i="1"/>
  <c r="F2256" i="1" a="1"/>
  <c r="F2256" i="1" s="1"/>
  <c r="Q2255" i="1" a="1"/>
  <c r="Q2255" i="1" s="1"/>
  <c r="L2260" i="1" a="1"/>
  <c r="L2260" i="1" s="1"/>
  <c r="I2256" i="1" a="1"/>
  <c r="I2256" i="1" s="1"/>
  <c r="H2258" i="1" a="1"/>
  <c r="H2258" i="1" s="1"/>
  <c r="J2256" i="1" a="1"/>
  <c r="J2256" i="1" s="1"/>
  <c r="J2255" i="1" a="1"/>
  <c r="J2255" i="1" s="1"/>
  <c r="P2256" i="1" a="1"/>
  <c r="P2256" i="1" s="1"/>
  <c r="M2258" i="1" a="1"/>
  <c r="M2258" i="1"/>
  <c r="I2258" i="1" a="1"/>
  <c r="I2258" i="1"/>
  <c r="H2256" i="1" a="1"/>
  <c r="H2256" i="1" s="1"/>
  <c r="M2256" i="1" a="1"/>
  <c r="M2256" i="1"/>
  <c r="N2255" i="1" a="1"/>
  <c r="N2255" i="1" s="1"/>
  <c r="G2261" i="1" a="1"/>
  <c r="G2261" i="1" s="1"/>
  <c r="J2258" i="1" a="1"/>
  <c r="J2258" i="1"/>
  <c r="P2255" i="1" a="1"/>
  <c r="P2255" i="1" s="1"/>
  <c r="K2258" i="1" a="1"/>
  <c r="K2258" i="1" s="1"/>
  <c r="O2260" i="1" a="1"/>
  <c r="O2260" i="1" s="1"/>
  <c r="M2260" i="1" a="1"/>
  <c r="M2260" i="1"/>
  <c r="M2255" i="1" a="1"/>
  <c r="M2255" i="1" s="1"/>
  <c r="L2261" i="1" a="1"/>
  <c r="L2261" i="1"/>
  <c r="Q2256" i="1" a="1"/>
  <c r="Q2256" i="1"/>
  <c r="O2261" i="1" a="1"/>
  <c r="O2261" i="1"/>
  <c r="L2258" i="1" a="1"/>
  <c r="L2258" i="1"/>
  <c r="N2261" i="1" a="1"/>
  <c r="N2261" i="1" s="1"/>
  <c r="M2261" i="1" a="1"/>
  <c r="M2261" i="1" s="1"/>
  <c r="K2261" i="1" a="1"/>
  <c r="K2261" i="1" s="1"/>
  <c r="J2261" i="1" a="1"/>
  <c r="J2261" i="1" s="1"/>
  <c r="L2256" i="1" a="1"/>
  <c r="L2256" i="1" s="1"/>
  <c r="F2261" i="1" a="1"/>
  <c r="F2261" i="1"/>
  <c r="I2260" i="1" a="1"/>
  <c r="I2260" i="1" s="1"/>
  <c r="P2258" i="1" a="1"/>
  <c r="P2258" i="1"/>
  <c r="N2258" i="1" a="1"/>
  <c r="N2258" i="1" s="1"/>
  <c r="H2248" i="1" a="1"/>
  <c r="H2248" i="1" s="1"/>
  <c r="K2244" i="1" a="1"/>
  <c r="K2244" i="1" s="1"/>
  <c r="G2250" i="1" a="1"/>
  <c r="G2250" i="1" s="1"/>
  <c r="L2252" i="1" a="1"/>
  <c r="L2252" i="1" s="1"/>
  <c r="K2252" i="1" a="1"/>
  <c r="K2252" i="1"/>
  <c r="J2252" i="1" a="1"/>
  <c r="J2252" i="1"/>
  <c r="I2252" i="1" a="1"/>
  <c r="I2252" i="1" s="1"/>
  <c r="L2250" i="1" a="1"/>
  <c r="L2250" i="1"/>
  <c r="Q2248" i="1" a="1"/>
  <c r="Q2248" i="1" s="1"/>
  <c r="N2248" i="1" a="1"/>
  <c r="N2248" i="1"/>
  <c r="I2248" i="1" a="1"/>
  <c r="I2248" i="1" s="1"/>
  <c r="H2246" i="1" a="1"/>
  <c r="H2246" i="1" s="1"/>
  <c r="F2248" i="1" a="1"/>
  <c r="F2248" i="1" s="1"/>
  <c r="L2246" i="1" a="1"/>
  <c r="L2246" i="1" s="1"/>
  <c r="J2244" i="1" a="1"/>
  <c r="J2244" i="1"/>
  <c r="L2244" i="1" a="1"/>
  <c r="L2244" i="1" s="1"/>
  <c r="G2252" i="1" a="1"/>
  <c r="G2252" i="1"/>
  <c r="N2250" i="1" a="1"/>
  <c r="N2250" i="1"/>
  <c r="J2248" i="1" a="1"/>
  <c r="J2248" i="1"/>
  <c r="G2244" i="1" a="1"/>
  <c r="G2244" i="1"/>
  <c r="O2250" i="1" a="1"/>
  <c r="O2250" i="1" s="1"/>
  <c r="F2252" i="1" a="1"/>
  <c r="F2252" i="1" s="1"/>
  <c r="P2244" i="1" a="1"/>
  <c r="P2244" i="1" s="1"/>
  <c r="P2246" i="1" a="1"/>
  <c r="P2246" i="1" s="1"/>
  <c r="L2248" i="1" a="1"/>
  <c r="L2248" i="1"/>
  <c r="O2246" i="1" a="1"/>
  <c r="O2246" i="1" s="1"/>
  <c r="J2246" i="1" a="1"/>
  <c r="J2246" i="1" s="1"/>
  <c r="I2246" i="1" a="1"/>
  <c r="I2246" i="1" s="1"/>
  <c r="N2246" i="1" a="1"/>
  <c r="N2246" i="1" s="1"/>
  <c r="Q2244" i="1" a="1"/>
  <c r="Q2244" i="1" s="1"/>
  <c r="N2244" i="1" a="1"/>
  <c r="N2244" i="1" s="1"/>
  <c r="P2250" i="1" a="1"/>
  <c r="P2250" i="1" s="1"/>
  <c r="M2246" i="1" a="1"/>
  <c r="M2246" i="1" s="1"/>
  <c r="K2246" i="1" a="1"/>
  <c r="K2246" i="1"/>
  <c r="M2250" i="1" a="1"/>
  <c r="M2250" i="1"/>
  <c r="M2248" i="1" a="1"/>
  <c r="M2248" i="1"/>
  <c r="O2244" i="1" a="1"/>
  <c r="O2244" i="1" s="1"/>
  <c r="K2248" i="1" a="1"/>
  <c r="K2248" i="1"/>
  <c r="G2248" i="1" a="1"/>
  <c r="G2248" i="1"/>
  <c r="H2244" i="1" a="1"/>
  <c r="H2244" i="1" s="1"/>
  <c r="M2244" i="1" a="1"/>
  <c r="M2244" i="1" s="1"/>
  <c r="H2250" i="1" a="1"/>
  <c r="H2250" i="1"/>
  <c r="H2252" i="1" a="1"/>
  <c r="H2252" i="1"/>
  <c r="N2252" i="1" a="1"/>
  <c r="N2252" i="1"/>
  <c r="J2250" i="1" a="1"/>
  <c r="J2250" i="1" s="1"/>
  <c r="F2250" i="1" a="1"/>
  <c r="F2250" i="1"/>
  <c r="O2248" i="1" a="1"/>
  <c r="O2248" i="1"/>
  <c r="G2246" i="1" a="1"/>
  <c r="G2246" i="1"/>
  <c r="F2246" i="1" a="1"/>
  <c r="F2246" i="1"/>
  <c r="P2248" i="1" a="1"/>
  <c r="P2248" i="1"/>
  <c r="O2252" i="1" a="1"/>
  <c r="O2252" i="1"/>
  <c r="Q2252" i="1" a="1"/>
  <c r="Q2252" i="1" s="1"/>
  <c r="I2250" i="1" a="1"/>
  <c r="I2250" i="1"/>
  <c r="P2252" i="1" a="1"/>
  <c r="P2252" i="1" s="1"/>
  <c r="Q2246" i="1" a="1"/>
  <c r="Q2246" i="1" s="1"/>
  <c r="Q2250" i="1" a="1"/>
  <c r="Q2250" i="1" s="1"/>
  <c r="M2252" i="1" a="1"/>
  <c r="M2252" i="1"/>
  <c r="K2250" i="1" a="1"/>
  <c r="K2250" i="1" s="1"/>
  <c r="I2244" i="1" a="1"/>
  <c r="I2244" i="1" s="1"/>
  <c r="J2239" i="1" a="1"/>
  <c r="J2239" i="1" s="1"/>
  <c r="H2239" i="1" a="1"/>
  <c r="H2239" i="1" s="1"/>
  <c r="L2237" i="1" a="1"/>
  <c r="L2237" i="1" s="1"/>
  <c r="M2236" i="1" a="1"/>
  <c r="M2236" i="1"/>
  <c r="G2236" i="1" a="1"/>
  <c r="G2236" i="1"/>
  <c r="I2242" i="1" a="1"/>
  <c r="I2242" i="1" s="1"/>
  <c r="H2242" i="1" a="1"/>
  <c r="H2242" i="1" s="1"/>
  <c r="H2241" i="1" a="1"/>
  <c r="H2241" i="1" s="1"/>
  <c r="O2239" i="1" a="1"/>
  <c r="O2239" i="1" s="1"/>
  <c r="H2236" i="1" a="1"/>
  <c r="H2236" i="1" s="1"/>
  <c r="J2241" i="1" a="1"/>
  <c r="J2241" i="1"/>
  <c r="K2239" i="1" a="1"/>
  <c r="K2239" i="1"/>
  <c r="I2241" i="1" a="1"/>
  <c r="I2241" i="1" s="1"/>
  <c r="Q2239" i="1" a="1"/>
  <c r="Q2239" i="1"/>
  <c r="P2239" i="1" a="1"/>
  <c r="P2239" i="1" s="1"/>
  <c r="G2237" i="1" a="1"/>
  <c r="G2237" i="1"/>
  <c r="N2236" i="1" a="1"/>
  <c r="N2236" i="1"/>
  <c r="F2237" i="1" a="1"/>
  <c r="F2237" i="1"/>
  <c r="P2242" i="1" a="1"/>
  <c r="P2242" i="1"/>
  <c r="Q2237" i="1" a="1"/>
  <c r="Q2237" i="1"/>
  <c r="G2239" i="1" a="1"/>
  <c r="G2239" i="1" s="1"/>
  <c r="N2242" i="1" a="1"/>
  <c r="N2242" i="1" s="1"/>
  <c r="G2241" i="1" a="1"/>
  <c r="G2241" i="1" s="1"/>
  <c r="N2239" i="1" a="1"/>
  <c r="N2239" i="1"/>
  <c r="M2242" i="1" a="1"/>
  <c r="M2242" i="1" s="1"/>
  <c r="L2242" i="1" a="1"/>
  <c r="L2242" i="1"/>
  <c r="K2242" i="1" a="1"/>
  <c r="K2242" i="1"/>
  <c r="J2242" i="1" a="1"/>
  <c r="J2242" i="1" s="1"/>
  <c r="I2237" i="1" a="1"/>
  <c r="I2237" i="1" s="1"/>
  <c r="P2236" i="1" a="1"/>
  <c r="P2236" i="1" s="1"/>
  <c r="K2236" i="1" a="1"/>
  <c r="K2236" i="1" s="1"/>
  <c r="J2236" i="1" a="1"/>
  <c r="J2236" i="1" s="1"/>
  <c r="I2236" i="1" a="1"/>
  <c r="I2236" i="1"/>
  <c r="Q2236" i="1" a="1"/>
  <c r="Q2236" i="1" s="1"/>
  <c r="G2242" i="1" a="1"/>
  <c r="G2242" i="1" s="1"/>
  <c r="O2236" i="1" a="1"/>
  <c r="O2236" i="1" s="1"/>
  <c r="L2236" i="1" a="1"/>
  <c r="L2236" i="1" s="1"/>
  <c r="F2242" i="1" a="1"/>
  <c r="F2242" i="1" s="1"/>
  <c r="Q2241" i="1" a="1"/>
  <c r="Q2241" i="1" s="1"/>
  <c r="J2237" i="1" a="1"/>
  <c r="J2237" i="1" s="1"/>
  <c r="P2241" i="1" a="1"/>
  <c r="P2241" i="1"/>
  <c r="F2239" i="1" a="1"/>
  <c r="F2239" i="1" s="1"/>
  <c r="H2237" i="1" a="1"/>
  <c r="H2237" i="1"/>
  <c r="M2237" i="1" a="1"/>
  <c r="M2237" i="1" s="1"/>
  <c r="M2241" i="1" a="1"/>
  <c r="M2241" i="1"/>
  <c r="O2241" i="1" a="1"/>
  <c r="O2241" i="1"/>
  <c r="O2237" i="1" a="1"/>
  <c r="O2237" i="1"/>
  <c r="L2241" i="1" a="1"/>
  <c r="L2241" i="1"/>
  <c r="K2237" i="1" a="1"/>
  <c r="K2237" i="1" s="1"/>
  <c r="K2241" i="1" a="1"/>
  <c r="K2241" i="1" s="1"/>
  <c r="P2237" i="1" a="1"/>
  <c r="P2237" i="1" s="1"/>
  <c r="F2241" i="1" a="1"/>
  <c r="F2241" i="1"/>
  <c r="N2241" i="1" a="1"/>
  <c r="N2241" i="1" s="1"/>
  <c r="M2239" i="1" a="1"/>
  <c r="M2239" i="1" s="1"/>
  <c r="I2239" i="1" a="1"/>
  <c r="I2239" i="1" s="1"/>
  <c r="N2237" i="1" a="1"/>
  <c r="N2237" i="1" s="1"/>
  <c r="F2244" i="1" a="1"/>
  <c r="F2244" i="1" s="1"/>
  <c r="L2239" i="1" a="1"/>
  <c r="L2239" i="1"/>
  <c r="Q2242" i="1" a="1"/>
  <c r="Q2242" i="1" s="1"/>
  <c r="O2242" i="1" a="1"/>
  <c r="O2242" i="1" s="1"/>
  <c r="F2236" i="1" a="1"/>
  <c r="F2236" i="1" s="1"/>
  <c r="I1871" i="1" a="1"/>
  <c r="I1871" i="1"/>
  <c r="G1871" i="1" a="1"/>
  <c r="G1871" i="1"/>
  <c r="M1870" i="1" a="1"/>
  <c r="M1870" i="1" s="1"/>
  <c r="L1867" i="1" a="1"/>
  <c r="L1867" i="1" s="1"/>
  <c r="Q1870" i="1" a="1"/>
  <c r="Q1870" i="1" s="1"/>
  <c r="H1868" i="1" a="1"/>
  <c r="H1868" i="1" s="1"/>
  <c r="P1870" i="1" a="1"/>
  <c r="P1870" i="1" s="1"/>
  <c r="J1870" i="1" a="1"/>
  <c r="J1870" i="1" s="1"/>
  <c r="O1870" i="1" a="1"/>
  <c r="O1870" i="1"/>
  <c r="N1868" i="1" a="1"/>
  <c r="N1868" i="1"/>
  <c r="O1867" i="1" a="1"/>
  <c r="O1867" i="1"/>
  <c r="K1870" i="1" a="1"/>
  <c r="K1870" i="1" s="1"/>
  <c r="G1867" i="1" a="1"/>
  <c r="G1867" i="1"/>
  <c r="I1870" i="1" a="1"/>
  <c r="I1870" i="1"/>
  <c r="F1870" i="1" a="1"/>
  <c r="F1870" i="1"/>
  <c r="J1868" i="1" a="1"/>
  <c r="J1868" i="1"/>
  <c r="I1867" i="1" a="1"/>
  <c r="I1867" i="1"/>
  <c r="Q1868" i="1" a="1"/>
  <c r="Q1868" i="1" s="1"/>
  <c r="M1868" i="1" a="1"/>
  <c r="M1868" i="1" s="1"/>
  <c r="I1868" i="1" a="1"/>
  <c r="I1868" i="1" s="1"/>
  <c r="F1867" i="1" a="1"/>
  <c r="F1867" i="1" s="1"/>
  <c r="P1865" i="1" a="1"/>
  <c r="P1865" i="1" s="1"/>
  <c r="H1871" i="1" a="1"/>
  <c r="H1871" i="1" s="1"/>
  <c r="F1871" i="1" a="1"/>
  <c r="F1871" i="1"/>
  <c r="G1870" i="1" a="1"/>
  <c r="G1870" i="1"/>
  <c r="O1868" i="1" a="1"/>
  <c r="O1868" i="1"/>
  <c r="N1871" i="1" a="1"/>
  <c r="N1871" i="1" s="1"/>
  <c r="L1870" i="1" a="1"/>
  <c r="L1870" i="1" s="1"/>
  <c r="H1870" i="1" a="1"/>
  <c r="H1870" i="1" s="1"/>
  <c r="M1867" i="1" a="1"/>
  <c r="M1867" i="1"/>
  <c r="O1865" i="1" a="1"/>
  <c r="O1865" i="1" s="1"/>
  <c r="K1868" i="1" a="1"/>
  <c r="K1868" i="1" s="1"/>
  <c r="G1868" i="1" a="1"/>
  <c r="G1868" i="1" s="1"/>
  <c r="P1867" i="1" a="1"/>
  <c r="P1867" i="1"/>
  <c r="K1867" i="1" a="1"/>
  <c r="K1867" i="1" s="1"/>
  <c r="J1867" i="1" a="1"/>
  <c r="J1867" i="1" s="1"/>
  <c r="Q1865" i="1" a="1"/>
  <c r="Q1865" i="1" s="1"/>
  <c r="P1868" i="1" a="1"/>
  <c r="P1868" i="1" s="1"/>
  <c r="N1870" i="1" a="1"/>
  <c r="N1870" i="1"/>
  <c r="F1872" i="1" a="1"/>
  <c r="F1872" i="1"/>
  <c r="L1871" i="1" a="1"/>
  <c r="L1871" i="1" s="1"/>
  <c r="Q1871" i="1" a="1"/>
  <c r="Q1871" i="1"/>
  <c r="P1871" i="1" a="1"/>
  <c r="P1871" i="1"/>
  <c r="F1868" i="1" a="1"/>
  <c r="F1868" i="1" s="1"/>
  <c r="O1871" i="1" a="1"/>
  <c r="O1871" i="1"/>
  <c r="H1867" i="1" a="1"/>
  <c r="H1867" i="1" s="1"/>
  <c r="L1868" i="1" a="1"/>
  <c r="L1868" i="1" s="1"/>
  <c r="N1867" i="1" a="1"/>
  <c r="N1867" i="1" s="1"/>
  <c r="M1871" i="1" a="1"/>
  <c r="M1871" i="1"/>
  <c r="K1871" i="1" a="1"/>
  <c r="K1871" i="1"/>
  <c r="Q1867" i="1" a="1"/>
  <c r="Q1867" i="1" s="1"/>
  <c r="J1871" i="1" a="1"/>
  <c r="J1871" i="1"/>
  <c r="H1861" i="1" a="1"/>
  <c r="H1861" i="1" s="1"/>
  <c r="G1861" i="1" a="1"/>
  <c r="G1861" i="1"/>
  <c r="M1859" i="1" a="1"/>
  <c r="M1859" i="1" s="1"/>
  <c r="P1859" i="1" a="1"/>
  <c r="P1859" i="1" s="1"/>
  <c r="I1859" i="1" a="1"/>
  <c r="I1859" i="1" s="1"/>
  <c r="N1865" i="1" a="1"/>
  <c r="N1865" i="1" s="1"/>
  <c r="M1865" i="1" a="1"/>
  <c r="M1865" i="1"/>
  <c r="J1865" i="1" a="1"/>
  <c r="J1865" i="1" s="1"/>
  <c r="H1864" i="1" a="1"/>
  <c r="H1864" i="1" s="1"/>
  <c r="I1865" i="1" a="1"/>
  <c r="I1865" i="1" s="1"/>
  <c r="F1861" i="1" a="1"/>
  <c r="F1861" i="1" s="1"/>
  <c r="O1864" i="1" a="1"/>
  <c r="O1864" i="1" s="1"/>
  <c r="N1864" i="1" a="1"/>
  <c r="N1864" i="1"/>
  <c r="K1864" i="1" a="1"/>
  <c r="K1864" i="1" s="1"/>
  <c r="O1861" i="1" a="1"/>
  <c r="O1861" i="1" s="1"/>
  <c r="N1859" i="1" a="1"/>
  <c r="N1859" i="1"/>
  <c r="Q1859" i="1" a="1"/>
  <c r="Q1859" i="1" s="1"/>
  <c r="Q1864" i="1" a="1"/>
  <c r="Q1864" i="1" s="1"/>
  <c r="L1861" i="1" a="1"/>
  <c r="L1861" i="1"/>
  <c r="G1864" i="1" a="1"/>
  <c r="G1864" i="1"/>
  <c r="L1864" i="1" a="1"/>
  <c r="L1864" i="1" s="1"/>
  <c r="P1861" i="1" a="1"/>
  <c r="P1861" i="1" s="1"/>
  <c r="I1861" i="1" a="1"/>
  <c r="I1861" i="1"/>
  <c r="M1861" i="1" a="1"/>
  <c r="M1861" i="1" s="1"/>
  <c r="L1859" i="1" a="1"/>
  <c r="L1859" i="1"/>
  <c r="O1859" i="1" a="1"/>
  <c r="O1859" i="1"/>
  <c r="H1865" i="1" a="1"/>
  <c r="H1865" i="1" s="1"/>
  <c r="P1864" i="1" a="1"/>
  <c r="P1864" i="1" s="1"/>
  <c r="F1859" i="1" a="1"/>
  <c r="F1859" i="1"/>
  <c r="H1859" i="1" a="1"/>
  <c r="H1859" i="1"/>
  <c r="K1859" i="1" a="1"/>
  <c r="K1859" i="1" s="1"/>
  <c r="J1864" i="1" a="1"/>
  <c r="J1864" i="1" s="1"/>
  <c r="J1861" i="1" a="1"/>
  <c r="J1861" i="1" s="1"/>
  <c r="J1859" i="1" a="1"/>
  <c r="J1859" i="1" s="1"/>
  <c r="L1865" i="1" a="1"/>
  <c r="L1865" i="1" s="1"/>
  <c r="I1864" i="1" a="1"/>
  <c r="I1864" i="1" s="1"/>
  <c r="G1859" i="1" a="1"/>
  <c r="G1859" i="1" s="1"/>
  <c r="K1865" i="1" a="1"/>
  <c r="K1865" i="1"/>
  <c r="G1865" i="1" a="1"/>
  <c r="G1865" i="1"/>
  <c r="F1865" i="1" a="1"/>
  <c r="F1865" i="1" s="1"/>
  <c r="M1864" i="1" a="1"/>
  <c r="M1864" i="1"/>
  <c r="F1864" i="1" a="1"/>
  <c r="F1864" i="1"/>
  <c r="Q1861" i="1" a="1"/>
  <c r="Q1861" i="1" s="1"/>
  <c r="N1861" i="1" a="1"/>
  <c r="N1861" i="1" s="1"/>
  <c r="K1861" i="1" a="1"/>
  <c r="K1861" i="1" s="1"/>
  <c r="G1857" i="1" a="1"/>
  <c r="G1857" i="1" s="1"/>
  <c r="P1855" i="1" a="1"/>
  <c r="P1855" i="1" s="1"/>
  <c r="O1855" i="1" a="1"/>
  <c r="O1855" i="1"/>
  <c r="N1853" i="1" a="1"/>
  <c r="N1853" i="1"/>
  <c r="K1855" i="1" a="1"/>
  <c r="K1855" i="1" s="1"/>
  <c r="M1855" i="1" a="1"/>
  <c r="M1855" i="1"/>
  <c r="L1855" i="1" a="1"/>
  <c r="L1855" i="1" s="1"/>
  <c r="I1855" i="1" a="1"/>
  <c r="I1855" i="1"/>
  <c r="J1853" i="1" a="1"/>
  <c r="J1853" i="1"/>
  <c r="P1853" i="1" a="1"/>
  <c r="P1853" i="1" s="1"/>
  <c r="O1851" i="1" a="1"/>
  <c r="O1851" i="1"/>
  <c r="Q1853" i="1" a="1"/>
  <c r="Q1853" i="1"/>
  <c r="L1851" i="1" a="1"/>
  <c r="L1851" i="1" s="1"/>
  <c r="Q1851" i="1" a="1"/>
  <c r="Q1851" i="1" s="1"/>
  <c r="O1853" i="1" a="1"/>
  <c r="O1853" i="1" s="1"/>
  <c r="J1855" i="1" a="1"/>
  <c r="J1855" i="1"/>
  <c r="K1853" i="1" a="1"/>
  <c r="K1853" i="1" s="1"/>
  <c r="I1853" i="1" a="1"/>
  <c r="I1853" i="1" s="1"/>
  <c r="N1851" i="1" a="1"/>
  <c r="N1851" i="1" s="1"/>
  <c r="H1853" i="1" a="1"/>
  <c r="H1853" i="1" s="1"/>
  <c r="G1855" i="1" a="1"/>
  <c r="G1855" i="1" s="1"/>
  <c r="Q1857" i="1" a="1"/>
  <c r="Q1857" i="1" s="1"/>
  <c r="P1857" i="1" a="1"/>
  <c r="P1857" i="1" s="1"/>
  <c r="O1857" i="1" a="1"/>
  <c r="O1857" i="1"/>
  <c r="H1857" i="1" a="1"/>
  <c r="H1857" i="1" s="1"/>
  <c r="M1853" i="1" a="1"/>
  <c r="M1853" i="1" s="1"/>
  <c r="N1857" i="1" a="1"/>
  <c r="N1857" i="1"/>
  <c r="M1857" i="1" a="1"/>
  <c r="M1857" i="1"/>
  <c r="L1857" i="1" a="1"/>
  <c r="L1857" i="1"/>
  <c r="F1857" i="1" a="1"/>
  <c r="F1857" i="1" s="1"/>
  <c r="L1853" i="1" a="1"/>
  <c r="L1853" i="1" s="1"/>
  <c r="G1853" i="1" a="1"/>
  <c r="G1853" i="1"/>
  <c r="Q1855" i="1" a="1"/>
  <c r="Q1855" i="1" s="1"/>
  <c r="F1855" i="1" a="1"/>
  <c r="F1855" i="1" s="1"/>
  <c r="H1855" i="1" a="1"/>
  <c r="H1855" i="1"/>
  <c r="F1853" i="1" a="1"/>
  <c r="F1853" i="1"/>
  <c r="P1851" i="1" a="1"/>
  <c r="P1851" i="1"/>
  <c r="M1851" i="1" a="1"/>
  <c r="M1851" i="1" s="1"/>
  <c r="K1857" i="1" a="1"/>
  <c r="K1857" i="1"/>
  <c r="J1857" i="1" a="1"/>
  <c r="J1857" i="1" s="1"/>
  <c r="I1857" i="1" a="1"/>
  <c r="I1857" i="1"/>
  <c r="N1855" i="1" a="1"/>
  <c r="N1855" i="1"/>
  <c r="K1851" i="1" a="1"/>
  <c r="K1851" i="1" s="1"/>
  <c r="M1850" i="1" a="1"/>
  <c r="M1850" i="1" s="1"/>
  <c r="O1848" i="1" a="1"/>
  <c r="O1848" i="1" s="1"/>
  <c r="Q1848" i="1" a="1"/>
  <c r="Q1848" i="1" s="1"/>
  <c r="K1848" i="1" a="1"/>
  <c r="K1848" i="1" s="1"/>
  <c r="N1846" i="1" a="1"/>
  <c r="N1846" i="1"/>
  <c r="N1848" i="1" a="1"/>
  <c r="N1848" i="1" s="1"/>
  <c r="H1848" i="1" a="1"/>
  <c r="H1848" i="1" s="1"/>
  <c r="G1846" i="1" a="1"/>
  <c r="G1846" i="1" s="1"/>
  <c r="F1846" i="1" a="1"/>
  <c r="F1846" i="1" s="1"/>
  <c r="M1846" i="1" a="1"/>
  <c r="M1846" i="1"/>
  <c r="H1846" i="1" a="1"/>
  <c r="H1846" i="1" s="1"/>
  <c r="I1846" i="1" a="1"/>
  <c r="I1846" i="1"/>
  <c r="N1850" i="1" a="1"/>
  <c r="N1850" i="1" s="1"/>
  <c r="L1850" i="1" a="1"/>
  <c r="L1850" i="1" s="1"/>
  <c r="J1850" i="1" a="1"/>
  <c r="J1850" i="1"/>
  <c r="I1850" i="1" a="1"/>
  <c r="I1850" i="1"/>
  <c r="P1848" i="1" a="1"/>
  <c r="P1848" i="1" s="1"/>
  <c r="K1846" i="1" a="1"/>
  <c r="K1846" i="1" s="1"/>
  <c r="L1848" i="1" a="1"/>
  <c r="L1848" i="1" s="1"/>
  <c r="G1848" i="1" a="1"/>
  <c r="G1848" i="1" s="1"/>
  <c r="G1850" i="1" a="1"/>
  <c r="G1850" i="1"/>
  <c r="M1848" i="1" a="1"/>
  <c r="M1848" i="1" s="1"/>
  <c r="I1848" i="1" a="1"/>
  <c r="I1848" i="1" s="1"/>
  <c r="F1848" i="1" a="1"/>
  <c r="F1848" i="1" s="1"/>
  <c r="M1845" i="1" a="1"/>
  <c r="M1845" i="1" s="1"/>
  <c r="Q1846" i="1" a="1"/>
  <c r="Q1846" i="1"/>
  <c r="Q1845" i="1" a="1"/>
  <c r="Q1845" i="1" s="1"/>
  <c r="J1848" i="1" a="1"/>
  <c r="J1848" i="1"/>
  <c r="P1846" i="1" a="1"/>
  <c r="P1846" i="1" s="1"/>
  <c r="J1846" i="1" a="1"/>
  <c r="J1846" i="1" s="1"/>
  <c r="P1845" i="1" a="1"/>
  <c r="P1845" i="1"/>
  <c r="L1845" i="1" a="1"/>
  <c r="L1845" i="1" s="1"/>
  <c r="K1850" i="1" a="1"/>
  <c r="K1850" i="1"/>
  <c r="H1850" i="1" a="1"/>
  <c r="H1850" i="1"/>
  <c r="J1851" i="1" a="1"/>
  <c r="J1851" i="1" s="1"/>
  <c r="I1851" i="1" a="1"/>
  <c r="I1851" i="1" s="1"/>
  <c r="H1851" i="1" a="1"/>
  <c r="H1851" i="1"/>
  <c r="F1850" i="1" a="1"/>
  <c r="F1850" i="1" s="1"/>
  <c r="N1845" i="1" a="1"/>
  <c r="N1845" i="1" s="1"/>
  <c r="G1851" i="1" a="1"/>
  <c r="G1851" i="1" s="1"/>
  <c r="O1846" i="1" a="1"/>
  <c r="O1846" i="1"/>
  <c r="O1845" i="1" a="1"/>
  <c r="O1845" i="1" s="1"/>
  <c r="F1851" i="1" a="1"/>
  <c r="F1851" i="1"/>
  <c r="Q1850" i="1" a="1"/>
  <c r="Q1850" i="1" s="1"/>
  <c r="P1850" i="1" a="1"/>
  <c r="P1850" i="1" s="1"/>
  <c r="L1846" i="1" a="1"/>
  <c r="L1846" i="1" s="1"/>
  <c r="O1850" i="1" a="1"/>
  <c r="O1850" i="1" s="1"/>
  <c r="L1838" i="1" a="1"/>
  <c r="L1838" i="1" s="1"/>
  <c r="J1840" i="1" a="1"/>
  <c r="J1840" i="1" s="1"/>
  <c r="L1840" i="1" a="1"/>
  <c r="L1840" i="1"/>
  <c r="I1845" i="1" a="1"/>
  <c r="I1845" i="1" s="1"/>
  <c r="M1842" i="1" a="1"/>
  <c r="M1842" i="1"/>
  <c r="M1840" i="1" a="1"/>
  <c r="M1840" i="1" s="1"/>
  <c r="J1842" i="1" a="1"/>
  <c r="J1842" i="1" s="1"/>
  <c r="J1838" i="1" a="1"/>
  <c r="J1838" i="1" s="1"/>
  <c r="Q1842" i="1" a="1"/>
  <c r="Q1842" i="1" s="1"/>
  <c r="F1842" i="1" a="1"/>
  <c r="F1842" i="1" s="1"/>
  <c r="P1840" i="1" a="1"/>
  <c r="P1840" i="1" s="1"/>
  <c r="H1840" i="1" a="1"/>
  <c r="H1840" i="1"/>
  <c r="P1838" i="1" a="1"/>
  <c r="P1838" i="1" s="1"/>
  <c r="G1838" i="1" a="1"/>
  <c r="G1838" i="1" s="1"/>
  <c r="Q1840" i="1" a="1"/>
  <c r="Q1840" i="1"/>
  <c r="N1838" i="1" a="1"/>
  <c r="N1838" i="1"/>
  <c r="K1842" i="1" a="1"/>
  <c r="K1842" i="1" s="1"/>
  <c r="K1840" i="1" a="1"/>
  <c r="K1840" i="1"/>
  <c r="P1842" i="1" a="1"/>
  <c r="P1842" i="1" s="1"/>
  <c r="H1845" i="1" a="1"/>
  <c r="H1845" i="1"/>
  <c r="G1845" i="1" a="1"/>
  <c r="G1845" i="1" s="1"/>
  <c r="H1842" i="1" a="1"/>
  <c r="H1842" i="1"/>
  <c r="F1845" i="1" a="1"/>
  <c r="F1845" i="1"/>
  <c r="M1838" i="1" a="1"/>
  <c r="M1838" i="1"/>
  <c r="G1840" i="1" a="1"/>
  <c r="G1840" i="1"/>
  <c r="F1840" i="1" a="1"/>
  <c r="F1840" i="1" s="1"/>
  <c r="H1838" i="1" a="1"/>
  <c r="H1838" i="1" s="1"/>
  <c r="I1838" i="1" a="1"/>
  <c r="I1838" i="1"/>
  <c r="K1838" i="1" a="1"/>
  <c r="K1838" i="1" s="1"/>
  <c r="O1842" i="1" a="1"/>
  <c r="O1842" i="1" s="1"/>
  <c r="N1842" i="1" a="1"/>
  <c r="N1842" i="1" s="1"/>
  <c r="L1842" i="1" a="1"/>
  <c r="L1842" i="1"/>
  <c r="I1842" i="1" a="1"/>
  <c r="I1842" i="1"/>
  <c r="O1840" i="1" a="1"/>
  <c r="O1840" i="1"/>
  <c r="I1840" i="1" a="1"/>
  <c r="I1840" i="1" s="1"/>
  <c r="Q1838" i="1" a="1"/>
  <c r="Q1838" i="1"/>
  <c r="F1838" i="1" a="1"/>
  <c r="F1838" i="1"/>
  <c r="K1845" i="1" a="1"/>
  <c r="K1845" i="1" s="1"/>
  <c r="J1845" i="1" a="1"/>
  <c r="J1845" i="1"/>
  <c r="G1842" i="1" a="1"/>
  <c r="G1842" i="1"/>
  <c r="N1840" i="1" a="1"/>
  <c r="N1840" i="1" s="1"/>
  <c r="O1838" i="1" a="1"/>
  <c r="O1838" i="1" s="1"/>
  <c r="N1836" i="1" a="1"/>
  <c r="N1836" i="1" s="1"/>
  <c r="M1836" i="1" a="1"/>
  <c r="M1836" i="1"/>
  <c r="N1834" i="1" a="1"/>
  <c r="N1834" i="1" s="1"/>
  <c r="I1834" i="1" a="1"/>
  <c r="I1834" i="1" s="1"/>
  <c r="L1832" i="1" a="1"/>
  <c r="L1832" i="1"/>
  <c r="N1831" i="1" a="1"/>
  <c r="N1831" i="1"/>
  <c r="F1836" i="1" a="1"/>
  <c r="F1836" i="1" s="1"/>
  <c r="P1834" i="1" a="1"/>
  <c r="P1834" i="1"/>
  <c r="H1832" i="1" a="1"/>
  <c r="H1832" i="1" s="1"/>
  <c r="G1831" i="1" a="1"/>
  <c r="G1831" i="1"/>
  <c r="L1834" i="1" a="1"/>
  <c r="L1834" i="1" s="1"/>
  <c r="J1834" i="1" a="1"/>
  <c r="J1834" i="1" s="1"/>
  <c r="Q1829" i="1" a="1"/>
  <c r="Q1829" i="1" s="1"/>
  <c r="L1836" i="1" a="1"/>
  <c r="L1836" i="1" s="1"/>
  <c r="K1831" i="1" a="1"/>
  <c r="K1831" i="1" s="1"/>
  <c r="Q1831" i="1" a="1"/>
  <c r="Q1831" i="1" s="1"/>
  <c r="K1836" i="1" a="1"/>
  <c r="K1836" i="1" s="1"/>
  <c r="J1836" i="1" a="1"/>
  <c r="J1836" i="1" s="1"/>
  <c r="O1834" i="1" a="1"/>
  <c r="O1834" i="1"/>
  <c r="G1834" i="1" a="1"/>
  <c r="G1834" i="1" s="1"/>
  <c r="M1831" i="1" a="1"/>
  <c r="M1831" i="1"/>
  <c r="M1834" i="1" a="1"/>
  <c r="M1834" i="1"/>
  <c r="I1832" i="1" a="1"/>
  <c r="I1832" i="1"/>
  <c r="P1831" i="1" a="1"/>
  <c r="P1831" i="1"/>
  <c r="O1831" i="1" a="1"/>
  <c r="O1831" i="1" s="1"/>
  <c r="I1836" i="1" a="1"/>
  <c r="I1836" i="1"/>
  <c r="F1832" i="1" a="1"/>
  <c r="F1832" i="1" s="1"/>
  <c r="N1832" i="1" a="1"/>
  <c r="N1832" i="1" s="1"/>
  <c r="P1829" i="1" a="1"/>
  <c r="P1829" i="1" s="1"/>
  <c r="O1829" i="1" a="1"/>
  <c r="O1829" i="1" s="1"/>
  <c r="I1831" i="1" a="1"/>
  <c r="I1831" i="1"/>
  <c r="H1836" i="1" a="1"/>
  <c r="H1836" i="1" s="1"/>
  <c r="G1836" i="1" a="1"/>
  <c r="G1836" i="1" s="1"/>
  <c r="Q1834" i="1" a="1"/>
  <c r="Q1834" i="1"/>
  <c r="F1834" i="1" a="1"/>
  <c r="F1834" i="1"/>
  <c r="N1829" i="1" a="1"/>
  <c r="N1829" i="1" s="1"/>
  <c r="L1831" i="1" a="1"/>
  <c r="L1831" i="1"/>
  <c r="H1831" i="1" a="1"/>
  <c r="H1831" i="1"/>
  <c r="J1832" i="1" a="1"/>
  <c r="J1832" i="1" s="1"/>
  <c r="F1831" i="1" a="1"/>
  <c r="F1831" i="1" s="1"/>
  <c r="Q1832" i="1" a="1"/>
  <c r="Q1832" i="1" s="1"/>
  <c r="G1832" i="1" a="1"/>
  <c r="G1832" i="1"/>
  <c r="K1834" i="1" a="1"/>
  <c r="K1834" i="1"/>
  <c r="O1832" i="1" a="1"/>
  <c r="O1832" i="1"/>
  <c r="J1831" i="1" a="1"/>
  <c r="J1831" i="1" s="1"/>
  <c r="M1832" i="1" a="1"/>
  <c r="M1832" i="1" s="1"/>
  <c r="P1832" i="1" a="1"/>
  <c r="P1832" i="1" s="1"/>
  <c r="K1832" i="1" a="1"/>
  <c r="K1832" i="1"/>
  <c r="H1834" i="1" a="1"/>
  <c r="H1834" i="1"/>
  <c r="Q1836" i="1" a="1"/>
  <c r="Q1836" i="1" s="1"/>
  <c r="P1836" i="1" a="1"/>
  <c r="P1836" i="1"/>
  <c r="O1836" i="1" a="1"/>
  <c r="O1836" i="1" s="1"/>
  <c r="M1827" i="1" a="1"/>
  <c r="M1827" i="1"/>
  <c r="L1827" i="1" a="1"/>
  <c r="L1827" i="1"/>
  <c r="K1827" i="1" a="1"/>
  <c r="K1827" i="1" s="1"/>
  <c r="J1827" i="1" a="1"/>
  <c r="J1827" i="1" s="1"/>
  <c r="I1827" i="1" a="1"/>
  <c r="I1827" i="1" s="1"/>
  <c r="G1827" i="1" a="1"/>
  <c r="G1827" i="1" s="1"/>
  <c r="Q1826" i="1" a="1"/>
  <c r="Q1826" i="1" s="1"/>
  <c r="O1826" i="1" a="1"/>
  <c r="O1826" i="1"/>
  <c r="H1827" i="1" a="1"/>
  <c r="H1827" i="1" s="1"/>
  <c r="K1826" i="1" a="1"/>
  <c r="K1826" i="1" s="1"/>
  <c r="H1826" i="1" a="1"/>
  <c r="H1826" i="1"/>
  <c r="G1826" i="1" a="1"/>
  <c r="G1826" i="1" s="1"/>
  <c r="N1827" i="1" a="1"/>
  <c r="N1827" i="1"/>
  <c r="I1826" i="1" a="1"/>
  <c r="I1826" i="1"/>
  <c r="L1826" i="1" a="1"/>
  <c r="L1826" i="1"/>
  <c r="I1829" i="1" a="1"/>
  <c r="I1829" i="1" s="1"/>
  <c r="M1826" i="1" a="1"/>
  <c r="M1826" i="1" s="1"/>
  <c r="M1829" i="1" a="1"/>
  <c r="M1829" i="1" s="1"/>
  <c r="L1829" i="1" a="1"/>
  <c r="L1829" i="1"/>
  <c r="K1829" i="1" a="1"/>
  <c r="K1829" i="1" s="1"/>
  <c r="J1829" i="1" a="1"/>
  <c r="J1829" i="1" s="1"/>
  <c r="N1826" i="1" a="1"/>
  <c r="N1826" i="1" s="1"/>
  <c r="F1826" i="1" a="1"/>
  <c r="F1826" i="1" s="1"/>
  <c r="J1826" i="1" a="1"/>
  <c r="J1826" i="1" s="1"/>
  <c r="H1829" i="1" a="1"/>
  <c r="H1829" i="1"/>
  <c r="Q1827" i="1" a="1"/>
  <c r="Q1827" i="1"/>
  <c r="F1827" i="1" a="1"/>
  <c r="F1827" i="1"/>
  <c r="G1829" i="1" a="1"/>
  <c r="G1829" i="1" s="1"/>
  <c r="F1829" i="1" a="1"/>
  <c r="F1829" i="1"/>
  <c r="P1826" i="1" a="1"/>
  <c r="P1826" i="1" s="1"/>
  <c r="P1827" i="1" a="1"/>
  <c r="P1827" i="1" s="1"/>
  <c r="O1827" i="1" a="1"/>
  <c r="O1827" i="1"/>
  <c r="N1878" i="1" a="1"/>
  <c r="N1878" i="1"/>
  <c r="G1874" i="1" a="1"/>
  <c r="G1874" i="1" s="1"/>
  <c r="P1872" i="1" a="1"/>
  <c r="P1872" i="1"/>
  <c r="G1872" i="1" a="1"/>
  <c r="G1872" i="1" s="1"/>
  <c r="G1880" i="1" a="1"/>
  <c r="G1880" i="1"/>
  <c r="I1872" i="1" a="1"/>
  <c r="I1872" i="1" s="1"/>
  <c r="M1878" i="1" a="1"/>
  <c r="M1878" i="1" s="1"/>
  <c r="G1876" i="1" a="1"/>
  <c r="G1876" i="1" s="1"/>
  <c r="O1874" i="1" a="1"/>
  <c r="O1874" i="1" s="1"/>
  <c r="Q1872" i="1" a="1"/>
  <c r="Q1872" i="1" s="1"/>
  <c r="J1874" i="1" a="1"/>
  <c r="J1874" i="1"/>
  <c r="L1872" i="1" a="1"/>
  <c r="L1872" i="1"/>
  <c r="N1872" i="1" a="1"/>
  <c r="N1872" i="1" s="1"/>
  <c r="L1878" i="1" a="1"/>
  <c r="L1878" i="1" s="1"/>
  <c r="K1878" i="1" a="1"/>
  <c r="K1878" i="1" s="1"/>
  <c r="L1874" i="1" a="1"/>
  <c r="L1874" i="1"/>
  <c r="I1878" i="1" a="1"/>
  <c r="I1878" i="1"/>
  <c r="P1878" i="1" a="1"/>
  <c r="P1878" i="1" s="1"/>
  <c r="M1872" i="1" a="1"/>
  <c r="M1872" i="1"/>
  <c r="Q1876" i="1" a="1"/>
  <c r="Q1876" i="1" s="1"/>
  <c r="O1876" i="1" a="1"/>
  <c r="O1876" i="1" s="1"/>
  <c r="N1876" i="1" a="1"/>
  <c r="N1876" i="1"/>
  <c r="J1876" i="1" a="1"/>
  <c r="J1876" i="1"/>
  <c r="H1872" i="1" a="1"/>
  <c r="H1872" i="1"/>
  <c r="Q1880" i="1" a="1"/>
  <c r="Q1880" i="1"/>
  <c r="F1880" i="1" a="1"/>
  <c r="F1880" i="1"/>
  <c r="P1880" i="1" a="1"/>
  <c r="P1880" i="1" s="1"/>
  <c r="N1880" i="1" a="1"/>
  <c r="N1880" i="1"/>
  <c r="L1880" i="1" a="1"/>
  <c r="L1880" i="1"/>
  <c r="F1876" i="1" a="1"/>
  <c r="F1876" i="1"/>
  <c r="O1872" i="1" a="1"/>
  <c r="O1872" i="1"/>
  <c r="F1878" i="1" a="1"/>
  <c r="F1878" i="1" s="1"/>
  <c r="K1880" i="1" a="1"/>
  <c r="K1880" i="1" s="1"/>
  <c r="J1880" i="1" a="1"/>
  <c r="J1880" i="1"/>
  <c r="Q1878" i="1" a="1"/>
  <c r="Q1878" i="1" s="1"/>
  <c r="G1878" i="1" a="1"/>
  <c r="G1878" i="1" s="1"/>
  <c r="H1874" i="1" a="1"/>
  <c r="H1874" i="1" s="1"/>
  <c r="I1880" i="1" a="1"/>
  <c r="I1880" i="1" s="1"/>
  <c r="H1878" i="1" a="1"/>
  <c r="H1878" i="1" s="1"/>
  <c r="P1874" i="1" a="1"/>
  <c r="P1874" i="1" s="1"/>
  <c r="K1874" i="1" a="1"/>
  <c r="K1874" i="1" s="1"/>
  <c r="P1876" i="1" a="1"/>
  <c r="P1876" i="1"/>
  <c r="N1874" i="1" a="1"/>
  <c r="N1874" i="1"/>
  <c r="F1874" i="1" a="1"/>
  <c r="F1874" i="1"/>
  <c r="M1876" i="1" a="1"/>
  <c r="M1876" i="1"/>
  <c r="Q1874" i="1" a="1"/>
  <c r="Q1874" i="1"/>
  <c r="J1872" i="1" a="1"/>
  <c r="J1872" i="1"/>
  <c r="K1872" i="1" a="1"/>
  <c r="K1872" i="1"/>
  <c r="O1880" i="1" a="1"/>
  <c r="O1880" i="1" s="1"/>
  <c r="M1874" i="1" a="1"/>
  <c r="M1874" i="1" s="1"/>
  <c r="O1878" i="1" a="1"/>
  <c r="O1878" i="1"/>
  <c r="L1876" i="1" a="1"/>
  <c r="L1876" i="1" s="1"/>
  <c r="K1876" i="1" a="1"/>
  <c r="K1876" i="1" s="1"/>
  <c r="I1874" i="1" a="1"/>
  <c r="I1874" i="1" s="1"/>
  <c r="H1876" i="1" a="1"/>
  <c r="H1876" i="1" s="1"/>
  <c r="J1878" i="1" a="1"/>
  <c r="J1878" i="1" s="1"/>
  <c r="M1880" i="1" a="1"/>
  <c r="M1880" i="1" s="1"/>
  <c r="H1880" i="1" a="1"/>
  <c r="H1880" i="1" s="1"/>
  <c r="I1876" i="1" a="1"/>
  <c r="I1876" i="1" s="1"/>
  <c r="M1054" i="1" a="1"/>
  <c r="M1054" i="1" s="1"/>
  <c r="F1051" i="1" a="1"/>
  <c r="F1051" i="1" s="1"/>
  <c r="F1054" i="1" a="1"/>
  <c r="F1054" i="1" s="1"/>
  <c r="K1051" i="1"/>
  <c r="N1051" i="1" a="1"/>
  <c r="N1051" i="1" s="1"/>
  <c r="Q1051" i="1" a="1"/>
  <c r="Q1051" i="1"/>
  <c r="O1054" i="1" a="1"/>
  <c r="O1054" i="1"/>
  <c r="O1039" i="1" a="1"/>
  <c r="O1039" i="1"/>
  <c r="Q1032" i="1" a="1"/>
  <c r="Q1032" i="1" s="1"/>
  <c r="J1032" i="1" a="1"/>
  <c r="J1032" i="1"/>
  <c r="M1029" i="1" a="1"/>
  <c r="M1029" i="1" s="1"/>
  <c r="Q1041" i="1" a="1"/>
  <c r="Q1041" i="1" s="1"/>
  <c r="K1041" i="1" a="1"/>
  <c r="K1041" i="1" s="1"/>
  <c r="F1041" i="1" a="1"/>
  <c r="F1041" i="1" s="1"/>
  <c r="N1041" i="1" a="1"/>
  <c r="N1041" i="1"/>
  <c r="J1041" i="1" a="1"/>
  <c r="J1041" i="1"/>
  <c r="L1039" i="1" a="1"/>
  <c r="L1039" i="1" s="1"/>
  <c r="O1029" i="1" a="1"/>
  <c r="O1029" i="1"/>
  <c r="K1039" i="1" a="1"/>
  <c r="K1039" i="1" s="1"/>
  <c r="H1041" i="1" a="1"/>
  <c r="H1041" i="1" s="1"/>
  <c r="L1032" i="1" a="1"/>
  <c r="L1032" i="1"/>
  <c r="G1041" i="1" a="1"/>
  <c r="G1041" i="1"/>
  <c r="Q1029" i="1" a="1"/>
  <c r="Q1029" i="1" s="1"/>
  <c r="O1032" i="1" a="1"/>
  <c r="O1032" i="1"/>
  <c r="H1039" i="1" a="1"/>
  <c r="H1039" i="1"/>
  <c r="I1041" i="1" a="1"/>
  <c r="I1041" i="1"/>
  <c r="M1039" i="1" a="1"/>
  <c r="M1039" i="1" s="1"/>
  <c r="J1039" i="1" a="1"/>
  <c r="J1039" i="1"/>
  <c r="Q1039" i="1" a="1"/>
  <c r="Q1039" i="1"/>
  <c r="P1039" i="1" a="1"/>
  <c r="P1039" i="1" s="1"/>
  <c r="N1039" i="1" a="1"/>
  <c r="N1039" i="1" s="1"/>
  <c r="P1029" i="1" a="1"/>
  <c r="P1029" i="1" s="1"/>
  <c r="I1039" i="1" a="1"/>
  <c r="I1039" i="1"/>
  <c r="M1032" i="1" a="1"/>
  <c r="M1032" i="1" s="1"/>
  <c r="G1039" i="1" a="1"/>
  <c r="G1039" i="1" s="1"/>
  <c r="G1032" i="1" a="1"/>
  <c r="G1032" i="1"/>
  <c r="N1032" i="1" a="1"/>
  <c r="N1032" i="1" s="1"/>
  <c r="H1032" i="1" a="1"/>
  <c r="H1032" i="1" s="1"/>
  <c r="F1039" i="1" a="1"/>
  <c r="F1039" i="1" s="1"/>
  <c r="K1032" i="1" a="1"/>
  <c r="K1032" i="1"/>
  <c r="F1032" i="1" a="1"/>
  <c r="F1032" i="1"/>
  <c r="N1029" i="1" a="1"/>
  <c r="N1029" i="1"/>
  <c r="P1041" i="1" a="1"/>
  <c r="P1041" i="1"/>
  <c r="O1041" i="1" a="1"/>
  <c r="O1041" i="1"/>
  <c r="L1041" i="1" a="1"/>
  <c r="L1041" i="1" s="1"/>
  <c r="P1032" i="1" a="1"/>
  <c r="P1032" i="1" s="1"/>
  <c r="I1032" i="1" a="1"/>
  <c r="I1032" i="1"/>
  <c r="M1041" i="1" a="1"/>
  <c r="M1041" i="1" s="1"/>
  <c r="L1029" i="1" a="1"/>
  <c r="L1029" i="1" s="1"/>
  <c r="G1024" i="1" a="1"/>
  <c r="G1024" i="1"/>
  <c r="Q1024" i="1" a="1"/>
  <c r="Q1024" i="1" s="1"/>
  <c r="I1029" i="1" a="1"/>
  <c r="I1029" i="1" s="1"/>
  <c r="F1027" i="1" a="1"/>
  <c r="F1027" i="1" s="1"/>
  <c r="O1027" i="1" a="1"/>
  <c r="O1027" i="1" s="1"/>
  <c r="F1024" i="1" a="1"/>
  <c r="F1024" i="1" s="1"/>
  <c r="K1029" i="1" a="1"/>
  <c r="K1029" i="1" s="1"/>
  <c r="J1029" i="1" a="1"/>
  <c r="J1029" i="1"/>
  <c r="H1029" i="1" a="1"/>
  <c r="H1029" i="1" s="1"/>
  <c r="G1027" i="1" a="1"/>
  <c r="G1027" i="1" s="1"/>
  <c r="N1024" i="1" a="1"/>
  <c r="N1024" i="1" s="1"/>
  <c r="M1024" i="1" a="1"/>
  <c r="M1024" i="1" s="1"/>
  <c r="G1029" i="1" a="1"/>
  <c r="G1029" i="1"/>
  <c r="F1029" i="1" a="1"/>
  <c r="F1029" i="1" s="1"/>
  <c r="O1024" i="1" a="1"/>
  <c r="O1024" i="1" s="1"/>
  <c r="Q1027" i="1" a="1"/>
  <c r="Q1027" i="1" s="1"/>
  <c r="P1027" i="1" a="1"/>
  <c r="P1027" i="1" s="1"/>
  <c r="J1027" i="1" a="1"/>
  <c r="J1027" i="1" s="1"/>
  <c r="L1024" i="1" a="1"/>
  <c r="L1024" i="1" s="1"/>
  <c r="K1027" i="1" a="1"/>
  <c r="K1027" i="1" s="1"/>
  <c r="J1024" i="1" a="1"/>
  <c r="J1024" i="1" s="1"/>
  <c r="N1027" i="1" a="1"/>
  <c r="N1027" i="1" s="1"/>
  <c r="M1027" i="1" a="1"/>
  <c r="M1027" i="1" s="1"/>
  <c r="K1024" i="1" a="1"/>
  <c r="K1024" i="1" s="1"/>
  <c r="L1027" i="1" a="1"/>
  <c r="L1027" i="1"/>
  <c r="H1024" i="1" a="1"/>
  <c r="H1024" i="1" s="1"/>
  <c r="I1027" i="1" a="1"/>
  <c r="I1027" i="1"/>
  <c r="H1027" i="1" a="1"/>
  <c r="H1027" i="1" s="1"/>
  <c r="P1024" i="1" a="1"/>
  <c r="P1024" i="1" s="1"/>
  <c r="I1024" i="1" a="1"/>
  <c r="I1024" i="1" s="1"/>
  <c r="Q1008" i="1" a="1"/>
  <c r="Q1008" i="1" s="1"/>
  <c r="Q1054" i="1" s="1" a="1"/>
  <c r="Q1054" i="1" s="1"/>
  <c r="O1008" i="1" a="1"/>
  <c r="O1008" i="1"/>
  <c r="O999" i="1" a="1"/>
  <c r="O999" i="1"/>
  <c r="O1051" i="1" s="1" a="1"/>
  <c r="O1051" i="1" s="1"/>
  <c r="F1008" i="1" a="1"/>
  <c r="F1008" i="1" s="1"/>
  <c r="P1008" i="1" a="1"/>
  <c r="P1008" i="1" s="1"/>
  <c r="P1054" i="1" s="1" a="1"/>
  <c r="P1054" i="1" s="1"/>
  <c r="K1008" i="1" a="1"/>
  <c r="K1008" i="1"/>
  <c r="K1054" i="1" s="1" a="1"/>
  <c r="K1054" i="1" s="1"/>
  <c r="I1008" i="1" a="1"/>
  <c r="I1008" i="1"/>
  <c r="I1054" i="1" s="1" a="1"/>
  <c r="I1054" i="1" s="1"/>
  <c r="N1008" i="1" a="1"/>
  <c r="N1008" i="1"/>
  <c r="N1054" i="1" s="1" a="1"/>
  <c r="N1054" i="1" s="1"/>
  <c r="P999" i="1" a="1"/>
  <c r="P999" i="1"/>
  <c r="P1051" i="1" s="1" a="1"/>
  <c r="P1051" i="1" s="1"/>
  <c r="M1008" i="1" a="1"/>
  <c r="M1008" i="1"/>
  <c r="J1008" i="1" a="1"/>
  <c r="J1008" i="1" s="1"/>
  <c r="J1054" i="1" s="1" a="1"/>
  <c r="J1054" i="1" s="1"/>
  <c r="H1008" i="1" a="1"/>
  <c r="H1008" i="1"/>
  <c r="H1054" i="1" s="1" a="1"/>
  <c r="H1054" i="1" s="1"/>
  <c r="G1008" i="1" a="1"/>
  <c r="G1008" i="1" s="1"/>
  <c r="G1054" i="1" s="1" a="1"/>
  <c r="G1054" i="1" s="1"/>
  <c r="N999" i="1" a="1"/>
  <c r="N999" i="1" s="1"/>
  <c r="L1008" i="1" a="1"/>
  <c r="L1008" i="1"/>
  <c r="L1054" i="1" s="1" a="1"/>
  <c r="L1054" i="1" s="1"/>
  <c r="Q999" i="1" a="1"/>
  <c r="Q999" i="1"/>
  <c r="K999" i="1" a="1"/>
  <c r="K999" i="1"/>
  <c r="K1051" i="1" s="1" a="1"/>
  <c r="J999" i="1" a="1"/>
  <c r="J999" i="1" s="1"/>
  <c r="J1051" i="1" s="1" a="1"/>
  <c r="J1051" i="1" s="1"/>
  <c r="I999" i="1" a="1"/>
  <c r="I999" i="1" s="1"/>
  <c r="I1051" i="1" s="1" a="1"/>
  <c r="I1051" i="1" s="1"/>
  <c r="Q998" i="1" a="1"/>
  <c r="Q998" i="1" s="1"/>
  <c r="H999" i="1" a="1"/>
  <c r="H999" i="1" s="1"/>
  <c r="H1051" i="1" s="1" a="1"/>
  <c r="H1051" i="1" s="1"/>
  <c r="G999" i="1" a="1"/>
  <c r="G999" i="1"/>
  <c r="G1051" i="1" s="1" a="1"/>
  <c r="G1051" i="1" s="1"/>
  <c r="F999" i="1" a="1"/>
  <c r="F999" i="1"/>
  <c r="P998" i="1" a="1"/>
  <c r="P998" i="1"/>
  <c r="O998" i="1" a="1"/>
  <c r="O998" i="1"/>
  <c r="N998" i="1" a="1"/>
  <c r="N998" i="1"/>
  <c r="K998" i="1" a="1"/>
  <c r="K998" i="1" s="1"/>
  <c r="L998" i="1" a="1"/>
  <c r="L998" i="1" s="1"/>
  <c r="J998" i="1" a="1"/>
  <c r="J998" i="1" s="1"/>
  <c r="H998" i="1" a="1"/>
  <c r="H998" i="1" s="1"/>
  <c r="G998" i="1" a="1"/>
  <c r="G998" i="1" s="1"/>
  <c r="M999" i="1" a="1"/>
  <c r="M999" i="1" s="1"/>
  <c r="M1051" i="1" s="1" a="1"/>
  <c r="M1051" i="1" s="1"/>
  <c r="I998" i="1" a="1"/>
  <c r="I998" i="1" s="1"/>
  <c r="M998" i="1" a="1"/>
  <c r="M998" i="1"/>
  <c r="F998" i="1" a="1"/>
  <c r="F998" i="1"/>
  <c r="L999" i="1" a="1"/>
  <c r="L999" i="1" s="1"/>
  <c r="L1051" i="1" s="1" a="1"/>
  <c r="L1051" i="1" s="1"/>
  <c r="O991" i="1" a="1"/>
  <c r="O991" i="1" s="1"/>
  <c r="J991" i="1" a="1"/>
  <c r="J991" i="1" s="1"/>
  <c r="N985" i="1" a="1"/>
  <c r="N985" i="1"/>
  <c r="M985" i="1" a="1"/>
  <c r="M985" i="1" s="1"/>
  <c r="H991" i="1" a="1"/>
  <c r="H991" i="1"/>
  <c r="K985" i="1" a="1"/>
  <c r="K985" i="1" s="1"/>
  <c r="F985" i="1" a="1"/>
  <c r="F985" i="1" s="1"/>
  <c r="Q985" i="1" a="1"/>
  <c r="Q985" i="1"/>
  <c r="G991" i="1" a="1"/>
  <c r="G991" i="1"/>
  <c r="Q991" i="1" a="1"/>
  <c r="Q991" i="1" s="1"/>
  <c r="N991" i="1" a="1"/>
  <c r="N991" i="1"/>
  <c r="L991" i="1" a="1"/>
  <c r="L991" i="1"/>
  <c r="F991" i="1" a="1"/>
  <c r="F991" i="1" s="1"/>
  <c r="P985" i="1" a="1"/>
  <c r="P985" i="1"/>
  <c r="J985" i="1" a="1"/>
  <c r="J985" i="1" s="1"/>
  <c r="I985" i="1" a="1"/>
  <c r="I985" i="1" s="1"/>
  <c r="P991" i="1" a="1"/>
  <c r="P991" i="1"/>
  <c r="M991" i="1" a="1"/>
  <c r="M991" i="1"/>
  <c r="K991" i="1" a="1"/>
  <c r="K991" i="1"/>
  <c r="O985" i="1" a="1"/>
  <c r="O985" i="1" s="1"/>
  <c r="H985" i="1" a="1"/>
  <c r="H985" i="1" s="1"/>
  <c r="L985" i="1" a="1"/>
  <c r="L985" i="1" s="1"/>
  <c r="I991" i="1" a="1"/>
  <c r="I991" i="1"/>
  <c r="G985" i="1" a="1"/>
  <c r="G985" i="1"/>
  <c r="Q976" i="1" a="1"/>
  <c r="Q976" i="1"/>
  <c r="P976" i="1" a="1"/>
  <c r="P976" i="1" s="1"/>
  <c r="O979" i="1" a="1"/>
  <c r="O979" i="1" s="1"/>
  <c r="O1053" i="1" s="1" a="1"/>
  <c r="O1053" i="1" s="1"/>
  <c r="N979" i="1" a="1"/>
  <c r="N979" i="1" s="1"/>
  <c r="N1053" i="1" s="1" a="1"/>
  <c r="N1053" i="1" s="1"/>
  <c r="M979" i="1" a="1"/>
  <c r="M979" i="1"/>
  <c r="M1053" i="1" s="1" a="1"/>
  <c r="M1053" i="1" s="1"/>
  <c r="L979" i="1" a="1"/>
  <c r="L979" i="1"/>
  <c r="L1053" i="1" s="1" a="1"/>
  <c r="L1053" i="1" s="1"/>
  <c r="J979" i="1" a="1"/>
  <c r="J979" i="1" s="1"/>
  <c r="J1053" i="1" s="1" a="1"/>
  <c r="J1053" i="1" s="1"/>
  <c r="P978" i="1" a="1"/>
  <c r="P978" i="1" s="1"/>
  <c r="K978" i="1" a="1"/>
  <c r="K978" i="1" s="1"/>
  <c r="O978" i="1" a="1"/>
  <c r="O978" i="1" s="1"/>
  <c r="M978" i="1" a="1"/>
  <c r="M978" i="1" s="1"/>
  <c r="K979" i="1" a="1"/>
  <c r="K979" i="1" s="1"/>
  <c r="K1053" i="1" s="1" a="1"/>
  <c r="K1053" i="1" s="1"/>
  <c r="H979" i="1" a="1"/>
  <c r="H979" i="1"/>
  <c r="H1053" i="1" s="1" a="1"/>
  <c r="H1053" i="1" s="1"/>
  <c r="G979" i="1" a="1"/>
  <c r="G979" i="1"/>
  <c r="G1053" i="1" s="1" a="1"/>
  <c r="G1053" i="1" s="1"/>
  <c r="I979" i="1" a="1"/>
  <c r="I979" i="1" s="1"/>
  <c r="I1053" i="1" s="1" a="1"/>
  <c r="I1053" i="1" s="1"/>
  <c r="H978" i="1" a="1"/>
  <c r="H978" i="1" s="1"/>
  <c r="L978" i="1" a="1"/>
  <c r="L978" i="1" s="1"/>
  <c r="Q978" i="1" a="1"/>
  <c r="Q978" i="1" s="1"/>
  <c r="M976" i="1" a="1"/>
  <c r="M976" i="1" s="1"/>
  <c r="J978" i="1" a="1"/>
  <c r="J978" i="1" s="1"/>
  <c r="N978" i="1" a="1"/>
  <c r="N978" i="1"/>
  <c r="O976" i="1" a="1"/>
  <c r="O976" i="1" s="1"/>
  <c r="F978" i="1" a="1"/>
  <c r="F978" i="1" s="1"/>
  <c r="G978" i="1" a="1"/>
  <c r="G978" i="1" s="1"/>
  <c r="N976" i="1" a="1"/>
  <c r="N976" i="1" s="1"/>
  <c r="L976" i="1" a="1"/>
  <c r="L976" i="1" s="1"/>
  <c r="F979" i="1" a="1"/>
  <c r="F979" i="1" s="1"/>
  <c r="F1053" i="1" s="1" a="1"/>
  <c r="F1053" i="1" s="1"/>
  <c r="I978" i="1" a="1"/>
  <c r="I978" i="1"/>
  <c r="Q979" i="1" a="1"/>
  <c r="Q979" i="1" s="1"/>
  <c r="Q1053" i="1" s="1" a="1"/>
  <c r="Q1053" i="1" s="1"/>
  <c r="P979" i="1" a="1"/>
  <c r="P979" i="1" s="1"/>
  <c r="P1053" i="1" s="1" a="1"/>
  <c r="P1053" i="1" s="1"/>
  <c r="O975" i="1" a="1"/>
  <c r="O975" i="1"/>
  <c r="M975" i="1" a="1"/>
  <c r="M975" i="1" s="1"/>
  <c r="H976" i="1" a="1"/>
  <c r="H976" i="1"/>
  <c r="I976" i="1" a="1"/>
  <c r="I976" i="1" s="1"/>
  <c r="Q975" i="1" a="1"/>
  <c r="Q975" i="1" s="1"/>
  <c r="P975" i="1" a="1"/>
  <c r="P975" i="1" s="1"/>
  <c r="L975" i="1" a="1"/>
  <c r="L975" i="1"/>
  <c r="K975" i="1" a="1"/>
  <c r="K975" i="1" s="1"/>
  <c r="K976" i="1" a="1"/>
  <c r="K976" i="1"/>
  <c r="F976" i="1" a="1"/>
  <c r="F976" i="1" s="1"/>
  <c r="J975" i="1" a="1"/>
  <c r="J975" i="1" s="1"/>
  <c r="H975" i="1" a="1"/>
  <c r="H975" i="1"/>
  <c r="F975" i="1" a="1"/>
  <c r="F975" i="1" s="1"/>
  <c r="G975" i="1" a="1"/>
  <c r="G975" i="1"/>
  <c r="J976" i="1" a="1"/>
  <c r="J976" i="1"/>
  <c r="N975" i="1" a="1"/>
  <c r="N975" i="1" s="1"/>
  <c r="I975" i="1" a="1"/>
  <c r="I975" i="1" s="1"/>
  <c r="G976" i="1" a="1"/>
  <c r="G976" i="1"/>
  <c r="I928" i="1" a="1"/>
  <c r="I928" i="1" s="1"/>
  <c r="F928" i="1" a="1"/>
  <c r="F928" i="1"/>
  <c r="K928" i="1" a="1"/>
  <c r="K928" i="1"/>
  <c r="P916" i="1" a="1"/>
  <c r="P916" i="1" s="1"/>
  <c r="J928" i="1" a="1"/>
  <c r="J928" i="1" s="1"/>
  <c r="P928" i="1" a="1"/>
  <c r="P928" i="1" s="1"/>
  <c r="M928" i="1" a="1"/>
  <c r="M928" i="1" s="1"/>
  <c r="H928" i="1" a="1"/>
  <c r="H928" i="1" s="1"/>
  <c r="Q928" i="1" a="1"/>
  <c r="Q928" i="1" s="1"/>
  <c r="O928" i="1" a="1"/>
  <c r="O928" i="1" s="1"/>
  <c r="N928" i="1" a="1"/>
  <c r="N928" i="1"/>
  <c r="L928" i="1" a="1"/>
  <c r="L928" i="1" s="1"/>
  <c r="G928" i="1" a="1"/>
  <c r="G928" i="1"/>
  <c r="Q916" i="1" a="1"/>
  <c r="Q916" i="1"/>
  <c r="K916" i="1" a="1"/>
  <c r="K916" i="1" s="1"/>
  <c r="J916" i="1" a="1"/>
  <c r="J916" i="1" s="1"/>
  <c r="I916" i="1" a="1"/>
  <c r="I916" i="1"/>
  <c r="H916" i="1" a="1"/>
  <c r="H916" i="1" s="1"/>
  <c r="O914" i="1" a="1"/>
  <c r="O914" i="1"/>
  <c r="N914" i="1" a="1"/>
  <c r="N914" i="1"/>
  <c r="G916" i="1" a="1"/>
  <c r="G916" i="1" s="1"/>
  <c r="F916" i="1" a="1"/>
  <c r="F916" i="1" s="1"/>
  <c r="Q914" i="1" a="1"/>
  <c r="Q914" i="1"/>
  <c r="P914" i="1" a="1"/>
  <c r="P914" i="1"/>
  <c r="M914" i="1" a="1"/>
  <c r="M914" i="1" s="1"/>
  <c r="K914" i="1" a="1"/>
  <c r="K914" i="1" s="1"/>
  <c r="F914" i="1" a="1"/>
  <c r="F914" i="1" s="1"/>
  <c r="J914" i="1" a="1"/>
  <c r="J914" i="1"/>
  <c r="I914" i="1" a="1"/>
  <c r="I914" i="1" s="1"/>
  <c r="H914" i="1" a="1"/>
  <c r="H914" i="1" s="1"/>
  <c r="O916" i="1" a="1"/>
  <c r="O916" i="1"/>
  <c r="G914" i="1" a="1"/>
  <c r="G914" i="1" s="1"/>
  <c r="N916" i="1" a="1"/>
  <c r="N916" i="1" s="1"/>
  <c r="L914" i="1" a="1"/>
  <c r="L914" i="1" s="1"/>
  <c r="M916" i="1" a="1"/>
  <c r="M916" i="1" s="1"/>
  <c r="L916" i="1" a="1"/>
  <c r="L916" i="1" s="1"/>
  <c r="I896" i="1" a="1"/>
  <c r="I896" i="1" s="1"/>
  <c r="I899" i="1" s="1"/>
  <c r="F896" i="1" a="1"/>
  <c r="F896" i="1" s="1"/>
  <c r="L885" i="1" a="1"/>
  <c r="L885" i="1"/>
  <c r="P885" i="1" a="1"/>
  <c r="P885" i="1" s="1"/>
  <c r="M884" i="1" a="1"/>
  <c r="M884" i="1"/>
  <c r="G885" i="1" a="1"/>
  <c r="G885" i="1" s="1"/>
  <c r="J884" i="1" a="1"/>
  <c r="J884" i="1" s="1"/>
  <c r="Q885" i="1" a="1"/>
  <c r="Q885" i="1" s="1"/>
  <c r="I884" i="1" a="1"/>
  <c r="I884" i="1"/>
  <c r="L884" i="1" a="1"/>
  <c r="L884" i="1" s="1"/>
  <c r="I885" i="1" a="1"/>
  <c r="I885" i="1"/>
  <c r="F885" i="1" a="1"/>
  <c r="F885" i="1" s="1"/>
  <c r="H896" i="1" a="1"/>
  <c r="H896" i="1"/>
  <c r="G896" i="1" a="1"/>
  <c r="G896" i="1" s="1"/>
  <c r="N885" i="1" a="1"/>
  <c r="N885" i="1" s="1"/>
  <c r="P884" i="1" a="1"/>
  <c r="P884" i="1"/>
  <c r="O885" i="1" a="1"/>
  <c r="O885" i="1"/>
  <c r="P896" i="1" a="1"/>
  <c r="P896" i="1" s="1"/>
  <c r="H884" i="1" a="1"/>
  <c r="H884" i="1" s="1"/>
  <c r="K885" i="1" a="1"/>
  <c r="K885" i="1" s="1"/>
  <c r="Q896" i="1" a="1"/>
  <c r="Q896" i="1"/>
  <c r="O896" i="1" a="1"/>
  <c r="O896" i="1" s="1"/>
  <c r="M896" i="1" a="1"/>
  <c r="M896" i="1" s="1"/>
  <c r="L896" i="1" a="1"/>
  <c r="L896" i="1" s="1"/>
  <c r="K896" i="1" a="1"/>
  <c r="K896" i="1" s="1"/>
  <c r="J896" i="1" a="1"/>
  <c r="J896" i="1" s="1"/>
  <c r="K884" i="1" a="1"/>
  <c r="K884" i="1" s="1"/>
  <c r="J885" i="1" a="1"/>
  <c r="J885" i="1" s="1"/>
  <c r="M885" i="1" a="1"/>
  <c r="M885" i="1" s="1"/>
  <c r="Q884" i="1" a="1"/>
  <c r="Q884" i="1" s="1"/>
  <c r="N884" i="1" a="1"/>
  <c r="N884" i="1" s="1"/>
  <c r="F884" i="1" a="1"/>
  <c r="F884" i="1" s="1"/>
  <c r="G884" i="1" a="1"/>
  <c r="G884" i="1" s="1"/>
  <c r="N896" i="1" a="1"/>
  <c r="N896" i="1" s="1"/>
  <c r="O884" i="1" a="1"/>
  <c r="O884" i="1"/>
  <c r="H885" i="1" a="1"/>
  <c r="H885" i="1" s="1"/>
  <c r="L804" i="1" a="1"/>
  <c r="L804" i="1" s="1"/>
  <c r="P804" i="1" a="1"/>
  <c r="P804" i="1"/>
  <c r="L816" i="1" a="1"/>
  <c r="L816" i="1" s="1"/>
  <c r="I806" i="1" a="1"/>
  <c r="I806" i="1"/>
  <c r="H806" i="1" a="1"/>
  <c r="H806" i="1"/>
  <c r="Q804" i="1" a="1"/>
  <c r="Q804" i="1" s="1"/>
  <c r="P806" i="1" a="1"/>
  <c r="P806" i="1"/>
  <c r="F806" i="1" a="1"/>
  <c r="F806" i="1" s="1"/>
  <c r="K804" i="1" a="1"/>
  <c r="K804" i="1"/>
  <c r="L806" i="1" a="1"/>
  <c r="L806" i="1"/>
  <c r="P802" i="1" a="1"/>
  <c r="P802" i="1" s="1"/>
  <c r="N804" i="1" a="1"/>
  <c r="N804" i="1" s="1"/>
  <c r="I804" i="1" a="1"/>
  <c r="I804" i="1" s="1"/>
  <c r="H804" i="1" a="1"/>
  <c r="H804" i="1"/>
  <c r="O804" i="1" a="1"/>
  <c r="O804" i="1"/>
  <c r="O806" i="1" a="1"/>
  <c r="O806" i="1"/>
  <c r="Q802" i="1" a="1"/>
  <c r="Q802" i="1" s="1"/>
  <c r="N802" i="1" a="1"/>
  <c r="N802" i="1" s="1"/>
  <c r="N816" i="1" a="1"/>
  <c r="N816" i="1"/>
  <c r="Q816" i="1" a="1"/>
  <c r="Q816" i="1" s="1"/>
  <c r="F804" i="1" a="1"/>
  <c r="F804" i="1"/>
  <c r="M816" i="1" a="1"/>
  <c r="M816" i="1" s="1"/>
  <c r="N806" i="1" a="1"/>
  <c r="N806" i="1" s="1"/>
  <c r="J804" i="1" a="1"/>
  <c r="J804" i="1" s="1"/>
  <c r="Q806" i="1" a="1"/>
  <c r="Q806" i="1"/>
  <c r="G806" i="1" a="1"/>
  <c r="G806" i="1" s="1"/>
  <c r="L802" i="1" a="1"/>
  <c r="L802" i="1" s="1"/>
  <c r="M802" i="1" a="1"/>
  <c r="M802" i="1"/>
  <c r="O802" i="1" a="1"/>
  <c r="O802" i="1" s="1"/>
  <c r="G804" i="1" a="1"/>
  <c r="G804" i="1" s="1"/>
  <c r="M804" i="1" a="1"/>
  <c r="M804" i="1"/>
  <c r="M806" i="1" a="1"/>
  <c r="M806" i="1"/>
  <c r="J806" i="1" a="1"/>
  <c r="J806" i="1" s="1"/>
  <c r="O816" i="1" a="1"/>
  <c r="O816" i="1"/>
  <c r="K806" i="1" a="1"/>
  <c r="K806" i="1"/>
  <c r="O780" i="1" a="1"/>
  <c r="O780" i="1"/>
  <c r="O779" i="1" s="1"/>
  <c r="O783" i="1" s="1"/>
  <c r="F780" i="1" a="1"/>
  <c r="F780" i="1" s="1"/>
  <c r="F779" i="1" s="1"/>
  <c r="F786" i="1" s="1"/>
  <c r="F787" i="1" s="1"/>
  <c r="G780" i="1" a="1"/>
  <c r="G780" i="1" s="1"/>
  <c r="G779" i="1" s="1"/>
  <c r="N780" i="1" a="1"/>
  <c r="N780" i="1"/>
  <c r="N779" i="1" s="1"/>
  <c r="L780" i="1" a="1"/>
  <c r="L780" i="1" s="1"/>
  <c r="L779" i="1" s="1"/>
  <c r="L786" i="1" s="1"/>
  <c r="L787" i="1" s="1"/>
  <c r="K780" i="1" a="1"/>
  <c r="K780" i="1"/>
  <c r="K779" i="1" s="1"/>
  <c r="H780" i="1" a="1"/>
  <c r="H780" i="1" s="1"/>
  <c r="M780" i="1" a="1"/>
  <c r="M780" i="1" s="1"/>
  <c r="M779" i="1" s="1"/>
  <c r="K802" i="1" a="1"/>
  <c r="K802" i="1"/>
  <c r="J802" i="1" a="1"/>
  <c r="J802" i="1"/>
  <c r="F802" i="1" a="1"/>
  <c r="F802" i="1"/>
  <c r="Q780" i="1" a="1"/>
  <c r="Q780" i="1"/>
  <c r="J780" i="1" a="1"/>
  <c r="J780" i="1"/>
  <c r="J779" i="1" s="1"/>
  <c r="I780" i="1" a="1"/>
  <c r="I780" i="1" s="1"/>
  <c r="I779" i="1" s="1"/>
  <c r="P780" i="1" a="1"/>
  <c r="P780" i="1"/>
  <c r="P779" i="1" s="1"/>
  <c r="P783" i="1" s="1"/>
  <c r="I802" i="1" a="1"/>
  <c r="I802" i="1" s="1"/>
  <c r="H802" i="1" a="1"/>
  <c r="H802" i="1" s="1"/>
  <c r="G802" i="1" a="1"/>
  <c r="G802" i="1" s="1"/>
  <c r="P766" i="1" a="1"/>
  <c r="P766" i="1"/>
  <c r="P816" i="1" s="1" a="1"/>
  <c r="P816" i="1" s="1"/>
  <c r="Q766" i="1" a="1"/>
  <c r="Q766" i="1" s="1"/>
  <c r="O766" i="1" a="1"/>
  <c r="O766" i="1"/>
  <c r="M766" i="1" a="1"/>
  <c r="M766" i="1"/>
  <c r="J766" i="1" a="1"/>
  <c r="J766" i="1" s="1"/>
  <c r="J816" i="1" s="1" a="1"/>
  <c r="J816" i="1" s="1"/>
  <c r="I766" i="1" a="1"/>
  <c r="I766" i="1" s="1"/>
  <c r="I816" i="1" s="1" a="1"/>
  <c r="I816" i="1" s="1"/>
  <c r="G766" i="1" a="1"/>
  <c r="G766" i="1" s="1"/>
  <c r="G816" i="1" s="1" a="1"/>
  <c r="G816" i="1" s="1"/>
  <c r="N766" i="1" a="1"/>
  <c r="N766" i="1" s="1"/>
  <c r="K766" i="1" a="1"/>
  <c r="K766" i="1" s="1"/>
  <c r="K816" i="1" s="1" a="1"/>
  <c r="K816" i="1" s="1"/>
  <c r="F766" i="1" a="1"/>
  <c r="F766" i="1"/>
  <c r="F816" i="1" s="1" a="1"/>
  <c r="F816" i="1" s="1"/>
  <c r="H766" i="1" a="1"/>
  <c r="H766" i="1"/>
  <c r="H816" i="1" s="1" a="1"/>
  <c r="H816" i="1" s="1"/>
  <c r="L766" i="1" a="1"/>
  <c r="L766" i="1" s="1"/>
  <c r="Q856" i="1"/>
  <c r="P856" i="1"/>
  <c r="O856" i="1"/>
  <c r="N856" i="1"/>
  <c r="M856" i="1"/>
  <c r="L856" i="1"/>
  <c r="K856" i="1"/>
  <c r="K855" i="1" s="1"/>
  <c r="J856" i="1"/>
  <c r="J855" i="1" s="1"/>
  <c r="I856" i="1"/>
  <c r="H856" i="1"/>
  <c r="H855" i="1" s="1"/>
  <c r="G856" i="1"/>
  <c r="G855" i="1" s="1"/>
  <c r="F856" i="1"/>
  <c r="Q855" i="1"/>
  <c r="P855" i="1"/>
  <c r="O855" i="1"/>
  <c r="N855" i="1"/>
  <c r="M855" i="1"/>
  <c r="L855" i="1"/>
  <c r="I855" i="1"/>
  <c r="F855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Q786" i="1"/>
  <c r="Q787" i="1" s="1"/>
  <c r="P786" i="1"/>
  <c r="P787" i="1" s="1"/>
  <c r="O786" i="1"/>
  <c r="O787" i="1" s="1"/>
  <c r="N786" i="1"/>
  <c r="N787" i="1" s="1"/>
  <c r="N783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Q779" i="1"/>
  <c r="Q783" i="1" s="1"/>
  <c r="H779" i="1"/>
  <c r="H786" i="1" s="1"/>
  <c r="H787" i="1" s="1"/>
  <c r="Q778" i="1"/>
  <c r="P778" i="1"/>
  <c r="O778" i="1"/>
  <c r="N778" i="1"/>
  <c r="M778" i="1"/>
  <c r="L778" i="1"/>
  <c r="K778" i="1"/>
  <c r="J778" i="1"/>
  <c r="I778" i="1"/>
  <c r="H778" i="1"/>
  <c r="G778" i="1"/>
  <c r="F778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N675" i="1"/>
  <c r="P674" i="1"/>
  <c r="O674" i="1"/>
  <c r="N674" i="1"/>
  <c r="M674" i="1"/>
  <c r="L674" i="1"/>
  <c r="K674" i="1"/>
  <c r="I674" i="1"/>
  <c r="H674" i="1"/>
  <c r="G674" i="1"/>
  <c r="F674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Q669" i="1"/>
  <c r="Q675" i="1" s="1"/>
  <c r="P669" i="1"/>
  <c r="P675" i="1" s="1"/>
  <c r="O669" i="1"/>
  <c r="O675" i="1" s="1"/>
  <c r="N669" i="1"/>
  <c r="M669" i="1"/>
  <c r="M675" i="1" s="1"/>
  <c r="L669" i="1"/>
  <c r="L675" i="1" s="1"/>
  <c r="K669" i="1"/>
  <c r="K675" i="1" s="1"/>
  <c r="J669" i="1"/>
  <c r="J675" i="1" s="1"/>
  <c r="I669" i="1"/>
  <c r="I675" i="1" s="1"/>
  <c r="H669" i="1"/>
  <c r="H675" i="1" s="1"/>
  <c r="G669" i="1"/>
  <c r="G675" i="1" s="1"/>
  <c r="F669" i="1"/>
  <c r="F675" i="1" s="1"/>
  <c r="Q668" i="1"/>
  <c r="Q674" i="1" s="1"/>
  <c r="P668" i="1"/>
  <c r="O668" i="1"/>
  <c r="N668" i="1"/>
  <c r="M668" i="1"/>
  <c r="L668" i="1"/>
  <c r="K668" i="1"/>
  <c r="J668" i="1"/>
  <c r="J674" i="1" s="1"/>
  <c r="I668" i="1"/>
  <c r="H668" i="1"/>
  <c r="G668" i="1"/>
  <c r="F668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M520" i="1"/>
  <c r="L520" i="1"/>
  <c r="K520" i="1"/>
  <c r="I520" i="1"/>
  <c r="H520" i="1"/>
  <c r="G520" i="1"/>
  <c r="Q519" i="1"/>
  <c r="P519" i="1"/>
  <c r="O519" i="1"/>
  <c r="M519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K480" i="1"/>
  <c r="L478" i="1"/>
  <c r="Q477" i="1"/>
  <c r="O477" i="1"/>
  <c r="L475" i="1"/>
  <c r="K475" i="1"/>
  <c r="H475" i="1"/>
  <c r="Q474" i="1"/>
  <c r="P474" i="1"/>
  <c r="O474" i="1"/>
  <c r="N474" i="1"/>
  <c r="O465" i="1"/>
  <c r="J465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K437" i="1"/>
  <c r="I437" i="1"/>
  <c r="H437" i="1"/>
  <c r="G437" i="1"/>
  <c r="F437" i="1"/>
  <c r="G420" i="1"/>
  <c r="Q419" i="1"/>
  <c r="M419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M400" i="1"/>
  <c r="L400" i="1"/>
  <c r="K400" i="1"/>
  <c r="H400" i="1"/>
  <c r="G400" i="1"/>
  <c r="F400" i="1"/>
  <c r="F520" i="1" s="1"/>
  <c r="Q399" i="1"/>
  <c r="P399" i="1"/>
  <c r="O399" i="1"/>
  <c r="N399" i="1"/>
  <c r="N519" i="1" s="1"/>
  <c r="K399" i="1"/>
  <c r="K519" i="1" s="1"/>
  <c r="L398" i="1"/>
  <c r="L439" i="1" s="1"/>
  <c r="K398" i="1"/>
  <c r="K439" i="1" s="1"/>
  <c r="J398" i="1"/>
  <c r="J439" i="1" s="1"/>
  <c r="I398" i="1"/>
  <c r="I439" i="1" s="1"/>
  <c r="Q396" i="1"/>
  <c r="P396" i="1"/>
  <c r="O396" i="1"/>
  <c r="N396" i="1"/>
  <c r="M396" i="1"/>
  <c r="L396" i="1"/>
  <c r="K396" i="1"/>
  <c r="J396" i="1"/>
  <c r="I396" i="1"/>
  <c r="H396" i="1"/>
  <c r="G396" i="1"/>
  <c r="F396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Q386" i="1"/>
  <c r="Q517" i="1" s="1"/>
  <c r="Q385" i="1"/>
  <c r="Q516" i="1" s="1"/>
  <c r="M384" i="1"/>
  <c r="M515" i="1" s="1"/>
  <c r="I384" i="1"/>
  <c r="I515" i="1" s="1"/>
  <c r="G384" i="1"/>
  <c r="G515" i="1" s="1"/>
  <c r="F384" i="1"/>
  <c r="F515" i="1" s="1"/>
  <c r="Q383" i="1"/>
  <c r="Q514" i="1" s="1"/>
  <c r="P383" i="1"/>
  <c r="P514" i="1" s="1"/>
  <c r="H383" i="1"/>
  <c r="H514" i="1" s="1"/>
  <c r="Q381" i="1"/>
  <c r="P381" i="1"/>
  <c r="O381" i="1"/>
  <c r="N381" i="1"/>
  <c r="M381" i="1"/>
  <c r="L381" i="1"/>
  <c r="K381" i="1"/>
  <c r="J381" i="1"/>
  <c r="I381" i="1"/>
  <c r="H381" i="1"/>
  <c r="G381" i="1"/>
  <c r="F381" i="1"/>
  <c r="Q380" i="1"/>
  <c r="Q437" i="1" s="1"/>
  <c r="N380" i="1"/>
  <c r="N437" i="1" s="1"/>
  <c r="M380" i="1"/>
  <c r="M437" i="1" s="1"/>
  <c r="L380" i="1"/>
  <c r="L437" i="1" s="1"/>
  <c r="K380" i="1"/>
  <c r="J380" i="1"/>
  <c r="J437" i="1" s="1"/>
  <c r="I380" i="1"/>
  <c r="H380" i="1"/>
  <c r="G380" i="1"/>
  <c r="K364" i="1"/>
  <c r="O362" i="1"/>
  <c r="O429" i="1" s="1"/>
  <c r="M362" i="1"/>
  <c r="M429" i="1" s="1"/>
  <c r="K362" i="1"/>
  <c r="K429" i="1" s="1"/>
  <c r="M361" i="1"/>
  <c r="M428" i="1" s="1"/>
  <c r="H361" i="1"/>
  <c r="H428" i="1" s="1"/>
  <c r="Q360" i="1"/>
  <c r="P360" i="1"/>
  <c r="O360" i="1"/>
  <c r="N360" i="1"/>
  <c r="M360" i="1"/>
  <c r="L360" i="1"/>
  <c r="K360" i="1"/>
  <c r="J360" i="1"/>
  <c r="I360" i="1"/>
  <c r="H360" i="1"/>
  <c r="G360" i="1"/>
  <c r="F360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J325" i="1"/>
  <c r="J480" i="1" s="1"/>
  <c r="I325" i="1"/>
  <c r="I480" i="1" s="1"/>
  <c r="H325" i="1"/>
  <c r="H480" i="1" s="1"/>
  <c r="G325" i="1"/>
  <c r="G480" i="1" s="1"/>
  <c r="Q324" i="1"/>
  <c r="Q479" i="1" s="1"/>
  <c r="P324" i="1"/>
  <c r="P479" i="1" s="1"/>
  <c r="M324" i="1"/>
  <c r="M479" i="1" s="1"/>
  <c r="G323" i="1"/>
  <c r="G478" i="1" s="1"/>
  <c r="F323" i="1"/>
  <c r="F478" i="1" s="1"/>
  <c r="P322" i="1"/>
  <c r="P477" i="1" s="1"/>
  <c r="O322" i="1"/>
  <c r="M322" i="1"/>
  <c r="M477" i="1" s="1"/>
  <c r="L322" i="1"/>
  <c r="L477" i="1" s="1"/>
  <c r="K322" i="1"/>
  <c r="K477" i="1" s="1"/>
  <c r="J322" i="1"/>
  <c r="J477" i="1" s="1"/>
  <c r="I322" i="1"/>
  <c r="I477" i="1" s="1"/>
  <c r="H322" i="1"/>
  <c r="H477" i="1" s="1"/>
  <c r="G322" i="1"/>
  <c r="G477" i="1" s="1"/>
  <c r="Q321" i="1"/>
  <c r="Q476" i="1" s="1"/>
  <c r="L320" i="1"/>
  <c r="I320" i="1"/>
  <c r="I475" i="1" s="1"/>
  <c r="H320" i="1"/>
  <c r="Q319" i="1"/>
  <c r="P319" i="1"/>
  <c r="O319" i="1"/>
  <c r="N319" i="1"/>
  <c r="G318" i="1"/>
  <c r="G473" i="1" s="1"/>
  <c r="Q315" i="1"/>
  <c r="Q420" i="1" s="1"/>
  <c r="F315" i="1"/>
  <c r="F420" i="1" s="1"/>
  <c r="Q314" i="1"/>
  <c r="M314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I301" i="1"/>
  <c r="I465" i="1" s="1"/>
  <c r="H301" i="1"/>
  <c r="H465" i="1" s="1"/>
  <c r="G301" i="1"/>
  <c r="G465" i="1" s="1"/>
  <c r="F301" i="1"/>
  <c r="F465" i="1" s="1"/>
  <c r="P300" i="1"/>
  <c r="P413" i="1" s="1"/>
  <c r="O300" i="1"/>
  <c r="O413" i="1" s="1"/>
  <c r="N300" i="1"/>
  <c r="N413" i="1" s="1"/>
  <c r="M300" i="1"/>
  <c r="M413" i="1" s="1"/>
  <c r="H300" i="1"/>
  <c r="H413" i="1" s="1"/>
  <c r="Q299" i="1"/>
  <c r="P299" i="1"/>
  <c r="O299" i="1"/>
  <c r="N299" i="1"/>
  <c r="M299" i="1"/>
  <c r="L299" i="1"/>
  <c r="K299" i="1"/>
  <c r="J299" i="1"/>
  <c r="I299" i="1"/>
  <c r="H299" i="1"/>
  <c r="G299" i="1"/>
  <c r="F299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H129" i="1"/>
  <c r="G129" i="1"/>
  <c r="F129" i="1"/>
  <c r="Q128" i="1"/>
  <c r="P128" i="1"/>
  <c r="O128" i="1"/>
  <c r="N128" i="1"/>
  <c r="M128" i="1"/>
  <c r="L128" i="1"/>
  <c r="K128" i="1"/>
  <c r="J128" i="1"/>
  <c r="I128" i="1"/>
  <c r="Q126" i="1"/>
  <c r="O126" i="1"/>
  <c r="N126" i="1"/>
  <c r="M126" i="1"/>
  <c r="L126" i="1"/>
  <c r="J126" i="1"/>
  <c r="H126" i="1"/>
  <c r="M125" i="1"/>
  <c r="F125" i="1"/>
  <c r="N124" i="1"/>
  <c r="M124" i="1"/>
  <c r="K124" i="1"/>
  <c r="J124" i="1"/>
  <c r="I124" i="1"/>
  <c r="H124" i="1"/>
  <c r="G124" i="1"/>
  <c r="F124" i="1"/>
  <c r="Q123" i="1"/>
  <c r="P123" i="1"/>
  <c r="I123" i="1"/>
  <c r="I122" i="1"/>
  <c r="G122" i="1"/>
  <c r="F122" i="1"/>
  <c r="Q121" i="1"/>
  <c r="P121" i="1"/>
  <c r="O121" i="1"/>
  <c r="N121" i="1"/>
  <c r="M121" i="1"/>
  <c r="L121" i="1"/>
  <c r="K121" i="1"/>
  <c r="M120" i="1"/>
  <c r="L120" i="1"/>
  <c r="K120" i="1"/>
  <c r="F120" i="1"/>
  <c r="Q119" i="1"/>
  <c r="O119" i="1"/>
  <c r="M119" i="1"/>
  <c r="L119" i="1"/>
  <c r="K119" i="1"/>
  <c r="J119" i="1"/>
  <c r="I119" i="1"/>
  <c r="H119" i="1"/>
  <c r="G119" i="1"/>
  <c r="F118" i="1"/>
  <c r="N117" i="1"/>
  <c r="M117" i="1"/>
  <c r="K117" i="1"/>
  <c r="J117" i="1"/>
  <c r="I117" i="1"/>
  <c r="H117" i="1"/>
  <c r="G117" i="1"/>
  <c r="F117" i="1"/>
  <c r="Q116" i="1"/>
  <c r="P116" i="1"/>
  <c r="O116" i="1"/>
  <c r="N116" i="1"/>
  <c r="I115" i="1"/>
  <c r="G11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Q287" i="1"/>
  <c r="P287" i="1"/>
  <c r="O287" i="1"/>
  <c r="O386" i="1" s="1"/>
  <c r="O517" i="1" s="1"/>
  <c r="N287" i="1"/>
  <c r="N386" i="1" s="1"/>
  <c r="N517" i="1" s="1"/>
  <c r="M287" i="1"/>
  <c r="M386" i="1" s="1"/>
  <c r="M517" i="1" s="1"/>
  <c r="L287" i="1"/>
  <c r="L386" i="1" s="1"/>
  <c r="L517" i="1" s="1"/>
  <c r="K287" i="1"/>
  <c r="K386" i="1" s="1"/>
  <c r="K517" i="1" s="1"/>
  <c r="J287" i="1"/>
  <c r="I287" i="1"/>
  <c r="H287" i="1"/>
  <c r="G287" i="1"/>
  <c r="F287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Q285" i="1"/>
  <c r="Q384" i="1" s="1"/>
  <c r="Q515" i="1" s="1"/>
  <c r="P285" i="1"/>
  <c r="P384" i="1" s="1"/>
  <c r="P515" i="1" s="1"/>
  <c r="O285" i="1"/>
  <c r="O384" i="1" s="1"/>
  <c r="O515" i="1" s="1"/>
  <c r="N285" i="1"/>
  <c r="M285" i="1"/>
  <c r="L285" i="1"/>
  <c r="L384" i="1" s="1"/>
  <c r="L515" i="1" s="1"/>
  <c r="K285" i="1"/>
  <c r="J285" i="1"/>
  <c r="J384" i="1" s="1"/>
  <c r="J515" i="1" s="1"/>
  <c r="I285" i="1"/>
  <c r="H285" i="1"/>
  <c r="H384" i="1" s="1"/>
  <c r="H515" i="1" s="1"/>
  <c r="G285" i="1"/>
  <c r="F285" i="1"/>
  <c r="G283" i="1"/>
  <c r="G382" i="1" s="1"/>
  <c r="G513" i="1" s="1"/>
  <c r="F283" i="1"/>
  <c r="K274" i="1"/>
  <c r="Q250" i="1"/>
  <c r="P250" i="1"/>
  <c r="O250" i="1"/>
  <c r="N250" i="1"/>
  <c r="M250" i="1"/>
  <c r="L250" i="1"/>
  <c r="L325" i="1" s="1"/>
  <c r="L480" i="1" s="1"/>
  <c r="K250" i="1"/>
  <c r="J250" i="1"/>
  <c r="I250" i="1"/>
  <c r="H250" i="1"/>
  <c r="G250" i="1"/>
  <c r="F250" i="1"/>
  <c r="Q249" i="1"/>
  <c r="P249" i="1"/>
  <c r="O249" i="1"/>
  <c r="O324" i="1" s="1"/>
  <c r="O479" i="1" s="1"/>
  <c r="N249" i="1"/>
  <c r="N324" i="1" s="1"/>
  <c r="N479" i="1" s="1"/>
  <c r="M249" i="1"/>
  <c r="L249" i="1"/>
  <c r="L324" i="1" s="1"/>
  <c r="L479" i="1" s="1"/>
  <c r="K249" i="1"/>
  <c r="J249" i="1"/>
  <c r="I249" i="1"/>
  <c r="H249" i="1"/>
  <c r="G249" i="1"/>
  <c r="F249" i="1"/>
  <c r="Q248" i="1"/>
  <c r="P248" i="1"/>
  <c r="O248" i="1"/>
  <c r="N248" i="1"/>
  <c r="M248" i="1"/>
  <c r="L248" i="1"/>
  <c r="K248" i="1"/>
  <c r="J248" i="1"/>
  <c r="J323" i="1" s="1"/>
  <c r="J478" i="1" s="1"/>
  <c r="I248" i="1"/>
  <c r="H248" i="1"/>
  <c r="G248" i="1"/>
  <c r="F248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Q245" i="1"/>
  <c r="P245" i="1"/>
  <c r="O245" i="1"/>
  <c r="N245" i="1"/>
  <c r="M245" i="1"/>
  <c r="L245" i="1"/>
  <c r="K245" i="1"/>
  <c r="J245" i="1"/>
  <c r="I245" i="1"/>
  <c r="H245" i="1"/>
  <c r="G245" i="1"/>
  <c r="G320" i="1" s="1"/>
  <c r="G475" i="1" s="1"/>
  <c r="F245" i="1"/>
  <c r="F320" i="1" s="1"/>
  <c r="F475" i="1" s="1"/>
  <c r="Q244" i="1"/>
  <c r="P244" i="1"/>
  <c r="O244" i="1"/>
  <c r="N244" i="1"/>
  <c r="M244" i="1"/>
  <c r="L244" i="1"/>
  <c r="K244" i="1"/>
  <c r="J244" i="1"/>
  <c r="I244" i="1"/>
  <c r="H244" i="1"/>
  <c r="G244" i="1"/>
  <c r="F244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K241" i="1"/>
  <c r="K316" i="1" s="1"/>
  <c r="K471" i="1" s="1"/>
  <c r="Q235" i="1"/>
  <c r="P235" i="1"/>
  <c r="O235" i="1"/>
  <c r="O301" i="1" s="1"/>
  <c r="N235" i="1"/>
  <c r="M235" i="1"/>
  <c r="L235" i="1"/>
  <c r="L301" i="1" s="1"/>
  <c r="L465" i="1" s="1"/>
  <c r="K235" i="1"/>
  <c r="J235" i="1"/>
  <c r="J301" i="1" s="1"/>
  <c r="I235" i="1"/>
  <c r="H235" i="1"/>
  <c r="G235" i="1"/>
  <c r="F235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Q216" i="1"/>
  <c r="P216" i="1"/>
  <c r="O216" i="1"/>
  <c r="N216" i="1"/>
  <c r="M216" i="1"/>
  <c r="M212" i="1" s="1"/>
  <c r="L216" i="1"/>
  <c r="L212" i="1" s="1"/>
  <c r="K216" i="1"/>
  <c r="K212" i="1" s="1"/>
  <c r="J216" i="1"/>
  <c r="J212" i="1" s="1"/>
  <c r="I216" i="1"/>
  <c r="I212" i="1" s="1"/>
  <c r="H216" i="1"/>
  <c r="H212" i="1" s="1"/>
  <c r="G216" i="1"/>
  <c r="G212" i="1" s="1"/>
  <c r="F216" i="1"/>
  <c r="F212" i="1" s="1"/>
  <c r="Q212" i="1"/>
  <c r="P212" i="1"/>
  <c r="O212" i="1"/>
  <c r="N212" i="1"/>
  <c r="Q209" i="1"/>
  <c r="P209" i="1"/>
  <c r="O209" i="1"/>
  <c r="N209" i="1"/>
  <c r="M209" i="1"/>
  <c r="M398" i="1" s="1"/>
  <c r="M439" i="1" s="1"/>
  <c r="L209" i="1"/>
  <c r="K209" i="1"/>
  <c r="J209" i="1"/>
  <c r="I209" i="1"/>
  <c r="H209" i="1"/>
  <c r="H398" i="1" s="1"/>
  <c r="H439" i="1" s="1"/>
  <c r="G209" i="1"/>
  <c r="G398" i="1" s="1"/>
  <c r="G439" i="1" s="1"/>
  <c r="F209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I198" i="1"/>
  <c r="H198" i="1"/>
  <c r="F198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Q172" i="1"/>
  <c r="Q400" i="1" s="1"/>
  <c r="Q520" i="1" s="1"/>
  <c r="P172" i="1"/>
  <c r="P400" i="1" s="1"/>
  <c r="P520" i="1" s="1"/>
  <c r="O172" i="1"/>
  <c r="O400" i="1" s="1"/>
  <c r="O520" i="1" s="1"/>
  <c r="N172" i="1"/>
  <c r="N400" i="1" s="1"/>
  <c r="N520" i="1" s="1"/>
  <c r="M172" i="1"/>
  <c r="L172" i="1"/>
  <c r="K172" i="1"/>
  <c r="J172" i="1"/>
  <c r="J400" i="1" s="1"/>
  <c r="J520" i="1" s="1"/>
  <c r="I172" i="1"/>
  <c r="I400" i="1" s="1"/>
  <c r="H172" i="1"/>
  <c r="G172" i="1"/>
  <c r="F172" i="1"/>
  <c r="Q171" i="1"/>
  <c r="P171" i="1"/>
  <c r="O171" i="1"/>
  <c r="N171" i="1"/>
  <c r="M171" i="1"/>
  <c r="M399" i="1" s="1"/>
  <c r="L171" i="1"/>
  <c r="L399" i="1" s="1"/>
  <c r="L519" i="1" s="1"/>
  <c r="K171" i="1"/>
  <c r="J171" i="1"/>
  <c r="J399" i="1" s="1"/>
  <c r="J519" i="1" s="1"/>
  <c r="I171" i="1"/>
  <c r="H171" i="1"/>
  <c r="H399" i="1" s="1"/>
  <c r="H519" i="1" s="1"/>
  <c r="G171" i="1"/>
  <c r="G399" i="1" s="1"/>
  <c r="G519" i="1" s="1"/>
  <c r="F171" i="1"/>
  <c r="F399" i="1" s="1"/>
  <c r="F519" i="1" s="1"/>
  <c r="Q170" i="1"/>
  <c r="Q398" i="1" s="1"/>
  <c r="Q439" i="1" s="1"/>
  <c r="P170" i="1"/>
  <c r="P398" i="1" s="1"/>
  <c r="P439" i="1" s="1"/>
  <c r="O170" i="1"/>
  <c r="N170" i="1"/>
  <c r="N398" i="1" s="1"/>
  <c r="N439" i="1" s="1"/>
  <c r="M170" i="1"/>
  <c r="L170" i="1"/>
  <c r="K170" i="1"/>
  <c r="J170" i="1"/>
  <c r="I170" i="1"/>
  <c r="H170" i="1"/>
  <c r="G170" i="1"/>
  <c r="F170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Q158" i="1"/>
  <c r="P158" i="1"/>
  <c r="O158" i="1"/>
  <c r="N158" i="1"/>
  <c r="M158" i="1"/>
  <c r="L158" i="1"/>
  <c r="K158" i="1"/>
  <c r="J158" i="1"/>
  <c r="J386" i="1" s="1"/>
  <c r="J517" i="1" s="1"/>
  <c r="I158" i="1"/>
  <c r="I386" i="1" s="1"/>
  <c r="I517" i="1" s="1"/>
  <c r="H158" i="1"/>
  <c r="H386" i="1" s="1"/>
  <c r="H517" i="1" s="1"/>
  <c r="G158" i="1"/>
  <c r="G386" i="1" s="1"/>
  <c r="G517" i="1" s="1"/>
  <c r="F158" i="1"/>
  <c r="F386" i="1" s="1"/>
  <c r="F517" i="1" s="1"/>
  <c r="Q157" i="1"/>
  <c r="P157" i="1"/>
  <c r="P385" i="1" s="1"/>
  <c r="P516" i="1" s="1"/>
  <c r="O157" i="1"/>
  <c r="O385" i="1" s="1"/>
  <c r="O516" i="1" s="1"/>
  <c r="N157" i="1"/>
  <c r="N385" i="1" s="1"/>
  <c r="N516" i="1" s="1"/>
  <c r="M157" i="1"/>
  <c r="M385" i="1" s="1"/>
  <c r="M516" i="1" s="1"/>
  <c r="L157" i="1"/>
  <c r="L385" i="1" s="1"/>
  <c r="L516" i="1" s="1"/>
  <c r="K157" i="1"/>
  <c r="K385" i="1" s="1"/>
  <c r="K516" i="1" s="1"/>
  <c r="J157" i="1"/>
  <c r="J385" i="1" s="1"/>
  <c r="J516" i="1" s="1"/>
  <c r="I157" i="1"/>
  <c r="I385" i="1" s="1"/>
  <c r="I516" i="1" s="1"/>
  <c r="H157" i="1"/>
  <c r="H385" i="1" s="1"/>
  <c r="H516" i="1" s="1"/>
  <c r="G157" i="1"/>
  <c r="F157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Q155" i="1"/>
  <c r="P155" i="1"/>
  <c r="O155" i="1"/>
  <c r="O383" i="1" s="1"/>
  <c r="O514" i="1" s="1"/>
  <c r="N155" i="1"/>
  <c r="N383" i="1" s="1"/>
  <c r="N514" i="1" s="1"/>
  <c r="M155" i="1"/>
  <c r="L155" i="1"/>
  <c r="K155" i="1"/>
  <c r="K383" i="1" s="1"/>
  <c r="K514" i="1" s="1"/>
  <c r="J155" i="1"/>
  <c r="J383" i="1" s="1"/>
  <c r="J514" i="1" s="1"/>
  <c r="I155" i="1"/>
  <c r="I383" i="1" s="1"/>
  <c r="I514" i="1" s="1"/>
  <c r="H155" i="1"/>
  <c r="G155" i="1"/>
  <c r="G383" i="1" s="1"/>
  <c r="G514" i="1" s="1"/>
  <c r="F155" i="1"/>
  <c r="F383" i="1" s="1"/>
  <c r="F514" i="1" s="1"/>
  <c r="Q154" i="1"/>
  <c r="Q382" i="1" s="1"/>
  <c r="Q513" i="1" s="1"/>
  <c r="P154" i="1"/>
  <c r="P382" i="1" s="1"/>
  <c r="P513" i="1" s="1"/>
  <c r="O154" i="1"/>
  <c r="N154" i="1"/>
  <c r="M154" i="1"/>
  <c r="L154" i="1"/>
  <c r="K154" i="1"/>
  <c r="J154" i="1"/>
  <c r="I154" i="1"/>
  <c r="H154" i="1"/>
  <c r="G154" i="1"/>
  <c r="F154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Q152" i="1"/>
  <c r="P152" i="1"/>
  <c r="P380" i="1" s="1"/>
  <c r="P437" i="1" s="1"/>
  <c r="O152" i="1"/>
  <c r="O380" i="1" s="1"/>
  <c r="O437" i="1" s="1"/>
  <c r="N152" i="1"/>
  <c r="M152" i="1"/>
  <c r="L152" i="1"/>
  <c r="K152" i="1"/>
  <c r="J152" i="1"/>
  <c r="I152" i="1"/>
  <c r="H152" i="1"/>
  <c r="G152" i="1"/>
  <c r="F152" i="1"/>
  <c r="F380" i="1" s="1"/>
  <c r="Q136" i="1"/>
  <c r="P136" i="1"/>
  <c r="O136" i="1"/>
  <c r="N136" i="1"/>
  <c r="M136" i="1"/>
  <c r="L136" i="1"/>
  <c r="K136" i="1"/>
  <c r="J136" i="1"/>
  <c r="J364" i="1" s="1"/>
  <c r="I136" i="1"/>
  <c r="I364" i="1" s="1"/>
  <c r="H136" i="1"/>
  <c r="H364" i="1" s="1"/>
  <c r="G136" i="1"/>
  <c r="G364" i="1" s="1"/>
  <c r="F136" i="1"/>
  <c r="F364" i="1" s="1"/>
  <c r="Q135" i="1"/>
  <c r="P135" i="1"/>
  <c r="O135" i="1"/>
  <c r="N135" i="1"/>
  <c r="M135" i="1"/>
  <c r="L135" i="1"/>
  <c r="K135" i="1"/>
  <c r="K363" i="1" s="1"/>
  <c r="K504" i="1" s="1"/>
  <c r="J135" i="1"/>
  <c r="I135" i="1"/>
  <c r="H135" i="1"/>
  <c r="G135" i="1"/>
  <c r="F135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F362" i="1" s="1"/>
  <c r="F429" i="1" s="1"/>
  <c r="Q133" i="1"/>
  <c r="P133" i="1"/>
  <c r="O133" i="1"/>
  <c r="O361" i="1" s="1"/>
  <c r="O428" i="1" s="1"/>
  <c r="N133" i="1"/>
  <c r="N130" i="1" s="1"/>
  <c r="M133" i="1"/>
  <c r="L133" i="1"/>
  <c r="L140" i="1" s="1" a="1"/>
  <c r="L140" i="1" s="1"/>
  <c r="K133" i="1"/>
  <c r="K361" i="1" s="1"/>
  <c r="K428" i="1" s="1"/>
  <c r="J133" i="1"/>
  <c r="J140" i="1" s="1" a="1"/>
  <c r="J140" i="1" s="1"/>
  <c r="I133" i="1"/>
  <c r="I130" i="1" s="1"/>
  <c r="H133" i="1"/>
  <c r="G133" i="1"/>
  <c r="F133" i="1"/>
  <c r="Q132" i="1"/>
  <c r="Q139" i="1" s="1" a="1"/>
  <c r="Q139" i="1" s="1"/>
  <c r="P132" i="1"/>
  <c r="O132" i="1"/>
  <c r="N132" i="1"/>
  <c r="M132" i="1"/>
  <c r="L132" i="1"/>
  <c r="K132" i="1"/>
  <c r="J132" i="1"/>
  <c r="J139" i="1" s="1" a="1"/>
  <c r="J139" i="1" s="1"/>
  <c r="I132" i="1"/>
  <c r="H132" i="1"/>
  <c r="G132" i="1"/>
  <c r="F132" i="1"/>
  <c r="Q131" i="1"/>
  <c r="P131" i="1"/>
  <c r="O131" i="1"/>
  <c r="O138" i="1" s="1" a="1"/>
  <c r="N131" i="1"/>
  <c r="M131" i="1"/>
  <c r="M130" i="1" s="1"/>
  <c r="L131" i="1"/>
  <c r="L130" i="1" s="1"/>
  <c r="K131" i="1"/>
  <c r="K130" i="1" s="1"/>
  <c r="J131" i="1"/>
  <c r="J130" i="1" s="1"/>
  <c r="I131" i="1"/>
  <c r="H131" i="1"/>
  <c r="H130" i="1" s="1"/>
  <c r="G131" i="1"/>
  <c r="G138" i="1" s="1" a="1"/>
  <c r="G138" i="1" s="1"/>
  <c r="F131" i="1"/>
  <c r="F138" i="1" s="1" a="1"/>
  <c r="F138" i="1" s="1"/>
  <c r="Q97" i="1"/>
  <c r="Q129" i="1" s="1"/>
  <c r="P97" i="1"/>
  <c r="P129" i="1" s="1"/>
  <c r="O97" i="1"/>
  <c r="N97" i="1"/>
  <c r="M97" i="1"/>
  <c r="M129" i="1" s="1"/>
  <c r="L97" i="1"/>
  <c r="L129" i="1" s="1"/>
  <c r="K97" i="1"/>
  <c r="K325" i="1" s="1"/>
  <c r="J97" i="1"/>
  <c r="J129" i="1" s="1"/>
  <c r="I97" i="1"/>
  <c r="I129" i="1" s="1"/>
  <c r="H97" i="1"/>
  <c r="G97" i="1"/>
  <c r="F97" i="1"/>
  <c r="F325" i="1" s="1"/>
  <c r="F480" i="1" s="1"/>
  <c r="Q96" i="1"/>
  <c r="P96" i="1"/>
  <c r="O96" i="1"/>
  <c r="N96" i="1"/>
  <c r="M96" i="1"/>
  <c r="L96" i="1"/>
  <c r="K96" i="1"/>
  <c r="J96" i="1"/>
  <c r="J324" i="1" s="1"/>
  <c r="J479" i="1" s="1"/>
  <c r="I96" i="1"/>
  <c r="I324" i="1" s="1"/>
  <c r="I479" i="1" s="1"/>
  <c r="H96" i="1"/>
  <c r="H128" i="1" s="1"/>
  <c r="G96" i="1"/>
  <c r="G128" i="1" s="1"/>
  <c r="F96" i="1"/>
  <c r="F324" i="1" s="1"/>
  <c r="F479" i="1" s="1"/>
  <c r="Q95" i="1"/>
  <c r="P95" i="1"/>
  <c r="O95" i="1"/>
  <c r="N95" i="1"/>
  <c r="N323" i="1" s="1"/>
  <c r="N478" i="1" s="1"/>
  <c r="M95" i="1"/>
  <c r="L95" i="1"/>
  <c r="L323" i="1" s="1"/>
  <c r="K95" i="1"/>
  <c r="K127" i="1" s="1"/>
  <c r="J95" i="1"/>
  <c r="I95" i="1"/>
  <c r="H95" i="1"/>
  <c r="G95" i="1"/>
  <c r="F95" i="1"/>
  <c r="Q94" i="1"/>
  <c r="Q322" i="1" s="1"/>
  <c r="P94" i="1"/>
  <c r="P126" i="1" s="1"/>
  <c r="O94" i="1"/>
  <c r="N94" i="1"/>
  <c r="N322" i="1" s="1"/>
  <c r="N477" i="1" s="1"/>
  <c r="M94" i="1"/>
  <c r="L94" i="1"/>
  <c r="K94" i="1"/>
  <c r="K126" i="1" s="1"/>
  <c r="J94" i="1"/>
  <c r="I94" i="1"/>
  <c r="I126" i="1" s="1"/>
  <c r="H94" i="1"/>
  <c r="G94" i="1"/>
  <c r="G126" i="1" s="1"/>
  <c r="F94" i="1"/>
  <c r="Q93" i="1"/>
  <c r="Q125" i="1" s="1"/>
  <c r="P93" i="1"/>
  <c r="P125" i="1" s="1"/>
  <c r="O93" i="1"/>
  <c r="O321" i="1" s="1"/>
  <c r="O476" i="1" s="1"/>
  <c r="N93" i="1"/>
  <c r="N321" i="1" s="1"/>
  <c r="N476" i="1" s="1"/>
  <c r="M93" i="1"/>
  <c r="M321" i="1" s="1"/>
  <c r="M476" i="1" s="1"/>
  <c r="L93" i="1"/>
  <c r="L321" i="1" s="1"/>
  <c r="L476" i="1" s="1"/>
  <c r="K93" i="1"/>
  <c r="K321" i="1" s="1"/>
  <c r="K476" i="1" s="1"/>
  <c r="J93" i="1"/>
  <c r="J321" i="1" s="1"/>
  <c r="J476" i="1" s="1"/>
  <c r="I93" i="1"/>
  <c r="I321" i="1" s="1"/>
  <c r="I476" i="1" s="1"/>
  <c r="H93" i="1"/>
  <c r="H321" i="1" s="1"/>
  <c r="H476" i="1" s="1"/>
  <c r="G93" i="1"/>
  <c r="F93" i="1"/>
  <c r="Q92" i="1"/>
  <c r="P92" i="1"/>
  <c r="O92" i="1"/>
  <c r="N92" i="1"/>
  <c r="N320" i="1" s="1"/>
  <c r="N475" i="1" s="1"/>
  <c r="M92" i="1"/>
  <c r="M320" i="1" s="1"/>
  <c r="M475" i="1" s="1"/>
  <c r="L92" i="1"/>
  <c r="L124" i="1" s="1"/>
  <c r="K92" i="1"/>
  <c r="K320" i="1" s="1"/>
  <c r="J92" i="1"/>
  <c r="J320" i="1" s="1"/>
  <c r="J475" i="1" s="1"/>
  <c r="I92" i="1"/>
  <c r="H92" i="1"/>
  <c r="G92" i="1"/>
  <c r="F92" i="1"/>
  <c r="Q91" i="1"/>
  <c r="P91" i="1"/>
  <c r="O91" i="1"/>
  <c r="O123" i="1" s="1"/>
  <c r="N91" i="1"/>
  <c r="N123" i="1" s="1"/>
  <c r="M91" i="1"/>
  <c r="L91" i="1"/>
  <c r="L123" i="1" s="1"/>
  <c r="K91" i="1"/>
  <c r="K123" i="1" s="1"/>
  <c r="J91" i="1"/>
  <c r="J319" i="1" s="1"/>
  <c r="J474" i="1" s="1"/>
  <c r="I91" i="1"/>
  <c r="I319" i="1" s="1"/>
  <c r="I474" i="1" s="1"/>
  <c r="H91" i="1"/>
  <c r="H123" i="1" s="1"/>
  <c r="G91" i="1"/>
  <c r="G123" i="1" s="1"/>
  <c r="F91" i="1"/>
  <c r="F123" i="1" s="1"/>
  <c r="Q90" i="1"/>
  <c r="Q122" i="1" s="1"/>
  <c r="P90" i="1"/>
  <c r="P122" i="1" s="1"/>
  <c r="O90" i="1"/>
  <c r="O122" i="1" s="1"/>
  <c r="N90" i="1"/>
  <c r="N122" i="1" s="1"/>
  <c r="M90" i="1"/>
  <c r="M122" i="1" s="1"/>
  <c r="L90" i="1"/>
  <c r="K90" i="1"/>
  <c r="J90" i="1"/>
  <c r="J318" i="1" s="1"/>
  <c r="J473" i="1" s="1"/>
  <c r="I90" i="1"/>
  <c r="I318" i="1" s="1"/>
  <c r="I473" i="1" s="1"/>
  <c r="H90" i="1"/>
  <c r="H318" i="1" s="1"/>
  <c r="H473" i="1" s="1"/>
  <c r="G90" i="1"/>
  <c r="F90" i="1"/>
  <c r="F318" i="1" s="1"/>
  <c r="F473" i="1" s="1"/>
  <c r="Q89" i="1"/>
  <c r="P89" i="1"/>
  <c r="O89" i="1"/>
  <c r="N89" i="1"/>
  <c r="M89" i="1"/>
  <c r="L89" i="1"/>
  <c r="K89" i="1"/>
  <c r="J89" i="1"/>
  <c r="J121" i="1" s="1"/>
  <c r="I89" i="1"/>
  <c r="H89" i="1"/>
  <c r="H121" i="1" s="1"/>
  <c r="G89" i="1"/>
  <c r="G121" i="1" s="1"/>
  <c r="F89" i="1"/>
  <c r="F121" i="1" s="1"/>
  <c r="Q88" i="1"/>
  <c r="Q120" i="1" s="1"/>
  <c r="P88" i="1"/>
  <c r="P120" i="1" s="1"/>
  <c r="O88" i="1"/>
  <c r="O120" i="1" s="1"/>
  <c r="N88" i="1"/>
  <c r="M88" i="1"/>
  <c r="L88" i="1"/>
  <c r="K88" i="1"/>
  <c r="J88" i="1"/>
  <c r="J120" i="1" s="1"/>
  <c r="I88" i="1"/>
  <c r="I241" i="1" s="1"/>
  <c r="I316" i="1" s="1"/>
  <c r="I471" i="1" s="1"/>
  <c r="H88" i="1"/>
  <c r="G88" i="1"/>
  <c r="F88" i="1"/>
  <c r="Q87" i="1"/>
  <c r="P87" i="1"/>
  <c r="O87" i="1"/>
  <c r="N87" i="1"/>
  <c r="M87" i="1"/>
  <c r="L87" i="1"/>
  <c r="K87" i="1"/>
  <c r="J87" i="1"/>
  <c r="I87" i="1"/>
  <c r="H87" i="1"/>
  <c r="G87" i="1"/>
  <c r="G315" i="1" s="1"/>
  <c r="F87" i="1"/>
  <c r="F119" i="1" s="1"/>
  <c r="Q86" i="1"/>
  <c r="Q118" i="1" s="1"/>
  <c r="P86" i="1"/>
  <c r="P118" i="1" s="1"/>
  <c r="O86" i="1"/>
  <c r="O118" i="1" s="1"/>
  <c r="N86" i="1"/>
  <c r="N118" i="1" s="1"/>
  <c r="M86" i="1"/>
  <c r="M118" i="1" s="1"/>
  <c r="L86" i="1"/>
  <c r="L118" i="1" s="1"/>
  <c r="K86" i="1"/>
  <c r="K118" i="1" s="1"/>
  <c r="J86" i="1"/>
  <c r="J118" i="1" s="1"/>
  <c r="I86" i="1"/>
  <c r="I118" i="1" s="1"/>
  <c r="H86" i="1"/>
  <c r="H314" i="1" s="1"/>
  <c r="H419" i="1" s="1"/>
  <c r="G86" i="1"/>
  <c r="G314" i="1" s="1"/>
  <c r="G419" i="1" s="1"/>
  <c r="F86" i="1"/>
  <c r="F314" i="1" s="1"/>
  <c r="F419" i="1" s="1"/>
  <c r="Q85" i="1"/>
  <c r="Q117" i="1" s="1"/>
  <c r="P85" i="1"/>
  <c r="P117" i="1" s="1"/>
  <c r="O85" i="1"/>
  <c r="O117" i="1" s="1"/>
  <c r="N85" i="1"/>
  <c r="M85" i="1"/>
  <c r="L85" i="1"/>
  <c r="L117" i="1" s="1"/>
  <c r="K85" i="1"/>
  <c r="J85" i="1"/>
  <c r="I85" i="1"/>
  <c r="H85" i="1"/>
  <c r="G85" i="1"/>
  <c r="F85" i="1"/>
  <c r="Q84" i="1"/>
  <c r="P84" i="1"/>
  <c r="O84" i="1"/>
  <c r="N84" i="1"/>
  <c r="M84" i="1"/>
  <c r="M116" i="1" s="1"/>
  <c r="L84" i="1"/>
  <c r="L116" i="1" s="1"/>
  <c r="K84" i="1"/>
  <c r="K116" i="1" s="1"/>
  <c r="J84" i="1"/>
  <c r="J116" i="1" s="1"/>
  <c r="I84" i="1"/>
  <c r="I116" i="1" s="1"/>
  <c r="H84" i="1"/>
  <c r="H116" i="1" s="1"/>
  <c r="G84" i="1"/>
  <c r="G116" i="1" s="1"/>
  <c r="F84" i="1"/>
  <c r="F116" i="1" s="1"/>
  <c r="Q83" i="1"/>
  <c r="Q115" i="1" s="1"/>
  <c r="P83" i="1"/>
  <c r="P115" i="1" s="1"/>
  <c r="O83" i="1"/>
  <c r="O115" i="1" s="1"/>
  <c r="N83" i="1"/>
  <c r="N115" i="1" s="1"/>
  <c r="M83" i="1"/>
  <c r="M115" i="1" s="1"/>
  <c r="L83" i="1"/>
  <c r="L115" i="1" s="1"/>
  <c r="K83" i="1"/>
  <c r="K115" i="1" s="1"/>
  <c r="J83" i="1"/>
  <c r="J115" i="1" s="1"/>
  <c r="I83" i="1"/>
  <c r="H83" i="1"/>
  <c r="H115" i="1" s="1"/>
  <c r="G83" i="1"/>
  <c r="F83" i="1"/>
  <c r="F115" i="1" s="1"/>
  <c r="Q77" i="1"/>
  <c r="P77" i="1"/>
  <c r="O77" i="1"/>
  <c r="N77" i="1"/>
  <c r="M77" i="1"/>
  <c r="L77" i="1"/>
  <c r="K77" i="1"/>
  <c r="J77" i="1"/>
  <c r="I77" i="1"/>
  <c r="H77" i="1"/>
  <c r="G77" i="1"/>
  <c r="F77" i="1"/>
  <c r="Q76" i="1"/>
  <c r="P76" i="1"/>
  <c r="O76" i="1"/>
  <c r="N76" i="1"/>
  <c r="M76" i="1"/>
  <c r="L76" i="1"/>
  <c r="K76" i="1"/>
  <c r="J76" i="1"/>
  <c r="I76" i="1"/>
  <c r="H76" i="1"/>
  <c r="G76" i="1"/>
  <c r="F76" i="1"/>
  <c r="Q73" i="1"/>
  <c r="P73" i="1"/>
  <c r="O73" i="1"/>
  <c r="N73" i="1"/>
  <c r="N301" i="1" s="1"/>
  <c r="N465" i="1" s="1"/>
  <c r="M73" i="1"/>
  <c r="L73" i="1"/>
  <c r="K73" i="1"/>
  <c r="J73" i="1"/>
  <c r="I73" i="1"/>
  <c r="H73" i="1"/>
  <c r="G73" i="1"/>
  <c r="F73" i="1"/>
  <c r="Q72" i="1"/>
  <c r="Q300" i="1" s="1"/>
  <c r="Q413" i="1" s="1"/>
  <c r="P72" i="1"/>
  <c r="O72" i="1"/>
  <c r="N72" i="1"/>
  <c r="M72" i="1"/>
  <c r="L72" i="1"/>
  <c r="L300" i="1" s="1"/>
  <c r="L413" i="1" s="1"/>
  <c r="K72" i="1"/>
  <c r="K300" i="1" s="1"/>
  <c r="K413" i="1" s="1"/>
  <c r="J72" i="1"/>
  <c r="J300" i="1" s="1"/>
  <c r="J413" i="1" s="1"/>
  <c r="I72" i="1"/>
  <c r="I300" i="1" s="1"/>
  <c r="I413" i="1" s="1"/>
  <c r="H72" i="1"/>
  <c r="G72" i="1"/>
  <c r="G300" i="1" s="1"/>
  <c r="G413" i="1" s="1"/>
  <c r="F72" i="1"/>
  <c r="F300" i="1" s="1"/>
  <c r="F413" i="1" s="1"/>
  <c r="Q71" i="1"/>
  <c r="P71" i="1"/>
  <c r="O71" i="1"/>
  <c r="N71" i="1"/>
  <c r="M71" i="1"/>
  <c r="L71" i="1"/>
  <c r="K71" i="1"/>
  <c r="J71" i="1"/>
  <c r="I71" i="1"/>
  <c r="H71" i="1"/>
  <c r="G71" i="1"/>
  <c r="F71" i="1"/>
  <c r="Q69" i="1"/>
  <c r="P69" i="1"/>
  <c r="O69" i="1"/>
  <c r="N69" i="1"/>
  <c r="M69" i="1"/>
  <c r="L69" i="1"/>
  <c r="K69" i="1"/>
  <c r="J69" i="1"/>
  <c r="I69" i="1"/>
  <c r="H69" i="1"/>
  <c r="G69" i="1"/>
  <c r="F69" i="1"/>
  <c r="Q68" i="1"/>
  <c r="P68" i="1"/>
  <c r="O68" i="1"/>
  <c r="N68" i="1"/>
  <c r="M68" i="1"/>
  <c r="L68" i="1"/>
  <c r="K68" i="1"/>
  <c r="J68" i="1"/>
  <c r="I68" i="1"/>
  <c r="H68" i="1"/>
  <c r="G68" i="1"/>
  <c r="F68" i="1"/>
  <c r="Q67" i="1"/>
  <c r="P67" i="1"/>
  <c r="O67" i="1"/>
  <c r="N67" i="1"/>
  <c r="M67" i="1"/>
  <c r="L67" i="1"/>
  <c r="K67" i="1"/>
  <c r="J67" i="1"/>
  <c r="I67" i="1"/>
  <c r="H67" i="1"/>
  <c r="G67" i="1"/>
  <c r="F67" i="1"/>
  <c r="Q65" i="1"/>
  <c r="P65" i="1"/>
  <c r="O65" i="1"/>
  <c r="N65" i="1"/>
  <c r="M65" i="1"/>
  <c r="L65" i="1"/>
  <c r="K65" i="1"/>
  <c r="J65" i="1"/>
  <c r="I65" i="1"/>
  <c r="H65" i="1"/>
  <c r="G65" i="1"/>
  <c r="F65" i="1"/>
  <c r="Q1618" i="1"/>
  <c r="P1618" i="1"/>
  <c r="O1618" i="1"/>
  <c r="N1618" i="1"/>
  <c r="Q1617" i="1"/>
  <c r="P1617" i="1"/>
  <c r="O1617" i="1"/>
  <c r="N1617" i="1"/>
  <c r="Q1571" i="1"/>
  <c r="P1571" i="1"/>
  <c r="O1571" i="1"/>
  <c r="N1571" i="1"/>
  <c r="Q1570" i="1"/>
  <c r="P1570" i="1"/>
  <c r="O1570" i="1"/>
  <c r="N1570" i="1"/>
  <c r="Q1429" i="1"/>
  <c r="P1429" i="1"/>
  <c r="O1429" i="1"/>
  <c r="N1429" i="1"/>
  <c r="Q1428" i="1"/>
  <c r="P1428" i="1"/>
  <c r="O1428" i="1"/>
  <c r="N1428" i="1"/>
  <c r="Q1345" i="1"/>
  <c r="P1345" i="1"/>
  <c r="O1345" i="1"/>
  <c r="N1345" i="1"/>
  <c r="Q1344" i="1"/>
  <c r="P1344" i="1"/>
  <c r="O1344" i="1"/>
  <c r="N1344" i="1"/>
  <c r="Q1207" i="1"/>
  <c r="P1207" i="1"/>
  <c r="O1207" i="1"/>
  <c r="N1207" i="1"/>
  <c r="Q1206" i="1"/>
  <c r="P1206" i="1"/>
  <c r="O1206" i="1"/>
  <c r="N1206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K1648" i="1" a="1"/>
  <c r="K1648" i="1" s="1"/>
  <c r="Q1648" i="1" a="1"/>
  <c r="Q1648" i="1" s="1"/>
  <c r="M1648" i="1" a="1"/>
  <c r="M1648" i="1"/>
  <c r="O1648" i="1" a="1"/>
  <c r="O1648" i="1"/>
  <c r="J1648" i="1" a="1"/>
  <c r="J1648" i="1"/>
  <c r="P1648" i="1" a="1"/>
  <c r="P1648" i="1" s="1"/>
  <c r="L1648" i="1" a="1"/>
  <c r="L1648" i="1" s="1"/>
  <c r="N1648" i="1" a="1"/>
  <c r="N1648" i="1" s="1"/>
  <c r="I1648" i="1" a="1"/>
  <c r="I1648" i="1" s="1"/>
  <c r="N1644" i="1" a="1"/>
  <c r="N1644" i="1" s="1"/>
  <c r="H1644" i="1" a="1"/>
  <c r="H1644" i="1"/>
  <c r="M1644" i="1" a="1"/>
  <c r="M1644" i="1" s="1"/>
  <c r="P1644" i="1" a="1"/>
  <c r="P1644" i="1" s="1"/>
  <c r="J1644" i="1" a="1"/>
  <c r="J1644" i="1"/>
  <c r="G1644" i="1" a="1"/>
  <c r="G1644" i="1" s="1"/>
  <c r="Q1644" i="1" a="1"/>
  <c r="Q1644" i="1"/>
  <c r="O1644" i="1" a="1"/>
  <c r="O1644" i="1"/>
  <c r="I1644" i="1" a="1"/>
  <c r="I1644" i="1"/>
  <c r="H1648" i="1" a="1"/>
  <c r="H1648" i="1"/>
  <c r="G1648" i="1" a="1"/>
  <c r="G1648" i="1" s="1"/>
  <c r="F1644" i="1" a="1"/>
  <c r="F1644" i="1"/>
  <c r="F1648" i="1" a="1"/>
  <c r="F1648" i="1" s="1"/>
  <c r="L1644" i="1" a="1"/>
  <c r="L1644" i="1" s="1"/>
  <c r="K1644" i="1" a="1"/>
  <c r="K1644" i="1" s="1"/>
  <c r="Q1663" i="1"/>
  <c r="P1663" i="1"/>
  <c r="O1663" i="1"/>
  <c r="N1663" i="1"/>
  <c r="M1663" i="1"/>
  <c r="L1663" i="1"/>
  <c r="K1663" i="1"/>
  <c r="J1663" i="1"/>
  <c r="I1663" i="1"/>
  <c r="H1663" i="1"/>
  <c r="G1663" i="1"/>
  <c r="F1663" i="1"/>
  <c r="I36" i="1"/>
  <c r="H36" i="1"/>
  <c r="G36" i="1"/>
  <c r="F36" i="1"/>
  <c r="Q32" i="1"/>
  <c r="P32" i="1"/>
  <c r="O32" i="1"/>
  <c r="O30" i="1" s="1" a="1"/>
  <c r="N32" i="1"/>
  <c r="M32" i="1"/>
  <c r="L32" i="1"/>
  <c r="K32" i="1"/>
  <c r="J32" i="1"/>
  <c r="I32" i="1"/>
  <c r="H32" i="1"/>
  <c r="G32" i="1"/>
  <c r="F32" i="1"/>
  <c r="J685" i="1" a="1"/>
  <c r="J685" i="1"/>
  <c r="I685" i="1" a="1"/>
  <c r="I685" i="1" s="1"/>
  <c r="K683" i="1" a="1"/>
  <c r="K683" i="1" s="1"/>
  <c r="P682" i="1" a="1"/>
  <c r="P682" i="1"/>
  <c r="K681" i="1" a="1"/>
  <c r="K681" i="1" s="1"/>
  <c r="O683" i="1" a="1"/>
  <c r="O683" i="1" s="1"/>
  <c r="G682" i="1" a="1"/>
  <c r="G682" i="1" s="1"/>
  <c r="L685" i="1" a="1"/>
  <c r="L685" i="1" s="1"/>
  <c r="L683" i="1" a="1"/>
  <c r="L683" i="1" s="1"/>
  <c r="H685" i="1" a="1"/>
  <c r="H685" i="1" s="1"/>
  <c r="P681" i="1" a="1"/>
  <c r="P681" i="1"/>
  <c r="G685" i="1" a="1"/>
  <c r="G685" i="1"/>
  <c r="Q683" i="1" a="1"/>
  <c r="Q683" i="1" s="1"/>
  <c r="H683" i="1" a="1"/>
  <c r="H683" i="1" s="1"/>
  <c r="F681" i="1" a="1"/>
  <c r="F681" i="1" s="1"/>
  <c r="I681" i="1" a="1"/>
  <c r="I681" i="1"/>
  <c r="N683" i="1" a="1"/>
  <c r="N683" i="1" s="1"/>
  <c r="Q682" i="1" a="1"/>
  <c r="Q682" i="1"/>
  <c r="I682" i="1" a="1"/>
  <c r="I682" i="1" s="1"/>
  <c r="L681" i="1" a="1"/>
  <c r="L681" i="1" s="1"/>
  <c r="N682" i="1" a="1"/>
  <c r="N682" i="1"/>
  <c r="F682" i="1" a="1"/>
  <c r="F682" i="1" s="1"/>
  <c r="G681" i="1" a="1"/>
  <c r="G681" i="1" s="1"/>
  <c r="P683" i="1" a="1"/>
  <c r="P683" i="1" s="1"/>
  <c r="H682" i="1" a="1"/>
  <c r="H682" i="1"/>
  <c r="N685" i="1" a="1"/>
  <c r="N685" i="1"/>
  <c r="I683" i="1" a="1"/>
  <c r="I683" i="1"/>
  <c r="F683" i="1" a="1"/>
  <c r="F683" i="1" s="1"/>
  <c r="M685" i="1" a="1"/>
  <c r="M685" i="1" s="1"/>
  <c r="F685" i="1" a="1"/>
  <c r="F685" i="1" s="1"/>
  <c r="M683" i="1" a="1"/>
  <c r="M683" i="1" s="1"/>
  <c r="L682" i="1" a="1"/>
  <c r="L682" i="1"/>
  <c r="J681" i="1" a="1"/>
  <c r="J681" i="1" s="1"/>
  <c r="H681" i="1" a="1"/>
  <c r="H681" i="1" s="1"/>
  <c r="M682" i="1" a="1"/>
  <c r="M682" i="1"/>
  <c r="G683" i="1" a="1"/>
  <c r="G683" i="1" s="1"/>
  <c r="J682" i="1" a="1"/>
  <c r="J682" i="1" s="1"/>
  <c r="Q681" i="1" a="1"/>
  <c r="Q681" i="1"/>
  <c r="O681" i="1" a="1"/>
  <c r="O681" i="1" s="1"/>
  <c r="N681" i="1" a="1"/>
  <c r="N681" i="1" s="1"/>
  <c r="M681" i="1" a="1"/>
  <c r="M681" i="1" s="1"/>
  <c r="O682" i="1" a="1"/>
  <c r="O682" i="1" s="1"/>
  <c r="K682" i="1" a="1"/>
  <c r="K682" i="1" s="1"/>
  <c r="K685" i="1" a="1"/>
  <c r="K685" i="1" s="1"/>
  <c r="J683" i="1" a="1"/>
  <c r="J683" i="1" s="1"/>
  <c r="N666" i="1" a="1"/>
  <c r="N666" i="1"/>
  <c r="J666" i="1" a="1"/>
  <c r="J666" i="1" s="1"/>
  <c r="G665" i="1" a="1"/>
  <c r="G665" i="1"/>
  <c r="N665" i="1" a="1"/>
  <c r="N665" i="1"/>
  <c r="Q664" i="1" a="1"/>
  <c r="Q664" i="1" s="1"/>
  <c r="O666" i="1" a="1"/>
  <c r="O666" i="1"/>
  <c r="P666" i="1" a="1"/>
  <c r="P666" i="1" s="1"/>
  <c r="M665" i="1" a="1"/>
  <c r="M665" i="1" s="1"/>
  <c r="P665" i="1" a="1"/>
  <c r="P665" i="1"/>
  <c r="I666" i="1" a="1"/>
  <c r="I666" i="1" s="1"/>
  <c r="H666" i="1" a="1"/>
  <c r="H666" i="1" s="1"/>
  <c r="P664" i="1" a="1"/>
  <c r="P664" i="1" s="1"/>
  <c r="O664" i="1" a="1"/>
  <c r="O664" i="1" s="1"/>
  <c r="K666" i="1" a="1"/>
  <c r="K666" i="1" s="1"/>
  <c r="Q665" i="1" a="1"/>
  <c r="Q665" i="1"/>
  <c r="O665" i="1" a="1"/>
  <c r="O665" i="1" s="1"/>
  <c r="J665" i="1" a="1"/>
  <c r="J665" i="1"/>
  <c r="G666" i="1" a="1"/>
  <c r="G666" i="1" s="1"/>
  <c r="F666" i="1" a="1"/>
  <c r="F666" i="1"/>
  <c r="L665" i="1" a="1"/>
  <c r="L665" i="1"/>
  <c r="Q666" i="1" a="1"/>
  <c r="Q666" i="1"/>
  <c r="L666" i="1" a="1"/>
  <c r="L666" i="1"/>
  <c r="K665" i="1" a="1"/>
  <c r="K665" i="1" s="1"/>
  <c r="H665" i="1" a="1"/>
  <c r="H665" i="1"/>
  <c r="F665" i="1" a="1"/>
  <c r="F665" i="1" s="1"/>
  <c r="M666" i="1" a="1"/>
  <c r="M666" i="1" s="1"/>
  <c r="I665" i="1" a="1"/>
  <c r="I665" i="1" s="1"/>
  <c r="H664" i="1" a="1"/>
  <c r="H664" i="1" s="1"/>
  <c r="K664" i="1" a="1"/>
  <c r="K664" i="1"/>
  <c r="J664" i="1" a="1"/>
  <c r="J664" i="1" s="1"/>
  <c r="I664" i="1" a="1"/>
  <c r="I664" i="1" s="1"/>
  <c r="P652" i="1" a="1"/>
  <c r="P652" i="1"/>
  <c r="G664" i="1" a="1"/>
  <c r="G664" i="1"/>
  <c r="F664" i="1" a="1"/>
  <c r="F664" i="1"/>
  <c r="Q652" i="1" a="1"/>
  <c r="Q652" i="1"/>
  <c r="F653" i="1" a="1"/>
  <c r="F653" i="1" s="1"/>
  <c r="H652" i="1" a="1"/>
  <c r="H652" i="1"/>
  <c r="M653" i="1" a="1"/>
  <c r="M653" i="1" s="1"/>
  <c r="Q653" i="1" a="1"/>
  <c r="Q653" i="1" s="1"/>
  <c r="G653" i="1" a="1"/>
  <c r="G653" i="1"/>
  <c r="O652" i="1" a="1"/>
  <c r="O652" i="1" s="1"/>
  <c r="M652" i="1" a="1"/>
  <c r="M652" i="1" s="1"/>
  <c r="P653" i="1" a="1"/>
  <c r="P653" i="1"/>
  <c r="L652" i="1" a="1"/>
  <c r="L652" i="1" s="1"/>
  <c r="N652" i="1" a="1"/>
  <c r="N652" i="1" s="1"/>
  <c r="O653" i="1" a="1"/>
  <c r="O653" i="1" s="1"/>
  <c r="I653" i="1" a="1"/>
  <c r="I653" i="1" s="1"/>
  <c r="J653" i="1" a="1"/>
  <c r="J653" i="1"/>
  <c r="L653" i="1" a="1"/>
  <c r="L653" i="1"/>
  <c r="N653" i="1" a="1"/>
  <c r="N653" i="1"/>
  <c r="H653" i="1" a="1"/>
  <c r="H653" i="1"/>
  <c r="K652" i="1" a="1"/>
  <c r="K652" i="1" s="1"/>
  <c r="G652" i="1" a="1"/>
  <c r="G652" i="1"/>
  <c r="J652" i="1" a="1"/>
  <c r="J652" i="1" s="1"/>
  <c r="I652" i="1" a="1"/>
  <c r="I652" i="1" s="1"/>
  <c r="N664" i="1" a="1"/>
  <c r="N664" i="1" s="1"/>
  <c r="M664" i="1" a="1"/>
  <c r="M664" i="1"/>
  <c r="K653" i="1" a="1"/>
  <c r="K653" i="1" s="1"/>
  <c r="L664" i="1" a="1"/>
  <c r="L664" i="1" s="1"/>
  <c r="P650" i="1" a="1"/>
  <c r="P650" i="1" s="1"/>
  <c r="P647" i="1" a="1"/>
  <c r="P647" i="1" s="1"/>
  <c r="G647" i="1" a="1"/>
  <c r="G647" i="1"/>
  <c r="F649" i="1" a="1"/>
  <c r="F649" i="1"/>
  <c r="Q650" i="1" a="1"/>
  <c r="Q650" i="1"/>
  <c r="I650" i="1" a="1"/>
  <c r="I650" i="1"/>
  <c r="L647" i="1" a="1"/>
  <c r="L647" i="1" s="1"/>
  <c r="O650" i="1" a="1"/>
  <c r="O650" i="1"/>
  <c r="P648" i="1" a="1"/>
  <c r="P648" i="1"/>
  <c r="N650" i="1" a="1"/>
  <c r="N650" i="1"/>
  <c r="M650" i="1" a="1"/>
  <c r="M650" i="1" s="1"/>
  <c r="F650" i="1" a="1"/>
  <c r="F650" i="1"/>
  <c r="N648" i="1" a="1"/>
  <c r="N648" i="1" s="1"/>
  <c r="N649" i="1" a="1"/>
  <c r="N649" i="1"/>
  <c r="M649" i="1" a="1"/>
  <c r="M649" i="1" s="1"/>
  <c r="Q648" i="1" a="1"/>
  <c r="Q648" i="1" s="1"/>
  <c r="L648" i="1" a="1"/>
  <c r="L648" i="1" s="1"/>
  <c r="J647" i="1" a="1"/>
  <c r="J647" i="1" s="1"/>
  <c r="H647" i="1" a="1"/>
  <c r="H647" i="1" s="1"/>
  <c r="Q647" i="1" a="1"/>
  <c r="Q647" i="1" s="1"/>
  <c r="O647" i="1" a="1"/>
  <c r="O647" i="1" s="1"/>
  <c r="F647" i="1" a="1"/>
  <c r="F647" i="1"/>
  <c r="M647" i="1" a="1"/>
  <c r="M647" i="1"/>
  <c r="Q645" i="1" a="1"/>
  <c r="Q645" i="1"/>
  <c r="J649" i="1" a="1"/>
  <c r="J649" i="1" s="1"/>
  <c r="K649" i="1" a="1"/>
  <c r="K649" i="1"/>
  <c r="I649" i="1" a="1"/>
  <c r="I649" i="1" s="1"/>
  <c r="M648" i="1" a="1"/>
  <c r="M648" i="1"/>
  <c r="J648" i="1" a="1"/>
  <c r="J648" i="1" s="1"/>
  <c r="F648" i="1" a="1"/>
  <c r="F648" i="1" s="1"/>
  <c r="N647" i="1" a="1"/>
  <c r="N647" i="1" s="1"/>
  <c r="P645" i="1" a="1"/>
  <c r="P645" i="1" s="1"/>
  <c r="L650" i="1" a="1"/>
  <c r="L650" i="1" s="1"/>
  <c r="K650" i="1" a="1"/>
  <c r="K650" i="1" s="1"/>
  <c r="K647" i="1" a="1"/>
  <c r="K647" i="1" s="1"/>
  <c r="J650" i="1" a="1"/>
  <c r="J650" i="1"/>
  <c r="H650" i="1" a="1"/>
  <c r="H650" i="1"/>
  <c r="P649" i="1" a="1"/>
  <c r="P649" i="1"/>
  <c r="H649" i="1" a="1"/>
  <c r="H649" i="1" s="1"/>
  <c r="O645" i="1" a="1"/>
  <c r="O645" i="1"/>
  <c r="H648" i="1" a="1"/>
  <c r="H648" i="1" s="1"/>
  <c r="G649" i="1" a="1"/>
  <c r="G649" i="1"/>
  <c r="I648" i="1" a="1"/>
  <c r="I648" i="1"/>
  <c r="K648" i="1" a="1"/>
  <c r="K648" i="1"/>
  <c r="G648" i="1" a="1"/>
  <c r="G648" i="1" s="1"/>
  <c r="I647" i="1" a="1"/>
  <c r="I647" i="1" s="1"/>
  <c r="G650" i="1" a="1"/>
  <c r="G650" i="1" s="1"/>
  <c r="F652" i="1" a="1"/>
  <c r="F652" i="1" s="1"/>
  <c r="Q649" i="1" a="1"/>
  <c r="Q649" i="1"/>
  <c r="O648" i="1" a="1"/>
  <c r="O648" i="1" s="1"/>
  <c r="L649" i="1" a="1"/>
  <c r="L649" i="1" s="1"/>
  <c r="O649" i="1" a="1"/>
  <c r="O649" i="1" s="1"/>
  <c r="Q640" i="1" a="1"/>
  <c r="Q640" i="1" s="1"/>
  <c r="P642" i="1" a="1"/>
  <c r="P642" i="1"/>
  <c r="O642" i="1" a="1"/>
  <c r="O642" i="1" s="1"/>
  <c r="F642" i="1" a="1"/>
  <c r="F642" i="1"/>
  <c r="G640" i="1" a="1"/>
  <c r="G640" i="1"/>
  <c r="J642" i="1" a="1"/>
  <c r="J642" i="1"/>
  <c r="H642" i="1" a="1"/>
  <c r="H642" i="1"/>
  <c r="P640" i="1" a="1"/>
  <c r="P640" i="1" s="1"/>
  <c r="O640" i="1" a="1"/>
  <c r="O640" i="1" s="1"/>
  <c r="J640" i="1" a="1"/>
  <c r="J640" i="1" s="1"/>
  <c r="Q639" i="1" a="1"/>
  <c r="Q639" i="1"/>
  <c r="L645" i="1" a="1"/>
  <c r="L645" i="1" s="1"/>
  <c r="H643" i="1" a="1"/>
  <c r="H643" i="1"/>
  <c r="F643" i="1" a="1"/>
  <c r="F643" i="1" s="1"/>
  <c r="G642" i="1" a="1"/>
  <c r="G642" i="1" s="1"/>
  <c r="K645" i="1" a="1"/>
  <c r="K645" i="1"/>
  <c r="N640" i="1" a="1"/>
  <c r="N640" i="1" s="1"/>
  <c r="I645" i="1" a="1"/>
  <c r="I645" i="1"/>
  <c r="L639" i="1" a="1"/>
  <c r="L639" i="1"/>
  <c r="G645" i="1" a="1"/>
  <c r="G645" i="1"/>
  <c r="F640" i="1" a="1"/>
  <c r="F640" i="1"/>
  <c r="M643" i="1" a="1"/>
  <c r="M643" i="1" s="1"/>
  <c r="Q642" i="1" a="1"/>
  <c r="Q642" i="1" s="1"/>
  <c r="I642" i="1" a="1"/>
  <c r="I642" i="1" s="1"/>
  <c r="N645" i="1" a="1"/>
  <c r="N645" i="1" s="1"/>
  <c r="K639" i="1" a="1"/>
  <c r="K639" i="1" s="1"/>
  <c r="M645" i="1" a="1"/>
  <c r="M645" i="1"/>
  <c r="F645" i="1" a="1"/>
  <c r="F645" i="1" s="1"/>
  <c r="H645" i="1" a="1"/>
  <c r="H645" i="1" s="1"/>
  <c r="P643" i="1" a="1"/>
  <c r="P643" i="1"/>
  <c r="L643" i="1" a="1"/>
  <c r="L643" i="1" s="1"/>
  <c r="K642" i="1" a="1"/>
  <c r="K642" i="1" s="1"/>
  <c r="M639" i="1" a="1"/>
  <c r="M639" i="1" s="1"/>
  <c r="I640" i="1" a="1"/>
  <c r="I640" i="1" s="1"/>
  <c r="O639" i="1" a="1"/>
  <c r="O639" i="1" s="1"/>
  <c r="L640" i="1" a="1"/>
  <c r="L640" i="1" s="1"/>
  <c r="O643" i="1" a="1"/>
  <c r="O643" i="1"/>
  <c r="K643" i="1" a="1"/>
  <c r="K643" i="1" s="1"/>
  <c r="M642" i="1" a="1"/>
  <c r="M642" i="1" s="1"/>
  <c r="L642" i="1" a="1"/>
  <c r="L642" i="1" s="1"/>
  <c r="G643" i="1" a="1"/>
  <c r="G643" i="1"/>
  <c r="H640" i="1" a="1"/>
  <c r="H640" i="1"/>
  <c r="Q643" i="1" a="1"/>
  <c r="Q643" i="1" s="1"/>
  <c r="N643" i="1" a="1"/>
  <c r="N643" i="1"/>
  <c r="N642" i="1" a="1"/>
  <c r="N642" i="1" s="1"/>
  <c r="K640" i="1" a="1"/>
  <c r="K640" i="1" s="1"/>
  <c r="N639" i="1" a="1"/>
  <c r="N639" i="1"/>
  <c r="P639" i="1" a="1"/>
  <c r="P639" i="1" s="1"/>
  <c r="M640" i="1" a="1"/>
  <c r="M640" i="1" s="1"/>
  <c r="J643" i="1" a="1"/>
  <c r="J643" i="1" s="1"/>
  <c r="I643" i="1" a="1"/>
  <c r="I643" i="1"/>
  <c r="J645" i="1" a="1"/>
  <c r="J645" i="1"/>
  <c r="I639" i="1" a="1"/>
  <c r="I639" i="1" s="1"/>
  <c r="H639" i="1" a="1"/>
  <c r="H639" i="1" s="1"/>
  <c r="F638" i="1" a="1"/>
  <c r="F638" i="1" s="1"/>
  <c r="G639" i="1" a="1"/>
  <c r="G639" i="1"/>
  <c r="F639" i="1" a="1"/>
  <c r="F639" i="1" s="1"/>
  <c r="O638" i="1" a="1"/>
  <c r="O638" i="1"/>
  <c r="N635" i="1" a="1"/>
  <c r="N635" i="1" s="1"/>
  <c r="H635" i="1" a="1"/>
  <c r="H635" i="1" s="1"/>
  <c r="G635" i="1" a="1"/>
  <c r="G635" i="1"/>
  <c r="Q633" i="1" a="1"/>
  <c r="Q633" i="1" s="1"/>
  <c r="M633" i="1" a="1"/>
  <c r="M633" i="1" s="1"/>
  <c r="N638" i="1" a="1"/>
  <c r="N638" i="1"/>
  <c r="L638" i="1" a="1"/>
  <c r="L638" i="1" s="1"/>
  <c r="I638" i="1" a="1"/>
  <c r="I638" i="1" s="1"/>
  <c r="G638" i="1" a="1"/>
  <c r="G638" i="1" s="1"/>
  <c r="Q637" i="1" a="1"/>
  <c r="Q637" i="1" s="1"/>
  <c r="O637" i="1" a="1"/>
  <c r="O637" i="1" s="1"/>
  <c r="F637" i="1" a="1"/>
  <c r="F637" i="1" s="1"/>
  <c r="J633" i="1" a="1"/>
  <c r="J633" i="1" s="1"/>
  <c r="J635" i="1" a="1"/>
  <c r="J635" i="1"/>
  <c r="H633" i="1" a="1"/>
  <c r="H633" i="1" s="1"/>
  <c r="N633" i="1" a="1"/>
  <c r="N633" i="1" s="1"/>
  <c r="J637" i="1" a="1"/>
  <c r="J637" i="1"/>
  <c r="M635" i="1" a="1"/>
  <c r="M635" i="1"/>
  <c r="J638" i="1" a="1"/>
  <c r="J638" i="1"/>
  <c r="K638" i="1" a="1"/>
  <c r="K638" i="1"/>
  <c r="N637" i="1" a="1"/>
  <c r="N637" i="1" s="1"/>
  <c r="K637" i="1" a="1"/>
  <c r="K637" i="1"/>
  <c r="K635" i="1" a="1"/>
  <c r="K635" i="1" s="1"/>
  <c r="I633" i="1" a="1"/>
  <c r="I633" i="1" s="1"/>
  <c r="P637" i="1" a="1"/>
  <c r="P637" i="1" s="1"/>
  <c r="L635" i="1" a="1"/>
  <c r="L635" i="1" s="1"/>
  <c r="L633" i="1" a="1"/>
  <c r="L633" i="1" s="1"/>
  <c r="P633" i="1" a="1"/>
  <c r="P633" i="1"/>
  <c r="F635" i="1" a="1"/>
  <c r="F635" i="1" s="1"/>
  <c r="O635" i="1" a="1"/>
  <c r="O635" i="1" s="1"/>
  <c r="K633" i="1" a="1"/>
  <c r="K633" i="1"/>
  <c r="H638" i="1" a="1"/>
  <c r="H638" i="1" s="1"/>
  <c r="L637" i="1" a="1"/>
  <c r="L637" i="1"/>
  <c r="I637" i="1" a="1"/>
  <c r="I637" i="1"/>
  <c r="G637" i="1" a="1"/>
  <c r="G637" i="1"/>
  <c r="Q638" i="1" a="1"/>
  <c r="Q638" i="1"/>
  <c r="P638" i="1" a="1"/>
  <c r="P638" i="1" s="1"/>
  <c r="M638" i="1" a="1"/>
  <c r="M638" i="1"/>
  <c r="M637" i="1" a="1"/>
  <c r="M637" i="1" s="1"/>
  <c r="P635" i="1" a="1"/>
  <c r="P635" i="1" s="1"/>
  <c r="H637" i="1" a="1"/>
  <c r="H637" i="1" s="1"/>
  <c r="I635" i="1" a="1"/>
  <c r="I635" i="1"/>
  <c r="O633" i="1" a="1"/>
  <c r="O633" i="1" s="1"/>
  <c r="G633" i="1" a="1"/>
  <c r="G633" i="1" s="1"/>
  <c r="Q635" i="1" a="1"/>
  <c r="Q635" i="1" s="1"/>
  <c r="J639" i="1" a="1"/>
  <c r="J639" i="1"/>
  <c r="Q632" i="1" a="1"/>
  <c r="Q632" i="1"/>
  <c r="G632" i="1" a="1"/>
  <c r="G632" i="1"/>
  <c r="P632" i="1" a="1"/>
  <c r="P632" i="1"/>
  <c r="O632" i="1" a="1"/>
  <c r="O632" i="1" s="1"/>
  <c r="N632" i="1" a="1"/>
  <c r="N632" i="1"/>
  <c r="M632" i="1" a="1"/>
  <c r="M632" i="1" s="1"/>
  <c r="N630" i="1" a="1"/>
  <c r="N630" i="1" s="1"/>
  <c r="K632" i="1" a="1"/>
  <c r="K632" i="1"/>
  <c r="H628" i="1" a="1"/>
  <c r="H628" i="1" s="1"/>
  <c r="J632" i="1" a="1"/>
  <c r="J632" i="1"/>
  <c r="I632" i="1" a="1"/>
  <c r="I632" i="1" s="1"/>
  <c r="H632" i="1" a="1"/>
  <c r="H632" i="1" s="1"/>
  <c r="M627" i="1" a="1"/>
  <c r="M627" i="1"/>
  <c r="G627" i="1" a="1"/>
  <c r="G627" i="1"/>
  <c r="F632" i="1" a="1"/>
  <c r="F632" i="1" s="1"/>
  <c r="O629" i="1" a="1"/>
  <c r="O629" i="1"/>
  <c r="L629" i="1" a="1"/>
  <c r="L629" i="1" s="1"/>
  <c r="Q630" i="1" a="1"/>
  <c r="Q630" i="1"/>
  <c r="N629" i="1" a="1"/>
  <c r="N629" i="1"/>
  <c r="N627" i="1" a="1"/>
  <c r="N627" i="1"/>
  <c r="F629" i="1" a="1"/>
  <c r="F629" i="1"/>
  <c r="F627" i="1" a="1"/>
  <c r="F627" i="1" s="1"/>
  <c r="O630" i="1" a="1"/>
  <c r="O630" i="1" s="1"/>
  <c r="K630" i="1" a="1"/>
  <c r="K630" i="1"/>
  <c r="K629" i="1" a="1"/>
  <c r="K629" i="1" s="1"/>
  <c r="I628" i="1" a="1"/>
  <c r="I628" i="1" s="1"/>
  <c r="L630" i="1" a="1"/>
  <c r="L630" i="1" s="1"/>
  <c r="G630" i="1" a="1"/>
  <c r="G630" i="1" s="1"/>
  <c r="P627" i="1" a="1"/>
  <c r="P627" i="1"/>
  <c r="O627" i="1" a="1"/>
  <c r="O627" i="1"/>
  <c r="I629" i="1" a="1"/>
  <c r="I629" i="1" s="1"/>
  <c r="F630" i="1" a="1"/>
  <c r="F630" i="1"/>
  <c r="G629" i="1" a="1"/>
  <c r="G629" i="1" s="1"/>
  <c r="K627" i="1" a="1"/>
  <c r="K627" i="1"/>
  <c r="P628" i="1" a="1"/>
  <c r="P628" i="1"/>
  <c r="J630" i="1" a="1"/>
  <c r="J630" i="1"/>
  <c r="Q627" i="1" a="1"/>
  <c r="Q627" i="1" s="1"/>
  <c r="N628" i="1" a="1"/>
  <c r="N628" i="1"/>
  <c r="G628" i="1" a="1"/>
  <c r="G628" i="1" s="1"/>
  <c r="L632" i="1" a="1"/>
  <c r="L632" i="1" s="1"/>
  <c r="P630" i="1" a="1"/>
  <c r="P630" i="1" s="1"/>
  <c r="M630" i="1" a="1"/>
  <c r="M630" i="1" s="1"/>
  <c r="L627" i="1" a="1"/>
  <c r="L627" i="1" s="1"/>
  <c r="I630" i="1" a="1"/>
  <c r="I630" i="1" s="1"/>
  <c r="H630" i="1" a="1"/>
  <c r="H630" i="1" s="1"/>
  <c r="Q629" i="1" a="1"/>
  <c r="Q629" i="1" s="1"/>
  <c r="M629" i="1" a="1"/>
  <c r="M629" i="1" s="1"/>
  <c r="Q628" i="1" a="1"/>
  <c r="Q628" i="1"/>
  <c r="O628" i="1" a="1"/>
  <c r="O628" i="1"/>
  <c r="J627" i="1" a="1"/>
  <c r="J627" i="1"/>
  <c r="P629" i="1" a="1"/>
  <c r="P629" i="1" s="1"/>
  <c r="J629" i="1" a="1"/>
  <c r="J629" i="1"/>
  <c r="L628" i="1" a="1"/>
  <c r="L628" i="1" s="1"/>
  <c r="K628" i="1" a="1"/>
  <c r="K628" i="1"/>
  <c r="F628" i="1" a="1"/>
  <c r="F628" i="1" s="1"/>
  <c r="J628" i="1" a="1"/>
  <c r="J628" i="1" s="1"/>
  <c r="M628" i="1" a="1"/>
  <c r="M628" i="1" s="1"/>
  <c r="H629" i="1" a="1"/>
  <c r="H629" i="1"/>
  <c r="I627" i="1" a="1"/>
  <c r="I627" i="1" s="1"/>
  <c r="H627" i="1" a="1"/>
  <c r="H627" i="1" s="1"/>
  <c r="F633" i="1" a="1"/>
  <c r="F633" i="1" s="1"/>
  <c r="L619" i="1" a="1"/>
  <c r="L619" i="1"/>
  <c r="O623" i="1" a="1"/>
  <c r="O623" i="1"/>
  <c r="M619" i="1" a="1"/>
  <c r="M619" i="1" s="1"/>
  <c r="O625" i="1" a="1"/>
  <c r="O625" i="1" s="1"/>
  <c r="Q619" i="1" a="1"/>
  <c r="Q619" i="1"/>
  <c r="P622" i="1" a="1"/>
  <c r="P622" i="1" s="1"/>
  <c r="K623" i="1" a="1"/>
  <c r="K623" i="1"/>
  <c r="J623" i="1" a="1"/>
  <c r="J623" i="1"/>
  <c r="K620" i="1" a="1"/>
  <c r="K620" i="1" s="1"/>
  <c r="I623" i="1" a="1"/>
  <c r="I623" i="1" s="1"/>
  <c r="F620" i="1" a="1"/>
  <c r="F620" i="1" s="1"/>
  <c r="L623" i="1" a="1"/>
  <c r="L623" i="1" s="1"/>
  <c r="L622" i="1" a="1"/>
  <c r="L622" i="1" s="1"/>
  <c r="M623" i="1" a="1"/>
  <c r="M623" i="1"/>
  <c r="I625" i="1" a="1"/>
  <c r="I625" i="1" s="1"/>
  <c r="Q623" i="1" a="1"/>
  <c r="Q623" i="1" s="1"/>
  <c r="H623" i="1" a="1"/>
  <c r="H623" i="1" s="1"/>
  <c r="G625" i="1" a="1"/>
  <c r="G625" i="1" s="1"/>
  <c r="I619" i="1" a="1"/>
  <c r="I619" i="1"/>
  <c r="O619" i="1" a="1"/>
  <c r="O619" i="1" s="1"/>
  <c r="O620" i="1" a="1"/>
  <c r="O620" i="1"/>
  <c r="N620" i="1" a="1"/>
  <c r="N620" i="1"/>
  <c r="J620" i="1" a="1"/>
  <c r="J620" i="1"/>
  <c r="P619" i="1" a="1"/>
  <c r="P619" i="1" s="1"/>
  <c r="I620" i="1" a="1"/>
  <c r="I620" i="1" s="1"/>
  <c r="J619" i="1" a="1"/>
  <c r="J619" i="1" s="1"/>
  <c r="P623" i="1" a="1"/>
  <c r="P623" i="1"/>
  <c r="M622" i="1" a="1"/>
  <c r="M622" i="1"/>
  <c r="L625" i="1" a="1"/>
  <c r="L625" i="1" s="1"/>
  <c r="F622" i="1" a="1"/>
  <c r="F622" i="1"/>
  <c r="H625" i="1" a="1"/>
  <c r="H625" i="1" s="1"/>
  <c r="N625" i="1" a="1"/>
  <c r="N625" i="1" s="1"/>
  <c r="P620" i="1" a="1"/>
  <c r="P620" i="1"/>
  <c r="K625" i="1" a="1"/>
  <c r="K625" i="1" s="1"/>
  <c r="J625" i="1" a="1"/>
  <c r="J625" i="1"/>
  <c r="F623" i="1" a="1"/>
  <c r="F623" i="1"/>
  <c r="K622" i="1" a="1"/>
  <c r="K622" i="1" s="1"/>
  <c r="L620" i="1" a="1"/>
  <c r="L620" i="1"/>
  <c r="K619" i="1" a="1"/>
  <c r="K619" i="1" s="1"/>
  <c r="Q622" i="1" a="1"/>
  <c r="Q622" i="1" s="1"/>
  <c r="Q625" i="1" a="1"/>
  <c r="Q625" i="1" s="1"/>
  <c r="P625" i="1" a="1"/>
  <c r="P625" i="1"/>
  <c r="O622" i="1" a="1"/>
  <c r="O622" i="1" s="1"/>
  <c r="H620" i="1" a="1"/>
  <c r="H620" i="1"/>
  <c r="N622" i="1" a="1"/>
  <c r="N622" i="1" s="1"/>
  <c r="I622" i="1" a="1"/>
  <c r="I622" i="1" s="1"/>
  <c r="H622" i="1" a="1"/>
  <c r="H622" i="1"/>
  <c r="G622" i="1" a="1"/>
  <c r="G622" i="1" s="1"/>
  <c r="G620" i="1" a="1"/>
  <c r="G620" i="1" s="1"/>
  <c r="M620" i="1" a="1"/>
  <c r="M620" i="1" s="1"/>
  <c r="N619" i="1" a="1"/>
  <c r="N619" i="1" s="1"/>
  <c r="Q620" i="1" a="1"/>
  <c r="Q620" i="1" s="1"/>
  <c r="M625" i="1" a="1"/>
  <c r="M625" i="1" s="1"/>
  <c r="F625" i="1" a="1"/>
  <c r="F625" i="1" s="1"/>
  <c r="G623" i="1" a="1"/>
  <c r="G623" i="1" s="1"/>
  <c r="N623" i="1" a="1"/>
  <c r="N623" i="1" s="1"/>
  <c r="J622" i="1" a="1"/>
  <c r="J622" i="1" s="1"/>
  <c r="G619" i="1" a="1"/>
  <c r="G619" i="1"/>
  <c r="Q618" i="1" a="1"/>
  <c r="Q618" i="1"/>
  <c r="K618" i="1" a="1"/>
  <c r="K618" i="1" s="1"/>
  <c r="G617" i="1" a="1"/>
  <c r="G617" i="1"/>
  <c r="J618" i="1" a="1"/>
  <c r="J618" i="1" s="1"/>
  <c r="I618" i="1" a="1"/>
  <c r="I618" i="1" s="1"/>
  <c r="O610" i="1" a="1"/>
  <c r="O610" i="1"/>
  <c r="O617" i="1" a="1"/>
  <c r="O617" i="1" s="1"/>
  <c r="N617" i="1" a="1"/>
  <c r="N617" i="1" s="1"/>
  <c r="I617" i="1" a="1"/>
  <c r="I617" i="1" s="1"/>
  <c r="J610" i="1" a="1"/>
  <c r="J610" i="1"/>
  <c r="M617" i="1" a="1"/>
  <c r="M617" i="1" s="1"/>
  <c r="H617" i="1" a="1"/>
  <c r="H617" i="1" s="1"/>
  <c r="N609" i="1" a="1"/>
  <c r="N609" i="1" s="1"/>
  <c r="L609" i="1" a="1"/>
  <c r="L609" i="1"/>
  <c r="F619" i="1" a="1"/>
  <c r="F619" i="1"/>
  <c r="P609" i="1" a="1"/>
  <c r="P609" i="1" s="1"/>
  <c r="K610" i="1" a="1"/>
  <c r="K610" i="1"/>
  <c r="P618" i="1" a="1"/>
  <c r="P618" i="1" s="1"/>
  <c r="P617" i="1" a="1"/>
  <c r="P617" i="1" s="1"/>
  <c r="O618" i="1" a="1"/>
  <c r="O618" i="1"/>
  <c r="N618" i="1" a="1"/>
  <c r="N618" i="1" s="1"/>
  <c r="L618" i="1" a="1"/>
  <c r="L618" i="1" s="1"/>
  <c r="K617" i="1" a="1"/>
  <c r="K617" i="1"/>
  <c r="H618" i="1" a="1"/>
  <c r="H618" i="1" s="1"/>
  <c r="M609" i="1" a="1"/>
  <c r="M609" i="1" s="1"/>
  <c r="G618" i="1" a="1"/>
  <c r="G618" i="1" s="1"/>
  <c r="F618" i="1" a="1"/>
  <c r="F618" i="1" s="1"/>
  <c r="Q617" i="1" a="1"/>
  <c r="Q617" i="1" s="1"/>
  <c r="I610" i="1" a="1"/>
  <c r="I610" i="1"/>
  <c r="L617" i="1" a="1"/>
  <c r="L617" i="1" s="1"/>
  <c r="Q610" i="1" a="1"/>
  <c r="Q610" i="1"/>
  <c r="J617" i="1" a="1"/>
  <c r="J617" i="1" s="1"/>
  <c r="F617" i="1" a="1"/>
  <c r="F617" i="1"/>
  <c r="O609" i="1" a="1"/>
  <c r="O609" i="1"/>
  <c r="N610" i="1" a="1"/>
  <c r="N610" i="1" s="1"/>
  <c r="L610" i="1" a="1"/>
  <c r="L610" i="1"/>
  <c r="P610" i="1" a="1"/>
  <c r="P610" i="1" s="1"/>
  <c r="F610" i="1" a="1"/>
  <c r="F610" i="1" s="1"/>
  <c r="G610" i="1" a="1"/>
  <c r="G610" i="1"/>
  <c r="Q609" i="1" a="1"/>
  <c r="Q609" i="1" s="1"/>
  <c r="H610" i="1" a="1"/>
  <c r="H610" i="1"/>
  <c r="M610" i="1" a="1"/>
  <c r="M610" i="1"/>
  <c r="K609" i="1" a="1"/>
  <c r="K609" i="1"/>
  <c r="M618" i="1" a="1"/>
  <c r="M618" i="1"/>
  <c r="H619" i="1" a="1"/>
  <c r="H619" i="1"/>
  <c r="P606" i="1" a="1"/>
  <c r="P606" i="1" s="1"/>
  <c r="P603" i="1" a="1"/>
  <c r="P603" i="1"/>
  <c r="H607" i="1" a="1"/>
  <c r="H607" i="1"/>
  <c r="H606" i="1" a="1"/>
  <c r="H606" i="1"/>
  <c r="G607" i="1" a="1"/>
  <c r="G607" i="1" s="1"/>
  <c r="J603" i="1" a="1"/>
  <c r="J603" i="1"/>
  <c r="M607" i="1" a="1"/>
  <c r="M607" i="1" s="1"/>
  <c r="Q606" i="1" a="1"/>
  <c r="Q606" i="1" s="1"/>
  <c r="O607" i="1" a="1"/>
  <c r="O607" i="1"/>
  <c r="K606" i="1" a="1"/>
  <c r="K606" i="1" s="1"/>
  <c r="H602" i="1" a="1"/>
  <c r="H602" i="1" s="1"/>
  <c r="G602" i="1" a="1"/>
  <c r="G602" i="1" s="1"/>
  <c r="J607" i="1" a="1"/>
  <c r="J607" i="1" s="1"/>
  <c r="L602" i="1" a="1"/>
  <c r="L602" i="1"/>
  <c r="J606" i="1" a="1"/>
  <c r="J606" i="1" s="1"/>
  <c r="N606" i="1" a="1"/>
  <c r="N606" i="1" s="1"/>
  <c r="G606" i="1" a="1"/>
  <c r="G606" i="1"/>
  <c r="O603" i="1" a="1"/>
  <c r="O603" i="1"/>
  <c r="F603" i="1" a="1"/>
  <c r="F603" i="1"/>
  <c r="M603" i="1" a="1"/>
  <c r="M603" i="1"/>
  <c r="J602" i="1" a="1"/>
  <c r="J602" i="1" s="1"/>
  <c r="F607" i="1" a="1"/>
  <c r="F607" i="1"/>
  <c r="I606" i="1" a="1"/>
  <c r="I606" i="1" s="1"/>
  <c r="M606" i="1" a="1"/>
  <c r="M606" i="1" s="1"/>
  <c r="M602" i="1" a="1"/>
  <c r="M602" i="1"/>
  <c r="Q607" i="1" a="1"/>
  <c r="Q607" i="1"/>
  <c r="P607" i="1" a="1"/>
  <c r="P607" i="1"/>
  <c r="K607" i="1" a="1"/>
  <c r="K607" i="1"/>
  <c r="I607" i="1" a="1"/>
  <c r="I607" i="1" s="1"/>
  <c r="K603" i="1" a="1"/>
  <c r="K603" i="1" s="1"/>
  <c r="H603" i="1" a="1"/>
  <c r="H603" i="1" s="1"/>
  <c r="O606" i="1" a="1"/>
  <c r="O606" i="1"/>
  <c r="F606" i="1" a="1"/>
  <c r="F606" i="1"/>
  <c r="Q603" i="1" a="1"/>
  <c r="Q603" i="1"/>
  <c r="N603" i="1" a="1"/>
  <c r="N603" i="1"/>
  <c r="L603" i="1" a="1"/>
  <c r="L603" i="1" s="1"/>
  <c r="Q602" i="1" a="1"/>
  <c r="Q602" i="1"/>
  <c r="N602" i="1" a="1"/>
  <c r="N602" i="1" s="1"/>
  <c r="O602" i="1" a="1"/>
  <c r="O602" i="1" s="1"/>
  <c r="F602" i="1" a="1"/>
  <c r="F602" i="1" s="1"/>
  <c r="K602" i="1" a="1"/>
  <c r="K602" i="1" s="1"/>
  <c r="G603" i="1" a="1"/>
  <c r="G603" i="1"/>
  <c r="I602" i="1" a="1"/>
  <c r="I602" i="1" s="1"/>
  <c r="P602" i="1" a="1"/>
  <c r="P602" i="1" s="1"/>
  <c r="J609" i="1" a="1"/>
  <c r="J609" i="1" s="1"/>
  <c r="I609" i="1" a="1"/>
  <c r="I609" i="1" s="1"/>
  <c r="N607" i="1" a="1"/>
  <c r="N607" i="1" s="1"/>
  <c r="L607" i="1" a="1"/>
  <c r="L607" i="1"/>
  <c r="I603" i="1" a="1"/>
  <c r="I603" i="1"/>
  <c r="H609" i="1" a="1"/>
  <c r="H609" i="1" s="1"/>
  <c r="G609" i="1" a="1"/>
  <c r="G609" i="1"/>
  <c r="F609" i="1" a="1"/>
  <c r="F609" i="1" s="1"/>
  <c r="L606" i="1" a="1"/>
  <c r="L606" i="1" s="1"/>
  <c r="P595" i="1" a="1"/>
  <c r="P595" i="1"/>
  <c r="Q595" i="1" a="1"/>
  <c r="Q595" i="1"/>
  <c r="M595" i="1" a="1"/>
  <c r="M595" i="1"/>
  <c r="Q593" i="1" a="1"/>
  <c r="Q593" i="1" s="1"/>
  <c r="H593" i="1" a="1"/>
  <c r="H593" i="1" s="1"/>
  <c r="O592" i="1" a="1"/>
  <c r="O592" i="1" s="1"/>
  <c r="P593" i="1" a="1"/>
  <c r="P593" i="1" s="1"/>
  <c r="N592" i="1" a="1"/>
  <c r="N592" i="1" s="1"/>
  <c r="P592" i="1" a="1"/>
  <c r="P592" i="1" s="1"/>
  <c r="G596" i="1" a="1"/>
  <c r="G596" i="1"/>
  <c r="G593" i="1" a="1"/>
  <c r="G593" i="1"/>
  <c r="N593" i="1" a="1"/>
  <c r="N593" i="1"/>
  <c r="Q592" i="1" a="1"/>
  <c r="Q592" i="1"/>
  <c r="M592" i="1" a="1"/>
  <c r="M592" i="1" s="1"/>
  <c r="F596" i="1" a="1"/>
  <c r="F596" i="1" s="1"/>
  <c r="O596" i="1" a="1"/>
  <c r="O596" i="1" s="1"/>
  <c r="M596" i="1" a="1"/>
  <c r="M596" i="1"/>
  <c r="H595" i="1" a="1"/>
  <c r="H595" i="1" s="1"/>
  <c r="I595" i="1" a="1"/>
  <c r="I595" i="1"/>
  <c r="G595" i="1" a="1"/>
  <c r="G595" i="1" s="1"/>
  <c r="O593" i="1" a="1"/>
  <c r="O593" i="1" s="1"/>
  <c r="Q596" i="1" a="1"/>
  <c r="Q596" i="1" s="1"/>
  <c r="P596" i="1" a="1"/>
  <c r="P596" i="1"/>
  <c r="N596" i="1" a="1"/>
  <c r="N596" i="1"/>
  <c r="L592" i="1" a="1"/>
  <c r="L592" i="1" s="1"/>
  <c r="O595" i="1" a="1"/>
  <c r="O595" i="1"/>
  <c r="L596" i="1" a="1"/>
  <c r="L596" i="1"/>
  <c r="K596" i="1" a="1"/>
  <c r="K596" i="1"/>
  <c r="L595" i="1" a="1"/>
  <c r="L595" i="1" s="1"/>
  <c r="J595" i="1" a="1"/>
  <c r="J595" i="1"/>
  <c r="K593" i="1" a="1"/>
  <c r="K593" i="1"/>
  <c r="F593" i="1" a="1"/>
  <c r="F593" i="1" s="1"/>
  <c r="J596" i="1" a="1"/>
  <c r="J596" i="1" s="1"/>
  <c r="M593" i="1" a="1"/>
  <c r="M593" i="1"/>
  <c r="N595" i="1" a="1"/>
  <c r="N595" i="1" s="1"/>
  <c r="F595" i="1" a="1"/>
  <c r="F595" i="1" s="1"/>
  <c r="I593" i="1" a="1"/>
  <c r="I593" i="1" s="1"/>
  <c r="L593" i="1" a="1"/>
  <c r="L593" i="1"/>
  <c r="K595" i="1" a="1"/>
  <c r="K595" i="1"/>
  <c r="I596" i="1" a="1"/>
  <c r="I596" i="1" s="1"/>
  <c r="J593" i="1" a="1"/>
  <c r="J593" i="1"/>
  <c r="H596" i="1" a="1"/>
  <c r="H596" i="1"/>
  <c r="F585" i="1" a="1"/>
  <c r="F585" i="1"/>
  <c r="G584" i="1" a="1"/>
  <c r="G584" i="1" s="1"/>
  <c r="K592" i="1" a="1"/>
  <c r="K592" i="1"/>
  <c r="J592" i="1" a="1"/>
  <c r="J592" i="1" s="1"/>
  <c r="J588" i="1" a="1"/>
  <c r="J588" i="1"/>
  <c r="I592" i="1" a="1"/>
  <c r="I592" i="1" s="1"/>
  <c r="H592" i="1" a="1"/>
  <c r="H592" i="1"/>
  <c r="O585" i="1" a="1"/>
  <c r="O585" i="1" s="1"/>
  <c r="H584" i="1" a="1"/>
  <c r="H584" i="1" s="1"/>
  <c r="G592" i="1" a="1"/>
  <c r="G592" i="1" s="1"/>
  <c r="F592" i="1" a="1"/>
  <c r="F592" i="1"/>
  <c r="F589" i="1" a="1"/>
  <c r="F589" i="1"/>
  <c r="K584" i="1" a="1"/>
  <c r="K584" i="1" s="1"/>
  <c r="Q589" i="1" a="1"/>
  <c r="Q589" i="1"/>
  <c r="J589" i="1" a="1"/>
  <c r="J589" i="1"/>
  <c r="O584" i="1" a="1"/>
  <c r="O584" i="1" s="1"/>
  <c r="H589" i="1" a="1"/>
  <c r="H589" i="1"/>
  <c r="K588" i="1" a="1"/>
  <c r="K588" i="1" s="1"/>
  <c r="Q584" i="1" a="1"/>
  <c r="Q584" i="1" s="1"/>
  <c r="H585" i="1" a="1"/>
  <c r="H585" i="1"/>
  <c r="I588" i="1" a="1"/>
  <c r="I588" i="1" s="1"/>
  <c r="G588" i="1" a="1"/>
  <c r="G588" i="1" s="1"/>
  <c r="P585" i="1" a="1"/>
  <c r="P585" i="1"/>
  <c r="J585" i="1" a="1"/>
  <c r="J585" i="1"/>
  <c r="I584" i="1" a="1"/>
  <c r="I584" i="1" s="1"/>
  <c r="P589" i="1" a="1"/>
  <c r="P589" i="1" s="1"/>
  <c r="F588" i="1" a="1"/>
  <c r="F588" i="1" s="1"/>
  <c r="Q585" i="1" a="1"/>
  <c r="Q585" i="1" s="1"/>
  <c r="I589" i="1" a="1"/>
  <c r="I589" i="1"/>
  <c r="I585" i="1" a="1"/>
  <c r="I585" i="1"/>
  <c r="Q588" i="1" a="1"/>
  <c r="Q588" i="1"/>
  <c r="H588" i="1" a="1"/>
  <c r="H588" i="1" s="1"/>
  <c r="L589" i="1" a="1"/>
  <c r="L589" i="1"/>
  <c r="O589" i="1" a="1"/>
  <c r="O589" i="1"/>
  <c r="M584" i="1" a="1"/>
  <c r="M584" i="1"/>
  <c r="K589" i="1" a="1"/>
  <c r="K589" i="1" s="1"/>
  <c r="M588" i="1" a="1"/>
  <c r="M588" i="1"/>
  <c r="K585" i="1" a="1"/>
  <c r="K585" i="1" s="1"/>
  <c r="F584" i="1" a="1"/>
  <c r="F584" i="1" s="1"/>
  <c r="N589" i="1" a="1"/>
  <c r="N589" i="1" s="1"/>
  <c r="P588" i="1" a="1"/>
  <c r="P588" i="1"/>
  <c r="M585" i="1" a="1"/>
  <c r="M585" i="1"/>
  <c r="L585" i="1" a="1"/>
  <c r="L585" i="1" s="1"/>
  <c r="N588" i="1" a="1"/>
  <c r="N588" i="1"/>
  <c r="L584" i="1" a="1"/>
  <c r="L584" i="1"/>
  <c r="G585" i="1" a="1"/>
  <c r="G585" i="1" s="1"/>
  <c r="P584" i="1" a="1"/>
  <c r="P584" i="1" s="1"/>
  <c r="J584" i="1" a="1"/>
  <c r="J584" i="1" s="1"/>
  <c r="N585" i="1" a="1"/>
  <c r="N585" i="1" s="1"/>
  <c r="L588" i="1" a="1"/>
  <c r="L588" i="1"/>
  <c r="N584" i="1" a="1"/>
  <c r="N584" i="1" s="1"/>
  <c r="G589" i="1" a="1"/>
  <c r="G589" i="1" s="1"/>
  <c r="O588" i="1" a="1"/>
  <c r="O588" i="1"/>
  <c r="M589" i="1" a="1"/>
  <c r="M589" i="1"/>
  <c r="L740" i="1" a="1"/>
  <c r="L740" i="1" s="1"/>
  <c r="H740" i="1" a="1"/>
  <c r="H740" i="1"/>
  <c r="G740" i="1" a="1"/>
  <c r="G740" i="1"/>
  <c r="P740" i="1" a="1"/>
  <c r="P740" i="1"/>
  <c r="O740" i="1" a="1"/>
  <c r="O740" i="1"/>
  <c r="J740" i="1" a="1"/>
  <c r="J740" i="1"/>
  <c r="I740" i="1" a="1"/>
  <c r="I740" i="1" s="1"/>
  <c r="Q740" i="1" a="1"/>
  <c r="Q740" i="1"/>
  <c r="K742" i="1" a="1"/>
  <c r="K742" i="1" s="1"/>
  <c r="K744" i="1" s="1" a="1"/>
  <c r="K744" i="1" s="1"/>
  <c r="N740" i="1" a="1"/>
  <c r="N740" i="1" s="1"/>
  <c r="H743" i="1" a="1"/>
  <c r="H743" i="1"/>
  <c r="K740" i="1" a="1"/>
  <c r="K740" i="1" s="1"/>
  <c r="M740" i="1" a="1"/>
  <c r="M740" i="1" s="1"/>
  <c r="G743" i="1" a="1"/>
  <c r="G743" i="1"/>
  <c r="F743" i="1" a="1"/>
  <c r="F743" i="1" s="1"/>
  <c r="F740" i="1" a="1"/>
  <c r="F740" i="1"/>
  <c r="L727" i="1" a="1"/>
  <c r="L727" i="1" s="1"/>
  <c r="Q727" i="1" a="1"/>
  <c r="Q727" i="1"/>
  <c r="M727" i="1" a="1"/>
  <c r="M727" i="1"/>
  <c r="O727" i="1" a="1"/>
  <c r="O727" i="1"/>
  <c r="N727" i="1" a="1"/>
  <c r="N727" i="1"/>
  <c r="K727" i="1" a="1"/>
  <c r="K727" i="1"/>
  <c r="P727" i="1" a="1"/>
  <c r="P727" i="1"/>
  <c r="M724" i="1" a="1"/>
  <c r="M724" i="1"/>
  <c r="N724" i="1" a="1"/>
  <c r="N724" i="1" s="1"/>
  <c r="J724" i="1" a="1"/>
  <c r="J724" i="1"/>
  <c r="I724" i="1" a="1"/>
  <c r="I724" i="1" s="1"/>
  <c r="L724" i="1" a="1"/>
  <c r="L724" i="1" s="1"/>
  <c r="I727" i="1" a="1"/>
  <c r="I727" i="1" s="1"/>
  <c r="F727" i="1" a="1"/>
  <c r="F727" i="1"/>
  <c r="G727" i="1" a="1"/>
  <c r="G727" i="1"/>
  <c r="Q724" i="1" a="1"/>
  <c r="Q724" i="1"/>
  <c r="G724" i="1" a="1"/>
  <c r="G724" i="1" s="1"/>
  <c r="H724" i="1" a="1"/>
  <c r="H724" i="1" s="1"/>
  <c r="P724" i="1" a="1"/>
  <c r="P724" i="1" s="1"/>
  <c r="K724" i="1" a="1"/>
  <c r="K724" i="1" s="1"/>
  <c r="O724" i="1" a="1"/>
  <c r="O724" i="1" s="1"/>
  <c r="J727" i="1" a="1"/>
  <c r="J727" i="1"/>
  <c r="H727" i="1" a="1"/>
  <c r="H727" i="1"/>
  <c r="I718" i="1" a="1"/>
  <c r="I718" i="1"/>
  <c r="I742" i="1" s="1" a="1"/>
  <c r="I742" i="1" s="1"/>
  <c r="I744" i="1" s="1" a="1"/>
  <c r="I744" i="1" s="1"/>
  <c r="Q720" i="1" a="1"/>
  <c r="Q720" i="1" s="1"/>
  <c r="P720" i="1" a="1"/>
  <c r="P720" i="1"/>
  <c r="O720" i="1" a="1"/>
  <c r="O720" i="1" s="1"/>
  <c r="F718" i="1" a="1"/>
  <c r="F718" i="1" s="1"/>
  <c r="F742" i="1" s="1" a="1"/>
  <c r="F742" i="1" s="1"/>
  <c r="F744" i="1" s="1" a="1"/>
  <c r="F744" i="1" s="1"/>
  <c r="L720" i="1" a="1"/>
  <c r="L720" i="1" s="1"/>
  <c r="L726" i="1" s="1" a="1"/>
  <c r="L726" i="1" s="1"/>
  <c r="L728" i="1" s="1" a="1"/>
  <c r="L728" i="1" s="1"/>
  <c r="N716" i="1" a="1"/>
  <c r="N716" i="1" s="1"/>
  <c r="H720" i="1" a="1"/>
  <c r="H720" i="1" s="1"/>
  <c r="P718" i="1" a="1"/>
  <c r="P718" i="1" s="1"/>
  <c r="Q719" i="1" a="1"/>
  <c r="Q719" i="1" s="1"/>
  <c r="M719" i="1" a="1"/>
  <c r="M719" i="1" s="1"/>
  <c r="O718" i="1" a="1"/>
  <c r="O718" i="1" s="1"/>
  <c r="K718" i="1" a="1"/>
  <c r="K718" i="1"/>
  <c r="J718" i="1" a="1"/>
  <c r="J718" i="1"/>
  <c r="J726" i="1" s="1" a="1"/>
  <c r="J726" i="1" s="1"/>
  <c r="J728" i="1" s="1" a="1"/>
  <c r="J728" i="1" s="1"/>
  <c r="G718" i="1" a="1"/>
  <c r="G718" i="1" s="1"/>
  <c r="M716" i="1" a="1"/>
  <c r="M716" i="1" s="1"/>
  <c r="G719" i="1" a="1"/>
  <c r="G719" i="1"/>
  <c r="N719" i="1" a="1"/>
  <c r="N719" i="1"/>
  <c r="M720" i="1" a="1"/>
  <c r="M720" i="1" s="1"/>
  <c r="P719" i="1" a="1"/>
  <c r="P719" i="1"/>
  <c r="O716" i="1" a="1"/>
  <c r="O716" i="1"/>
  <c r="F724" i="1" a="1"/>
  <c r="F724" i="1"/>
  <c r="K720" i="1" a="1"/>
  <c r="K720" i="1" s="1"/>
  <c r="F720" i="1" a="1"/>
  <c r="F720" i="1" s="1"/>
  <c r="H719" i="1" a="1"/>
  <c r="H719" i="1" s="1"/>
  <c r="F719" i="1" a="1"/>
  <c r="F719" i="1" s="1"/>
  <c r="N720" i="1" a="1"/>
  <c r="N720" i="1" s="1"/>
  <c r="J720" i="1" a="1"/>
  <c r="J720" i="1"/>
  <c r="I720" i="1" a="1"/>
  <c r="I720" i="1"/>
  <c r="L719" i="1" a="1"/>
  <c r="L719" i="1" s="1"/>
  <c r="G720" i="1" a="1"/>
  <c r="G720" i="1"/>
  <c r="O719" i="1" a="1"/>
  <c r="O719" i="1"/>
  <c r="J719" i="1" a="1"/>
  <c r="J719" i="1"/>
  <c r="Q718" i="1" a="1"/>
  <c r="Q718" i="1" s="1"/>
  <c r="Q726" i="1" s="1" a="1"/>
  <c r="Q726" i="1" s="1"/>
  <c r="Q728" i="1" s="1" a="1"/>
  <c r="Q728" i="1" s="1"/>
  <c r="L718" i="1" a="1"/>
  <c r="L718" i="1" s="1"/>
  <c r="L742" i="1" s="1" a="1"/>
  <c r="L742" i="1" s="1"/>
  <c r="L744" i="1" s="1" a="1"/>
  <c r="L744" i="1" s="1"/>
  <c r="Q716" i="1" a="1"/>
  <c r="Q716" i="1" s="1"/>
  <c r="L716" i="1" a="1"/>
  <c r="L716" i="1"/>
  <c r="P716" i="1" a="1"/>
  <c r="P716" i="1"/>
  <c r="H718" i="1" a="1"/>
  <c r="H718" i="1" s="1"/>
  <c r="K719" i="1" a="1"/>
  <c r="K719" i="1" s="1"/>
  <c r="I719" i="1" a="1"/>
  <c r="I719" i="1" s="1"/>
  <c r="N718" i="1" a="1"/>
  <c r="N718" i="1" s="1"/>
  <c r="M718" i="1" a="1"/>
  <c r="M718" i="1" s="1"/>
  <c r="K716" i="1" a="1"/>
  <c r="K716" i="1" s="1"/>
  <c r="K711" i="1" a="1"/>
  <c r="K711" i="1" s="1"/>
  <c r="N709" i="1" a="1"/>
  <c r="N709" i="1" s="1"/>
  <c r="H716" i="1" a="1"/>
  <c r="H716" i="1"/>
  <c r="K709" i="1" a="1"/>
  <c r="K709" i="1" s="1"/>
  <c r="G709" i="1" a="1"/>
  <c r="G709" i="1"/>
  <c r="Q697" i="1" a="1"/>
  <c r="Q697" i="1"/>
  <c r="M711" i="1" a="1"/>
  <c r="M711" i="1"/>
  <c r="P711" i="1" a="1"/>
  <c r="P711" i="1"/>
  <c r="I709" i="1" a="1"/>
  <c r="I709" i="1"/>
  <c r="O697" i="1" a="1"/>
  <c r="O697" i="1" s="1"/>
  <c r="N711" i="1" a="1"/>
  <c r="N711" i="1" s="1"/>
  <c r="J716" i="1" a="1"/>
  <c r="J716" i="1" s="1"/>
  <c r="O709" i="1" a="1"/>
  <c r="O709" i="1" s="1"/>
  <c r="G716" i="1" a="1"/>
  <c r="G716" i="1" s="1"/>
  <c r="P709" i="1" a="1"/>
  <c r="P709" i="1" s="1"/>
  <c r="I716" i="1" a="1"/>
  <c r="I716" i="1" s="1"/>
  <c r="F716" i="1" a="1"/>
  <c r="F716" i="1" s="1"/>
  <c r="P697" i="1" a="1"/>
  <c r="P697" i="1"/>
  <c r="Q711" i="1" a="1"/>
  <c r="Q711" i="1" s="1"/>
  <c r="O711" i="1" a="1"/>
  <c r="O711" i="1" s="1"/>
  <c r="L711" i="1" a="1"/>
  <c r="L711" i="1" s="1"/>
  <c r="I711" i="1" a="1"/>
  <c r="I711" i="1"/>
  <c r="H711" i="1" a="1"/>
  <c r="H711" i="1"/>
  <c r="J711" i="1" a="1"/>
  <c r="J711" i="1"/>
  <c r="G711" i="1" a="1"/>
  <c r="G711" i="1"/>
  <c r="F711" i="1" a="1"/>
  <c r="F711" i="1" s="1"/>
  <c r="Q709" i="1" a="1"/>
  <c r="Q709" i="1" s="1"/>
  <c r="M709" i="1" a="1"/>
  <c r="M709" i="1" s="1"/>
  <c r="J709" i="1" a="1"/>
  <c r="J709" i="1"/>
  <c r="F709" i="1" a="1"/>
  <c r="F709" i="1" s="1"/>
  <c r="L709" i="1" a="1"/>
  <c r="L709" i="1" s="1"/>
  <c r="H709" i="1" a="1"/>
  <c r="H709" i="1" s="1"/>
  <c r="N696" i="1" a="1"/>
  <c r="N696" i="1" s="1"/>
  <c r="K688" i="1" a="1"/>
  <c r="K688" i="1"/>
  <c r="F696" i="1" a="1"/>
  <c r="F696" i="1"/>
  <c r="H687" i="1" a="1"/>
  <c r="H687" i="1"/>
  <c r="J696" i="1" a="1"/>
  <c r="J696" i="1"/>
  <c r="K696" i="1" a="1"/>
  <c r="K696" i="1"/>
  <c r="Q688" i="1" a="1"/>
  <c r="Q688" i="1"/>
  <c r="L688" i="1" a="1"/>
  <c r="L688" i="1"/>
  <c r="H696" i="1" a="1"/>
  <c r="H696" i="1" s="1"/>
  <c r="M688" i="1" a="1"/>
  <c r="M688" i="1" s="1"/>
  <c r="Q685" i="1" a="1"/>
  <c r="Q685" i="1"/>
  <c r="F688" i="1" a="1"/>
  <c r="F688" i="1"/>
  <c r="P687" i="1" a="1"/>
  <c r="P687" i="1" s="1"/>
  <c r="K687" i="1" a="1"/>
  <c r="K687" i="1" s="1"/>
  <c r="I687" i="1" a="1"/>
  <c r="I687" i="1" s="1"/>
  <c r="I688" i="1" a="1"/>
  <c r="I688" i="1" s="1"/>
  <c r="G687" i="1" a="1"/>
  <c r="G687" i="1" s="1"/>
  <c r="G688" i="1" a="1"/>
  <c r="G688" i="1" s="1"/>
  <c r="Q696" i="1" a="1"/>
  <c r="Q696" i="1"/>
  <c r="I696" i="1" a="1"/>
  <c r="I696" i="1"/>
  <c r="N688" i="1" a="1"/>
  <c r="N688" i="1"/>
  <c r="Q687" i="1" a="1"/>
  <c r="Q687" i="1"/>
  <c r="N687" i="1" a="1"/>
  <c r="N687" i="1"/>
  <c r="O696" i="1" a="1"/>
  <c r="O696" i="1" s="1"/>
  <c r="L696" i="1" a="1"/>
  <c r="L696" i="1" s="1"/>
  <c r="N697" i="1" a="1"/>
  <c r="N697" i="1" s="1"/>
  <c r="M697" i="1" a="1"/>
  <c r="M697" i="1"/>
  <c r="I697" i="1" a="1"/>
  <c r="I697" i="1"/>
  <c r="P696" i="1" a="1"/>
  <c r="P696" i="1" s="1"/>
  <c r="J688" i="1" a="1"/>
  <c r="J688" i="1" s="1"/>
  <c r="P688" i="1" a="1"/>
  <c r="P688" i="1"/>
  <c r="L687" i="1" a="1"/>
  <c r="L687" i="1"/>
  <c r="F687" i="1" a="1"/>
  <c r="F687" i="1"/>
  <c r="P685" i="1" a="1"/>
  <c r="P685" i="1"/>
  <c r="M687" i="1" a="1"/>
  <c r="M687" i="1"/>
  <c r="O687" i="1" a="1"/>
  <c r="O687" i="1"/>
  <c r="O688" i="1" a="1"/>
  <c r="O688" i="1"/>
  <c r="J687" i="1" a="1"/>
  <c r="J687" i="1" s="1"/>
  <c r="H688" i="1" a="1"/>
  <c r="H688" i="1"/>
  <c r="L697" i="1" a="1"/>
  <c r="L697" i="1" s="1"/>
  <c r="G696" i="1" a="1"/>
  <c r="G696" i="1" s="1"/>
  <c r="K697" i="1" a="1"/>
  <c r="K697" i="1"/>
  <c r="J697" i="1" a="1"/>
  <c r="J697" i="1"/>
  <c r="M696" i="1" a="1"/>
  <c r="M696" i="1" s="1"/>
  <c r="H697" i="1" a="1"/>
  <c r="H697" i="1" s="1"/>
  <c r="G697" i="1" a="1"/>
  <c r="G697" i="1" s="1"/>
  <c r="O685" i="1" a="1"/>
  <c r="O685" i="1" s="1"/>
  <c r="F697" i="1" a="1"/>
  <c r="F697" i="1"/>
  <c r="Q31" i="1" a="1"/>
  <c r="Q31" i="1" s="1"/>
  <c r="H31" i="1" a="1"/>
  <c r="H31" i="1"/>
  <c r="K31" i="1" a="1"/>
  <c r="K31" i="1"/>
  <c r="L31" i="1" a="1"/>
  <c r="L31" i="1" s="1"/>
  <c r="J30" i="1" a="1"/>
  <c r="J30" i="1"/>
  <c r="L30" i="1" a="1"/>
  <c r="L30" i="1" s="1"/>
  <c r="M31" i="1" a="1"/>
  <c r="M31" i="1"/>
  <c r="O31" i="1" a="1"/>
  <c r="O31" i="1" s="1"/>
  <c r="J31" i="1" a="1"/>
  <c r="J31" i="1" s="1"/>
  <c r="K30" i="1" a="1"/>
  <c r="K30" i="1"/>
  <c r="Q30" i="1" a="1"/>
  <c r="Q30" i="1"/>
  <c r="N31" i="1" a="1"/>
  <c r="N31" i="1"/>
  <c r="F31" i="1" a="1"/>
  <c r="F31" i="1"/>
  <c r="O30" i="1"/>
  <c r="I31" i="1" a="1"/>
  <c r="I31" i="1"/>
  <c r="M30" i="1" a="1"/>
  <c r="M30" i="1" s="1"/>
  <c r="N30" i="1" a="1"/>
  <c r="N30" i="1"/>
  <c r="P31" i="1" a="1"/>
  <c r="P31" i="1" s="1"/>
  <c r="P30" i="1" a="1"/>
  <c r="P30" i="1"/>
  <c r="G31" i="1" a="1"/>
  <c r="G31" i="1"/>
  <c r="I30" i="1" a="1"/>
  <c r="I30" i="1" s="1"/>
  <c r="H30" i="1" a="1"/>
  <c r="H30" i="1"/>
  <c r="G30" i="1" a="1"/>
  <c r="G30" i="1" s="1"/>
  <c r="F30" i="1" a="1"/>
  <c r="F30" i="1" s="1"/>
  <c r="G2049" i="1" a="1"/>
  <c r="G2049" i="1"/>
  <c r="M2048" i="1" a="1"/>
  <c r="M2048" i="1" s="1"/>
  <c r="L2049" i="1" a="1"/>
  <c r="L2049" i="1" s="1"/>
  <c r="I2048" i="1" a="1"/>
  <c r="I2048" i="1" s="1"/>
  <c r="H2048" i="1" a="1"/>
  <c r="H2048" i="1" s="1"/>
  <c r="O2049" i="1" a="1"/>
  <c r="O2049" i="1"/>
  <c r="G2048" i="1" a="1"/>
  <c r="G2048" i="1"/>
  <c r="P2047" i="1" a="1"/>
  <c r="P2047" i="1" s="1"/>
  <c r="K2049" i="1" a="1"/>
  <c r="K2049" i="1"/>
  <c r="Q2049" i="1" a="1"/>
  <c r="Q2049" i="1"/>
  <c r="P2049" i="1" a="1"/>
  <c r="P2049" i="1"/>
  <c r="Q2048" i="1" a="1"/>
  <c r="Q2048" i="1"/>
  <c r="K2048" i="1" a="1"/>
  <c r="K2048" i="1" s="1"/>
  <c r="L2048" i="1" a="1"/>
  <c r="L2048" i="1"/>
  <c r="Q2047" i="1" a="1"/>
  <c r="Q2047" i="1" s="1"/>
  <c r="M2049" i="1" a="1"/>
  <c r="M2049" i="1" s="1"/>
  <c r="H2049" i="1" a="1"/>
  <c r="H2049" i="1"/>
  <c r="N2049" i="1" a="1"/>
  <c r="N2049" i="1"/>
  <c r="O2048" i="1" a="1"/>
  <c r="O2048" i="1"/>
  <c r="N2048" i="1" a="1"/>
  <c r="N2048" i="1" s="1"/>
  <c r="F2049" i="1" a="1"/>
  <c r="F2049" i="1" s="1"/>
  <c r="P2048" i="1" a="1"/>
  <c r="P2048" i="1" s="1"/>
  <c r="J2048" i="1" a="1"/>
  <c r="J2048" i="1" s="1"/>
  <c r="J2049" i="1" a="1"/>
  <c r="J2049" i="1"/>
  <c r="I2049" i="1" a="1"/>
  <c r="I2049" i="1"/>
  <c r="F2048" i="1" a="1"/>
  <c r="F2048" i="1"/>
  <c r="I2045" i="1" a="1"/>
  <c r="I2045" i="1"/>
  <c r="I2044" i="1" a="1"/>
  <c r="I2044" i="1"/>
  <c r="M2044" i="1" a="1"/>
  <c r="M2044" i="1"/>
  <c r="O2044" i="1" a="1"/>
  <c r="O2044" i="1" s="1"/>
  <c r="O2043" i="1" a="1"/>
  <c r="O2043" i="1" s="1"/>
  <c r="P2042" i="1" a="1"/>
  <c r="P2042" i="1" s="1"/>
  <c r="P2046" i="1" a="1"/>
  <c r="P2046" i="1" s="1"/>
  <c r="J2046" i="1" a="1"/>
  <c r="J2046" i="1"/>
  <c r="Q2045" i="1" a="1"/>
  <c r="Q2045" i="1" s="1"/>
  <c r="P2043" i="1" a="1"/>
  <c r="P2043" i="1" s="1"/>
  <c r="M2043" i="1" a="1"/>
  <c r="M2043" i="1"/>
  <c r="O2045" i="1" a="1"/>
  <c r="O2045" i="1"/>
  <c r="L2047" i="1" a="1"/>
  <c r="L2047" i="1" s="1"/>
  <c r="K2047" i="1" a="1"/>
  <c r="K2047" i="1"/>
  <c r="H2043" i="1" a="1"/>
  <c r="H2043" i="1"/>
  <c r="L2045" i="1" a="1"/>
  <c r="L2045" i="1"/>
  <c r="H2047" i="1" a="1"/>
  <c r="H2047" i="1"/>
  <c r="J2045" i="1" a="1"/>
  <c r="J2045" i="1"/>
  <c r="F2043" i="1" a="1"/>
  <c r="F2043" i="1"/>
  <c r="O2046" i="1" a="1"/>
  <c r="O2046" i="1"/>
  <c r="N2043" i="1" a="1"/>
  <c r="N2043" i="1"/>
  <c r="Q2046" i="1" a="1"/>
  <c r="Q2046" i="1"/>
  <c r="G2046" i="1" a="1"/>
  <c r="G2046" i="1" s="1"/>
  <c r="N2044" i="1" a="1"/>
  <c r="N2044" i="1" s="1"/>
  <c r="H2046" i="1" a="1"/>
  <c r="H2046" i="1" s="1"/>
  <c r="N2045" i="1" a="1"/>
  <c r="N2045" i="1" s="1"/>
  <c r="M2045" i="1" a="1"/>
  <c r="M2045" i="1" s="1"/>
  <c r="H2045" i="1" a="1"/>
  <c r="H2045" i="1"/>
  <c r="L2044" i="1" a="1"/>
  <c r="L2044" i="1"/>
  <c r="N2042" i="1" a="1"/>
  <c r="N2042" i="1"/>
  <c r="G2044" i="1" a="1"/>
  <c r="G2044" i="1"/>
  <c r="M2042" i="1" a="1"/>
  <c r="M2042" i="1" s="1"/>
  <c r="Q2043" i="1" a="1"/>
  <c r="Q2043" i="1"/>
  <c r="O2047" i="1" a="1"/>
  <c r="O2047" i="1" s="1"/>
  <c r="P2044" i="1" a="1"/>
  <c r="P2044" i="1" s="1"/>
  <c r="N2047" i="1" a="1"/>
  <c r="N2047" i="1" s="1"/>
  <c r="J2047" i="1" a="1"/>
  <c r="J2047" i="1" s="1"/>
  <c r="M2047" i="1" a="1"/>
  <c r="M2047" i="1" s="1"/>
  <c r="F2044" i="1" a="1"/>
  <c r="F2044" i="1"/>
  <c r="I2047" i="1" a="1"/>
  <c r="I2047" i="1" s="1"/>
  <c r="K2046" i="1" a="1"/>
  <c r="K2046" i="1" s="1"/>
  <c r="F2045" i="1" a="1"/>
  <c r="F2045" i="1" s="1"/>
  <c r="H2044" i="1" a="1"/>
  <c r="H2044" i="1" s="1"/>
  <c r="G2047" i="1" a="1"/>
  <c r="G2047" i="1"/>
  <c r="F2047" i="1" a="1"/>
  <c r="F2047" i="1"/>
  <c r="M2046" i="1" a="1"/>
  <c r="M2046" i="1"/>
  <c r="F2046" i="1" a="1"/>
  <c r="F2046" i="1"/>
  <c r="O2042" i="1" a="1"/>
  <c r="O2042" i="1" s="1"/>
  <c r="L2046" i="1" a="1"/>
  <c r="L2046" i="1"/>
  <c r="I2046" i="1" a="1"/>
  <c r="I2046" i="1"/>
  <c r="P2045" i="1" a="1"/>
  <c r="P2045" i="1"/>
  <c r="K2045" i="1" a="1"/>
  <c r="K2045" i="1" s="1"/>
  <c r="I2043" i="1" a="1"/>
  <c r="I2043" i="1" s="1"/>
  <c r="Q2044" i="1" a="1"/>
  <c r="Q2044" i="1" s="1"/>
  <c r="K2043" i="1" a="1"/>
  <c r="K2043" i="1" s="1"/>
  <c r="J2043" i="1" a="1"/>
  <c r="J2043" i="1"/>
  <c r="Q2042" i="1" a="1"/>
  <c r="Q2042" i="1"/>
  <c r="G2043" i="1" a="1"/>
  <c r="G2043" i="1" s="1"/>
  <c r="J2044" i="1" a="1"/>
  <c r="J2044" i="1"/>
  <c r="K2044" i="1" a="1"/>
  <c r="K2044" i="1"/>
  <c r="N2046" i="1" a="1"/>
  <c r="N2046" i="1"/>
  <c r="G2045" i="1" a="1"/>
  <c r="G2045" i="1"/>
  <c r="L2043" i="1" a="1"/>
  <c r="L2043" i="1" s="1"/>
  <c r="L2042" i="1" a="1"/>
  <c r="L2042" i="1" s="1"/>
  <c r="N2039" i="1" a="1"/>
  <c r="N2039" i="1" s="1"/>
  <c r="J2039" i="1" a="1"/>
  <c r="J2039" i="1" s="1"/>
  <c r="N2038" i="1" a="1"/>
  <c r="N2038" i="1" s="1"/>
  <c r="K2040" i="1" a="1"/>
  <c r="K2040" i="1" s="1"/>
  <c r="K2042" i="1" a="1"/>
  <c r="K2042" i="1" s="1"/>
  <c r="F2042" i="1" a="1"/>
  <c r="F2042" i="1" s="1"/>
  <c r="M2037" i="1" a="1"/>
  <c r="M2037" i="1" s="1"/>
  <c r="J2042" i="1" a="1"/>
  <c r="J2042" i="1"/>
  <c r="H2042" i="1" a="1"/>
  <c r="H2042" i="1"/>
  <c r="Q2041" i="1" a="1"/>
  <c r="Q2041" i="1" s="1"/>
  <c r="H2038" i="1" a="1"/>
  <c r="H2038" i="1"/>
  <c r="H2037" i="1" a="1"/>
  <c r="H2037" i="1"/>
  <c r="M2041" i="1" a="1"/>
  <c r="M2041" i="1"/>
  <c r="J2041" i="1" a="1"/>
  <c r="J2041" i="1"/>
  <c r="I2041" i="1" a="1"/>
  <c r="I2041" i="1"/>
  <c r="M2040" i="1" a="1"/>
  <c r="M2040" i="1" s="1"/>
  <c r="I2037" i="1" a="1"/>
  <c r="I2037" i="1" s="1"/>
  <c r="P2039" i="1" a="1"/>
  <c r="P2039" i="1" s="1"/>
  <c r="J2040" i="1" a="1"/>
  <c r="J2040" i="1"/>
  <c r="I2040" i="1" a="1"/>
  <c r="I2040" i="1"/>
  <c r="F2040" i="1" a="1"/>
  <c r="F2040" i="1" s="1"/>
  <c r="O2039" i="1" a="1"/>
  <c r="O2039" i="1" s="1"/>
  <c r="O2037" i="1" a="1"/>
  <c r="O2037" i="1" s="1"/>
  <c r="O2038" i="1" a="1"/>
  <c r="O2038" i="1" s="1"/>
  <c r="P2038" i="1" a="1"/>
  <c r="P2038" i="1"/>
  <c r="L2037" i="1" a="1"/>
  <c r="L2037" i="1"/>
  <c r="M2039" i="1" a="1"/>
  <c r="M2039" i="1"/>
  <c r="M2038" i="1" a="1"/>
  <c r="M2038" i="1" s="1"/>
  <c r="K2037" i="1" a="1"/>
  <c r="K2037" i="1" s="1"/>
  <c r="P2041" i="1" a="1"/>
  <c r="P2041" i="1" s="1"/>
  <c r="H2039" i="1" a="1"/>
  <c r="H2039" i="1"/>
  <c r="F2039" i="1" a="1"/>
  <c r="F2039" i="1"/>
  <c r="G2038" i="1" a="1"/>
  <c r="G2038" i="1" s="1"/>
  <c r="Q2040" i="1" a="1"/>
  <c r="Q2040" i="1" s="1"/>
  <c r="H2041" i="1" a="1"/>
  <c r="H2041" i="1" s="1"/>
  <c r="L2040" i="1" a="1"/>
  <c r="L2040" i="1" s="1"/>
  <c r="G2041" i="1" a="1"/>
  <c r="G2041" i="1" s="1"/>
  <c r="G2039" i="1" a="1"/>
  <c r="G2039" i="1"/>
  <c r="Q2038" i="1" a="1"/>
  <c r="Q2038" i="1"/>
  <c r="J2038" i="1" a="1"/>
  <c r="J2038" i="1" s="1"/>
  <c r="I2038" i="1" a="1"/>
  <c r="I2038" i="1"/>
  <c r="N2041" i="1" a="1"/>
  <c r="N2041" i="1"/>
  <c r="I2039" i="1" a="1"/>
  <c r="I2039" i="1"/>
  <c r="Q2039" i="1" a="1"/>
  <c r="Q2039" i="1" s="1"/>
  <c r="I2042" i="1" a="1"/>
  <c r="I2042" i="1" s="1"/>
  <c r="N2040" i="1" a="1"/>
  <c r="N2040" i="1"/>
  <c r="G2042" i="1" a="1"/>
  <c r="G2042" i="1"/>
  <c r="O2040" i="1" a="1"/>
  <c r="O2040" i="1" s="1"/>
  <c r="L2041" i="1" a="1"/>
  <c r="L2041" i="1" s="1"/>
  <c r="F2041" i="1" a="1"/>
  <c r="F2041" i="1" s="1"/>
  <c r="P2040" i="1" a="1"/>
  <c r="P2040" i="1" s="1"/>
  <c r="G2040" i="1" a="1"/>
  <c r="G2040" i="1" s="1"/>
  <c r="L2039" i="1" a="1"/>
  <c r="L2039" i="1"/>
  <c r="N2037" i="1" a="1"/>
  <c r="N2037" i="1"/>
  <c r="J2037" i="1" a="1"/>
  <c r="J2037" i="1" s="1"/>
  <c r="P2037" i="1" a="1"/>
  <c r="P2037" i="1"/>
  <c r="K2039" i="1" a="1"/>
  <c r="K2039" i="1" s="1"/>
  <c r="L2038" i="1" a="1"/>
  <c r="L2038" i="1" s="1"/>
  <c r="K2038" i="1" a="1"/>
  <c r="K2038" i="1"/>
  <c r="F2038" i="1" a="1"/>
  <c r="F2038" i="1"/>
  <c r="O2041" i="1" a="1"/>
  <c r="O2041" i="1"/>
  <c r="K2041" i="1" a="1"/>
  <c r="K2041" i="1"/>
  <c r="H2040" i="1" a="1"/>
  <c r="H2040" i="1" s="1"/>
  <c r="Q2037" i="1" a="1"/>
  <c r="Q2037" i="1" s="1"/>
  <c r="O2035" i="1" a="1"/>
  <c r="O2035" i="1" s="1"/>
  <c r="F2034" i="1" a="1"/>
  <c r="F2034" i="1" s="1"/>
  <c r="J2032" i="1" a="1"/>
  <c r="J2032" i="1" s="1"/>
  <c r="J2031" i="1" s="1" a="1"/>
  <c r="J2031" i="1" s="1"/>
  <c r="G2037" i="1" a="1"/>
  <c r="G2037" i="1"/>
  <c r="F2037" i="1" a="1"/>
  <c r="F2037" i="1" s="1"/>
  <c r="L2035" i="1" a="1"/>
  <c r="L2035" i="1"/>
  <c r="N2032" i="1" a="1"/>
  <c r="N2032" i="1" s="1"/>
  <c r="L2036" i="1" a="1"/>
  <c r="L2036" i="1" s="1"/>
  <c r="P2034" i="1" a="1"/>
  <c r="P2034" i="1" s="1"/>
  <c r="K2032" i="1" a="1"/>
  <c r="K2032" i="1"/>
  <c r="K2031" i="1" s="1" a="1"/>
  <c r="K2031" i="1" s="1"/>
  <c r="G2034" i="1" a="1"/>
  <c r="G2034" i="1" s="1"/>
  <c r="Q2036" i="1" a="1"/>
  <c r="Q2036" i="1"/>
  <c r="P2036" i="1" a="1"/>
  <c r="P2036" i="1" s="1"/>
  <c r="N2031" i="1" a="1"/>
  <c r="N2031" i="1"/>
  <c r="F2036" i="1" a="1"/>
  <c r="F2036" i="1"/>
  <c r="P2035" i="1" a="1"/>
  <c r="P2035" i="1"/>
  <c r="N2035" i="1" a="1"/>
  <c r="N2035" i="1" s="1"/>
  <c r="I2035" i="1" a="1"/>
  <c r="I2035" i="1" s="1"/>
  <c r="F2035" i="1" a="1"/>
  <c r="F2035" i="1" s="1"/>
  <c r="I2034" i="1" a="1"/>
  <c r="I2034" i="1" s="1"/>
  <c r="H2034" i="1" a="1"/>
  <c r="H2034" i="1"/>
  <c r="H2032" i="1" a="1"/>
  <c r="H2032" i="1"/>
  <c r="F2031" i="1" a="1"/>
  <c r="F2031" i="1"/>
  <c r="I2032" i="1" a="1"/>
  <c r="I2032" i="1"/>
  <c r="I2031" i="1" s="1" a="1"/>
  <c r="I2031" i="1" s="1"/>
  <c r="O2036" i="1" a="1"/>
  <c r="O2036" i="1"/>
  <c r="N2036" i="1" a="1"/>
  <c r="N2036" i="1"/>
  <c r="J2035" i="1" a="1"/>
  <c r="J2035" i="1" s="1"/>
  <c r="L2032" i="1" a="1"/>
  <c r="L2032" i="1" s="1"/>
  <c r="L2031" i="1" s="1" a="1"/>
  <c r="L2031" i="1" s="1"/>
  <c r="Q2031" i="1" a="1"/>
  <c r="Q2031" i="1" s="1"/>
  <c r="L2034" i="1" a="1"/>
  <c r="L2034" i="1" s="1"/>
  <c r="M2036" i="1" a="1"/>
  <c r="M2036" i="1" s="1"/>
  <c r="K2034" i="1" a="1"/>
  <c r="K2034" i="1" s="1"/>
  <c r="K2036" i="1" a="1"/>
  <c r="K2036" i="1" s="1"/>
  <c r="J2036" i="1" a="1"/>
  <c r="J2036" i="1" s="1"/>
  <c r="G2036" i="1" a="1"/>
  <c r="G2036" i="1" s="1"/>
  <c r="Q2035" i="1" a="1"/>
  <c r="Q2035" i="1"/>
  <c r="O2032" i="1" a="1"/>
  <c r="O2032" i="1"/>
  <c r="O2031" i="1" s="1" a="1"/>
  <c r="O2031" i="1" s="1"/>
  <c r="P2031" i="1" a="1"/>
  <c r="P2031" i="1"/>
  <c r="M2035" i="1" a="1"/>
  <c r="M2035" i="1"/>
  <c r="K2035" i="1" a="1"/>
  <c r="K2035" i="1"/>
  <c r="H2035" i="1" a="1"/>
  <c r="H2035" i="1"/>
  <c r="G2035" i="1" a="1"/>
  <c r="G2035" i="1" s="1"/>
  <c r="Q2034" i="1" a="1"/>
  <c r="Q2034" i="1" s="1"/>
  <c r="N2034" i="1" a="1"/>
  <c r="N2034" i="1" s="1"/>
  <c r="M2034" i="1" a="1"/>
  <c r="M2034" i="1" s="1"/>
  <c r="J2034" i="1" a="1"/>
  <c r="J2034" i="1" s="1"/>
  <c r="Q2032" i="1" a="1"/>
  <c r="Q2032" i="1"/>
  <c r="F2032" i="1" a="1"/>
  <c r="F2032" i="1"/>
  <c r="M2032" i="1" a="1"/>
  <c r="M2032" i="1"/>
  <c r="M2031" i="1" s="1" a="1"/>
  <c r="M2031" i="1" s="1"/>
  <c r="P2032" i="1" a="1"/>
  <c r="P2032" i="1"/>
  <c r="H2031" i="1" a="1"/>
  <c r="H2031" i="1"/>
  <c r="I2036" i="1" a="1"/>
  <c r="I2036" i="1"/>
  <c r="H2036" i="1" a="1"/>
  <c r="H2036" i="1" s="1"/>
  <c r="O2034" i="1" a="1"/>
  <c r="O2034" i="1"/>
  <c r="G2032" i="1" a="1"/>
  <c r="G2032" i="1" s="1"/>
  <c r="G2031" i="1" s="1" a="1"/>
  <c r="G2031" i="1" s="1"/>
  <c r="F2029" i="1" a="1"/>
  <c r="F2029" i="1"/>
  <c r="F2028" i="1" s="1" a="1"/>
  <c r="F2028" i="1" s="1"/>
  <c r="L2025" i="1" a="1"/>
  <c r="L2025" i="1" s="1"/>
  <c r="M2026" i="1" a="1"/>
  <c r="M2026" i="1" s="1"/>
  <c r="O2029" i="1" a="1"/>
  <c r="O2029" i="1" s="1"/>
  <c r="O2028" i="1" s="1" a="1"/>
  <c r="O2028" i="1" s="1"/>
  <c r="G2029" i="1" a="1"/>
  <c r="G2029" i="1" s="1"/>
  <c r="G2028" i="1" s="1" a="1"/>
  <c r="G2028" i="1" s="1"/>
  <c r="I2025" i="1" a="1"/>
  <c r="I2025" i="1"/>
  <c r="H2025" i="1" a="1"/>
  <c r="H2025" i="1" s="1"/>
  <c r="N2025" i="1" a="1"/>
  <c r="N2025" i="1"/>
  <c r="F2025" i="1" a="1"/>
  <c r="F2025" i="1"/>
  <c r="I2026" i="1" a="1"/>
  <c r="I2026" i="1"/>
  <c r="F2026" i="1" a="1"/>
  <c r="F2026" i="1"/>
  <c r="Q2029" i="1" a="1"/>
  <c r="Q2029" i="1"/>
  <c r="Q2028" i="1" s="1" a="1"/>
  <c r="Q2028" i="1" s="1"/>
  <c r="Q2026" i="1" a="1"/>
  <c r="Q2026" i="1" s="1"/>
  <c r="P2029" i="1" a="1"/>
  <c r="P2029" i="1" s="1"/>
  <c r="P2028" i="1" s="1" a="1"/>
  <c r="P2028" i="1" s="1"/>
  <c r="K2026" i="1" a="1"/>
  <c r="K2026" i="1"/>
  <c r="P2025" i="1" a="1"/>
  <c r="P2025" i="1"/>
  <c r="O2025" i="1" a="1"/>
  <c r="O2025" i="1"/>
  <c r="N2029" i="1" a="1"/>
  <c r="N2029" i="1" s="1"/>
  <c r="N2028" i="1" s="1" a="1"/>
  <c r="N2028" i="1" s="1"/>
  <c r="M2029" i="1" a="1"/>
  <c r="M2029" i="1" s="1"/>
  <c r="M2028" i="1" s="1" a="1"/>
  <c r="M2028" i="1" s="1"/>
  <c r="J2026" i="1" a="1"/>
  <c r="J2026" i="1" s="1"/>
  <c r="L2029" i="1" a="1"/>
  <c r="L2029" i="1"/>
  <c r="L2028" i="1" s="1" a="1"/>
  <c r="L2028" i="1" s="1"/>
  <c r="J2029" i="1" a="1"/>
  <c r="J2029" i="1"/>
  <c r="J2028" i="1" s="1" a="1"/>
  <c r="J2028" i="1" s="1"/>
  <c r="H2029" i="1" a="1"/>
  <c r="H2029" i="1" s="1"/>
  <c r="H2028" i="1" s="1" a="1"/>
  <c r="H2028" i="1" s="1"/>
  <c r="I2029" i="1" a="1"/>
  <c r="I2029" i="1"/>
  <c r="I2028" i="1" s="1" a="1"/>
  <c r="I2028" i="1" s="1"/>
  <c r="K2025" i="1" a="1"/>
  <c r="K2025" i="1" s="1"/>
  <c r="N2026" i="1" a="1"/>
  <c r="N2026" i="1" s="1"/>
  <c r="H2026" i="1" a="1"/>
  <c r="H2026" i="1" s="1"/>
  <c r="M2025" i="1" a="1"/>
  <c r="M2025" i="1" s="1"/>
  <c r="K2029" i="1" a="1"/>
  <c r="K2029" i="1" s="1"/>
  <c r="K2028" i="1" s="1" a="1"/>
  <c r="K2028" i="1" s="1"/>
  <c r="L2026" i="1" a="1"/>
  <c r="L2026" i="1" s="1"/>
  <c r="J2025" i="1" a="1"/>
  <c r="J2025" i="1"/>
  <c r="G2026" i="1" a="1"/>
  <c r="G2026" i="1"/>
  <c r="P2026" i="1" a="1"/>
  <c r="P2026" i="1" s="1"/>
  <c r="O2026" i="1" a="1"/>
  <c r="O2026" i="1" s="1"/>
  <c r="Q2025" i="1" a="1"/>
  <c r="Q2025" i="1"/>
  <c r="G2025" i="1" a="1"/>
  <c r="G2025" i="1"/>
  <c r="O2023" i="1" a="1"/>
  <c r="O2023" i="1"/>
  <c r="M2023" i="1" a="1"/>
  <c r="M2023" i="1"/>
  <c r="L2023" i="1" a="1"/>
  <c r="L2023" i="1" s="1"/>
  <c r="F2023" i="1" a="1"/>
  <c r="F2023" i="1"/>
  <c r="Q2023" i="1" a="1"/>
  <c r="Q2023" i="1"/>
  <c r="K2023" i="1" a="1"/>
  <c r="K2023" i="1"/>
  <c r="G2023" i="1" a="1"/>
  <c r="G2023" i="1" s="1"/>
  <c r="I2023" i="1" a="1"/>
  <c r="I2023" i="1" s="1"/>
  <c r="N2023" i="1" a="1"/>
  <c r="N2023" i="1" s="1"/>
  <c r="J2023" i="1" a="1"/>
  <c r="J2023" i="1" s="1"/>
  <c r="H2023" i="1" a="1"/>
  <c r="H2023" i="1" s="1"/>
  <c r="P2023" i="1" a="1"/>
  <c r="P2023" i="1"/>
  <c r="N2336" i="1" a="1"/>
  <c r="N2336" i="1"/>
  <c r="F2334" i="1" a="1"/>
  <c r="F2334" i="1" s="1"/>
  <c r="M2336" i="1" a="1"/>
  <c r="M2336" i="1" s="1"/>
  <c r="O2335" i="1" a="1"/>
  <c r="O2335" i="1" s="1"/>
  <c r="L2336" i="1" a="1"/>
  <c r="L2336" i="1" s="1"/>
  <c r="N2334" i="1" a="1"/>
  <c r="N2334" i="1"/>
  <c r="G2334" i="1" a="1"/>
  <c r="G2334" i="1" s="1"/>
  <c r="O2333" i="1" a="1"/>
  <c r="O2333" i="1"/>
  <c r="F2336" i="1" a="1"/>
  <c r="F2336" i="1"/>
  <c r="P2334" i="1" a="1"/>
  <c r="P2334" i="1"/>
  <c r="I2336" i="1" a="1"/>
  <c r="I2336" i="1" s="1"/>
  <c r="Q2335" i="1" a="1"/>
  <c r="Q2335" i="1" s="1"/>
  <c r="I2334" i="1" a="1"/>
  <c r="I2334" i="1"/>
  <c r="J2334" i="1" a="1"/>
  <c r="J2334" i="1"/>
  <c r="Q2333" i="1" a="1"/>
  <c r="Q2333" i="1" s="1"/>
  <c r="P2333" i="1" a="1"/>
  <c r="P2333" i="1"/>
  <c r="M2334" i="1" a="1"/>
  <c r="M2334" i="1"/>
  <c r="O2334" i="1" a="1"/>
  <c r="O2334" i="1"/>
  <c r="N2335" i="1" a="1"/>
  <c r="N2335" i="1"/>
  <c r="L2335" i="1" a="1"/>
  <c r="L2335" i="1"/>
  <c r="N2333" i="1" a="1"/>
  <c r="N2333" i="1"/>
  <c r="H2334" i="1" a="1"/>
  <c r="H2334" i="1" s="1"/>
  <c r="J2335" i="1" a="1"/>
  <c r="J2335" i="1" s="1"/>
  <c r="G2335" i="1" a="1"/>
  <c r="G2335" i="1" s="1"/>
  <c r="K2334" i="1" a="1"/>
  <c r="K2334" i="1" s="1"/>
  <c r="F2338" i="1" a="1"/>
  <c r="F2338" i="1" s="1"/>
  <c r="Q2336" i="1" a="1"/>
  <c r="Q2336" i="1" s="1"/>
  <c r="H2336" i="1" a="1"/>
  <c r="H2336" i="1" s="1"/>
  <c r="K2335" i="1" a="1"/>
  <c r="K2335" i="1" s="1"/>
  <c r="G2336" i="1" a="1"/>
  <c r="G2336" i="1"/>
  <c r="F2335" i="1" a="1"/>
  <c r="F2335" i="1" s="1"/>
  <c r="G2337" i="1" a="1"/>
  <c r="G2337" i="1" s="1"/>
  <c r="M2337" i="1" a="1"/>
  <c r="M2337" i="1" s="1"/>
  <c r="J2338" i="1" a="1"/>
  <c r="J2338" i="1"/>
  <c r="I2338" i="1" a="1"/>
  <c r="I2338" i="1"/>
  <c r="H2338" i="1" a="1"/>
  <c r="H2338" i="1"/>
  <c r="G2338" i="1" a="1"/>
  <c r="G2338" i="1"/>
  <c r="Q2337" i="1" a="1"/>
  <c r="Q2337" i="1" s="1"/>
  <c r="M2335" i="1" a="1"/>
  <c r="M2335" i="1" s="1"/>
  <c r="P2337" i="1" a="1"/>
  <c r="P2337" i="1" s="1"/>
  <c r="L2334" i="1" a="1"/>
  <c r="L2334" i="1"/>
  <c r="Q2334" i="1" a="1"/>
  <c r="Q2334" i="1" s="1"/>
  <c r="H2337" i="1" a="1"/>
  <c r="H2337" i="1" s="1"/>
  <c r="F2337" i="1" a="1"/>
  <c r="F2337" i="1" s="1"/>
  <c r="O2337" i="1" a="1"/>
  <c r="O2337" i="1" s="1"/>
  <c r="P2336" i="1" a="1"/>
  <c r="P2336" i="1"/>
  <c r="N2337" i="1" a="1"/>
  <c r="N2337" i="1"/>
  <c r="L2337" i="1" a="1"/>
  <c r="L2337" i="1"/>
  <c r="K2337" i="1" a="1"/>
  <c r="K2337" i="1"/>
  <c r="K2336" i="1" a="1"/>
  <c r="K2336" i="1" s="1"/>
  <c r="P2335" i="1" a="1"/>
  <c r="P2335" i="1"/>
  <c r="I2335" i="1" a="1"/>
  <c r="I2335" i="1" s="1"/>
  <c r="H2335" i="1" a="1"/>
  <c r="H2335" i="1"/>
  <c r="J2336" i="1" a="1"/>
  <c r="J2336" i="1" s="1"/>
  <c r="J2337" i="1" a="1"/>
  <c r="J2337" i="1" s="1"/>
  <c r="I2337" i="1" a="1"/>
  <c r="I2337" i="1" s="1"/>
  <c r="O2336" i="1" a="1"/>
  <c r="O2336" i="1" s="1"/>
  <c r="K2333" i="1" a="1"/>
  <c r="K2333" i="1"/>
  <c r="N2332" i="1" a="1"/>
  <c r="N2332" i="1"/>
  <c r="J2333" i="1" a="1"/>
  <c r="J2333" i="1" s="1"/>
  <c r="H2333" i="1" a="1"/>
  <c r="H2333" i="1" s="1"/>
  <c r="G2333" i="1" a="1"/>
  <c r="G2333" i="1" s="1"/>
  <c r="Q2332" i="1" a="1"/>
  <c r="Q2332" i="1"/>
  <c r="P2329" i="1" a="1"/>
  <c r="P2329" i="1"/>
  <c r="Q2328" i="1" a="1"/>
  <c r="Q2328" i="1"/>
  <c r="J2332" i="1" a="1"/>
  <c r="J2332" i="1" s="1"/>
  <c r="M2331" i="1" a="1"/>
  <c r="M2331" i="1"/>
  <c r="K2328" i="1" a="1"/>
  <c r="K2328" i="1" s="1"/>
  <c r="I2331" i="1" a="1"/>
  <c r="I2331" i="1" s="1"/>
  <c r="M2332" i="1" a="1"/>
  <c r="M2332" i="1" s="1"/>
  <c r="L2332" i="1" a="1"/>
  <c r="L2332" i="1" s="1"/>
  <c r="N2331" i="1" a="1"/>
  <c r="N2331" i="1" s="1"/>
  <c r="F2331" i="1" a="1"/>
  <c r="F2331" i="1" s="1"/>
  <c r="L2330" i="1" a="1"/>
  <c r="L2330" i="1"/>
  <c r="F2329" i="1" a="1"/>
  <c r="F2329" i="1"/>
  <c r="P2328" i="1" a="1"/>
  <c r="P2328" i="1"/>
  <c r="J2328" i="1" a="1"/>
  <c r="J2328" i="1"/>
  <c r="K2332" i="1" a="1"/>
  <c r="K2332" i="1"/>
  <c r="I2332" i="1" a="1"/>
  <c r="I2332" i="1"/>
  <c r="H2332" i="1" a="1"/>
  <c r="H2332" i="1"/>
  <c r="G2332" i="1" a="1"/>
  <c r="G2332" i="1"/>
  <c r="M2329" i="1" a="1"/>
  <c r="M2329" i="1" s="1"/>
  <c r="G2329" i="1" a="1"/>
  <c r="G2329" i="1" s="1"/>
  <c r="J2329" i="1" a="1"/>
  <c r="J2329" i="1"/>
  <c r="P2331" i="1" a="1"/>
  <c r="P2331" i="1"/>
  <c r="M2330" i="1" a="1"/>
  <c r="M2330" i="1"/>
  <c r="I2333" i="1" a="1"/>
  <c r="I2333" i="1" s="1"/>
  <c r="Q2331" i="1" a="1"/>
  <c r="Q2331" i="1" s="1"/>
  <c r="H2329" i="1" a="1"/>
  <c r="H2329" i="1" s="1"/>
  <c r="N2329" i="1" a="1"/>
  <c r="N2329" i="1" s="1"/>
  <c r="P2330" i="1" a="1"/>
  <c r="P2330" i="1" s="1"/>
  <c r="I2329" i="1" a="1"/>
  <c r="I2329" i="1" s="1"/>
  <c r="H2330" i="1" a="1"/>
  <c r="H2330" i="1"/>
  <c r="L2328" i="1" a="1"/>
  <c r="L2328" i="1"/>
  <c r="F2330" i="1" a="1"/>
  <c r="F2330" i="1"/>
  <c r="N2330" i="1" a="1"/>
  <c r="N2330" i="1" s="1"/>
  <c r="K2331" i="1" a="1"/>
  <c r="K2331" i="1" s="1"/>
  <c r="F2333" i="1" a="1"/>
  <c r="F2333" i="1"/>
  <c r="P2332" i="1" a="1"/>
  <c r="P2332" i="1" s="1"/>
  <c r="O2332" i="1" a="1"/>
  <c r="O2332" i="1"/>
  <c r="F2332" i="1" a="1"/>
  <c r="F2332" i="1"/>
  <c r="O2331" i="1" a="1"/>
  <c r="O2331" i="1"/>
  <c r="G2330" i="1" a="1"/>
  <c r="G2330" i="1" s="1"/>
  <c r="H2331" i="1" a="1"/>
  <c r="H2331" i="1"/>
  <c r="J2330" i="1" a="1"/>
  <c r="J2330" i="1"/>
  <c r="N2328" i="1" a="1"/>
  <c r="N2328" i="1"/>
  <c r="G2331" i="1" a="1"/>
  <c r="G2331" i="1"/>
  <c r="K2330" i="1" a="1"/>
  <c r="K2330" i="1"/>
  <c r="I2330" i="1" a="1"/>
  <c r="I2330" i="1"/>
  <c r="O2328" i="1" a="1"/>
  <c r="O2328" i="1" s="1"/>
  <c r="M2328" i="1" a="1"/>
  <c r="M2328" i="1"/>
  <c r="L2331" i="1" a="1"/>
  <c r="L2331" i="1"/>
  <c r="Q2330" i="1" a="1"/>
  <c r="Q2330" i="1"/>
  <c r="Q2329" i="1" a="1"/>
  <c r="Q2329" i="1" s="1"/>
  <c r="O2329" i="1" a="1"/>
  <c r="O2329" i="1" s="1"/>
  <c r="L2329" i="1" a="1"/>
  <c r="L2329" i="1" s="1"/>
  <c r="K2329" i="1" a="1"/>
  <c r="K2329" i="1" s="1"/>
  <c r="J2331" i="1" a="1"/>
  <c r="J2331" i="1" s="1"/>
  <c r="M2333" i="1" a="1"/>
  <c r="M2333" i="1" s="1"/>
  <c r="O2330" i="1" a="1"/>
  <c r="O2330" i="1" s="1"/>
  <c r="L2333" i="1" a="1"/>
  <c r="L2333" i="1" s="1"/>
  <c r="G2327" i="1" a="1"/>
  <c r="G2327" i="1" s="1"/>
  <c r="H2325" i="1" a="1"/>
  <c r="H2325" i="1" s="1"/>
  <c r="Q2326" i="1" a="1"/>
  <c r="Q2326" i="1"/>
  <c r="H2326" i="1" a="1"/>
  <c r="H2326" i="1"/>
  <c r="P2326" i="1" a="1"/>
  <c r="P2326" i="1"/>
  <c r="O2326" i="1" a="1"/>
  <c r="O2326" i="1"/>
  <c r="M2326" i="1" a="1"/>
  <c r="M2326" i="1"/>
  <c r="G2322" i="1" a="1"/>
  <c r="G2322" i="1" s="1"/>
  <c r="L2326" i="1" a="1"/>
  <c r="L2326" i="1" s="1"/>
  <c r="L2325" i="1" a="1"/>
  <c r="L2325" i="1" s="1"/>
  <c r="J2325" i="1" a="1"/>
  <c r="J2325" i="1"/>
  <c r="I2325" i="1" a="1"/>
  <c r="I2325" i="1"/>
  <c r="Q2323" i="1" a="1"/>
  <c r="Q2323" i="1" s="1"/>
  <c r="Q2322" i="1" s="1" a="1"/>
  <c r="Q2322" i="1" s="1"/>
  <c r="F2325" i="1" a="1"/>
  <c r="F2325" i="1" s="1"/>
  <c r="G2325" i="1" a="1"/>
  <c r="G2325" i="1"/>
  <c r="P2323" i="1" a="1"/>
  <c r="P2323" i="1"/>
  <c r="P2322" i="1" s="1" a="1"/>
  <c r="P2322" i="1" s="1"/>
  <c r="N2323" i="1" a="1"/>
  <c r="N2323" i="1"/>
  <c r="N2322" i="1" s="1" a="1"/>
  <c r="N2322" i="1" s="1"/>
  <c r="M2323" i="1" a="1"/>
  <c r="M2323" i="1"/>
  <c r="M2322" i="1" s="1" a="1"/>
  <c r="M2322" i="1" s="1"/>
  <c r="F2323" i="1" a="1"/>
  <c r="F2323" i="1"/>
  <c r="F2322" i="1" s="1" a="1"/>
  <c r="F2322" i="1" s="1"/>
  <c r="H2322" i="1" a="1"/>
  <c r="H2322" i="1" s="1"/>
  <c r="J2323" i="1" a="1"/>
  <c r="J2323" i="1" s="1"/>
  <c r="J2322" i="1" s="1" a="1"/>
  <c r="J2322" i="1" s="1"/>
  <c r="G2323" i="1" a="1"/>
  <c r="G2323" i="1" s="1"/>
  <c r="J2327" i="1" a="1"/>
  <c r="J2327" i="1" s="1"/>
  <c r="I2327" i="1" a="1"/>
  <c r="I2327" i="1" s="1"/>
  <c r="H2327" i="1" a="1"/>
  <c r="H2327" i="1" s="1"/>
  <c r="P2325" i="1" a="1"/>
  <c r="P2325" i="1" s="1"/>
  <c r="I2323" i="1" a="1"/>
  <c r="I2323" i="1"/>
  <c r="I2322" i="1" s="1" a="1"/>
  <c r="I2322" i="1" s="1"/>
  <c r="N2326" i="1" a="1"/>
  <c r="N2326" i="1"/>
  <c r="O2323" i="1" a="1"/>
  <c r="O2323" i="1"/>
  <c r="O2322" i="1" s="1" a="1"/>
  <c r="O2322" i="1" s="1"/>
  <c r="M2327" i="1" a="1"/>
  <c r="M2327" i="1"/>
  <c r="K2326" i="1" a="1"/>
  <c r="K2326" i="1" s="1"/>
  <c r="M2325" i="1" a="1"/>
  <c r="M2325" i="1"/>
  <c r="K2325" i="1" a="1"/>
  <c r="K2325" i="1" s="1"/>
  <c r="L2323" i="1" a="1"/>
  <c r="L2323" i="1"/>
  <c r="L2322" i="1" s="1" a="1"/>
  <c r="L2322" i="1" s="1"/>
  <c r="I2328" i="1" a="1"/>
  <c r="I2328" i="1"/>
  <c r="H2328" i="1" a="1"/>
  <c r="H2328" i="1"/>
  <c r="G2328" i="1" a="1"/>
  <c r="G2328" i="1" s="1"/>
  <c r="F2328" i="1" a="1"/>
  <c r="F2328" i="1"/>
  <c r="F2327" i="1" a="1"/>
  <c r="F2327" i="1" s="1"/>
  <c r="G2326" i="1" a="1"/>
  <c r="G2326" i="1" s="1"/>
  <c r="N2325" i="1" a="1"/>
  <c r="N2325" i="1"/>
  <c r="F2326" i="1" a="1"/>
  <c r="F2326" i="1"/>
  <c r="Q2327" i="1" a="1"/>
  <c r="Q2327" i="1"/>
  <c r="Q2325" i="1" a="1"/>
  <c r="Q2325" i="1"/>
  <c r="P2327" i="1" a="1"/>
  <c r="P2327" i="1" s="1"/>
  <c r="I2326" i="1" a="1"/>
  <c r="I2326" i="1" s="1"/>
  <c r="O2325" i="1" a="1"/>
  <c r="O2325" i="1" s="1"/>
  <c r="L2327" i="1" a="1"/>
  <c r="L2327" i="1"/>
  <c r="J2326" i="1" a="1"/>
  <c r="J2326" i="1" s="1"/>
  <c r="K2323" i="1" a="1"/>
  <c r="K2323" i="1" s="1"/>
  <c r="K2322" i="1" s="1" a="1"/>
  <c r="K2322" i="1" s="1"/>
  <c r="O2327" i="1" a="1"/>
  <c r="O2327" i="1" s="1"/>
  <c r="N2327" i="1" a="1"/>
  <c r="N2327" i="1" s="1"/>
  <c r="K2327" i="1" a="1"/>
  <c r="K2327" i="1"/>
  <c r="H2323" i="1" a="1"/>
  <c r="H2323" i="1"/>
  <c r="G2317" i="1" a="1"/>
  <c r="G2317" i="1" s="1"/>
  <c r="H2320" i="1" a="1"/>
  <c r="H2320" i="1"/>
  <c r="H2319" i="1" s="1" a="1"/>
  <c r="H2319" i="1" s="1"/>
  <c r="M2314" i="1" a="1"/>
  <c r="M2314" i="1"/>
  <c r="F2320" i="1" a="1"/>
  <c r="F2320" i="1"/>
  <c r="Q2319" i="1" a="1"/>
  <c r="Q2319" i="1"/>
  <c r="H2317" i="1" a="1"/>
  <c r="H2317" i="1"/>
  <c r="P2316" i="1" a="1"/>
  <c r="P2316" i="1"/>
  <c r="I2319" i="1" a="1"/>
  <c r="I2319" i="1"/>
  <c r="K2316" i="1" a="1"/>
  <c r="K2316" i="1" s="1"/>
  <c r="I2314" i="1" a="1"/>
  <c r="I2314" i="1" s="1"/>
  <c r="O2316" i="1" a="1"/>
  <c r="O2316" i="1" s="1"/>
  <c r="L2316" i="1" a="1"/>
  <c r="L2316" i="1"/>
  <c r="N2314" i="1" a="1"/>
  <c r="N2314" i="1"/>
  <c r="J2317" i="1" a="1"/>
  <c r="J2317" i="1"/>
  <c r="Q2316" i="1" a="1"/>
  <c r="Q2316" i="1"/>
  <c r="P2317" i="1" a="1"/>
  <c r="P2317" i="1" s="1"/>
  <c r="O2317" i="1" a="1"/>
  <c r="O2317" i="1" s="1"/>
  <c r="H2316" i="1" a="1"/>
  <c r="H2316" i="1" s="1"/>
  <c r="M2316" i="1" a="1"/>
  <c r="M2316" i="1"/>
  <c r="P2314" i="1" a="1"/>
  <c r="P2314" i="1"/>
  <c r="O2314" i="1" a="1"/>
  <c r="O2314" i="1"/>
  <c r="K2314" i="1" a="1"/>
  <c r="K2314" i="1" s="1"/>
  <c r="J2314" i="1" a="1"/>
  <c r="J2314" i="1" s="1"/>
  <c r="L2320" i="1" a="1"/>
  <c r="L2320" i="1" s="1"/>
  <c r="L2319" i="1" s="1" a="1"/>
  <c r="L2319" i="1" s="1"/>
  <c r="I2316" i="1" a="1"/>
  <c r="I2316" i="1" s="1"/>
  <c r="Q2317" i="1" a="1"/>
  <c r="Q2317" i="1"/>
  <c r="I2317" i="1" a="1"/>
  <c r="I2317" i="1"/>
  <c r="L2314" i="1" a="1"/>
  <c r="L2314" i="1"/>
  <c r="N2317" i="1" a="1"/>
  <c r="N2317" i="1"/>
  <c r="L2317" i="1" a="1"/>
  <c r="L2317" i="1"/>
  <c r="Q2320" i="1" a="1"/>
  <c r="Q2320" i="1" s="1"/>
  <c r="N2319" i="1" a="1"/>
  <c r="N2319" i="1" s="1"/>
  <c r="F2319" i="1" a="1"/>
  <c r="F2319" i="1" s="1"/>
  <c r="N2316" i="1" a="1"/>
  <c r="N2316" i="1" s="1"/>
  <c r="K2317" i="1" a="1"/>
  <c r="K2317" i="1" s="1"/>
  <c r="P2320" i="1" a="1"/>
  <c r="P2320" i="1" s="1"/>
  <c r="P2319" i="1" s="1" a="1"/>
  <c r="P2319" i="1" s="1"/>
  <c r="Q2314" i="1" a="1"/>
  <c r="Q2314" i="1"/>
  <c r="M2317" i="1" a="1"/>
  <c r="M2317" i="1" s="1"/>
  <c r="F2317" i="1" a="1"/>
  <c r="F2317" i="1" s="1"/>
  <c r="H2314" i="1" a="1"/>
  <c r="H2314" i="1"/>
  <c r="O2320" i="1" a="1"/>
  <c r="O2320" i="1" s="1"/>
  <c r="O2319" i="1" s="1" a="1"/>
  <c r="O2319" i="1" s="1"/>
  <c r="N2320" i="1" a="1"/>
  <c r="N2320" i="1" s="1"/>
  <c r="I2320" i="1" a="1"/>
  <c r="I2320" i="1" s="1"/>
  <c r="J2316" i="1" a="1"/>
  <c r="J2316" i="1"/>
  <c r="G2316" i="1" a="1"/>
  <c r="G2316" i="1"/>
  <c r="F2316" i="1" a="1"/>
  <c r="F2316" i="1" s="1"/>
  <c r="M2320" i="1" a="1"/>
  <c r="M2320" i="1"/>
  <c r="M2319" i="1" s="1" a="1"/>
  <c r="M2319" i="1" s="1"/>
  <c r="K2320" i="1" a="1"/>
  <c r="K2320" i="1"/>
  <c r="K2319" i="1" s="1" a="1"/>
  <c r="K2319" i="1" s="1"/>
  <c r="J2320" i="1" a="1"/>
  <c r="J2320" i="1"/>
  <c r="J2319" i="1" s="1" a="1"/>
  <c r="J2319" i="1" s="1"/>
  <c r="G2320" i="1" a="1"/>
  <c r="G2320" i="1" s="1"/>
  <c r="G2319" i="1" s="1" a="1"/>
  <c r="G2319" i="1" s="1"/>
  <c r="G2314" i="1" a="1"/>
  <c r="G2314" i="1" s="1"/>
  <c r="F2314" i="1" a="1"/>
  <c r="F2314" i="1" s="1"/>
  <c r="I2340" i="1" a="1"/>
  <c r="I2340" i="1" s="1"/>
  <c r="L2339" i="1" a="1"/>
  <c r="L2339" i="1"/>
  <c r="O2338" i="1" a="1"/>
  <c r="O2338" i="1"/>
  <c r="Q2340" i="1" a="1"/>
  <c r="Q2340" i="1"/>
  <c r="H2340" i="1" a="1"/>
  <c r="H2340" i="1" s="1"/>
  <c r="O2339" i="1" a="1"/>
  <c r="O2339" i="1" s="1"/>
  <c r="N2339" i="1" a="1"/>
  <c r="N2339" i="1" s="1"/>
  <c r="M2340" i="1" a="1"/>
  <c r="M2340" i="1"/>
  <c r="G2340" i="1" a="1"/>
  <c r="G2340" i="1" s="1"/>
  <c r="Q2339" i="1" a="1"/>
  <c r="Q2339" i="1"/>
  <c r="K2339" i="1" a="1"/>
  <c r="K2339" i="1"/>
  <c r="I2339" i="1" a="1"/>
  <c r="I2339" i="1"/>
  <c r="H2339" i="1" a="1"/>
  <c r="H2339" i="1" s="1"/>
  <c r="P2340" i="1" a="1"/>
  <c r="P2340" i="1" s="1"/>
  <c r="L2338" i="1" a="1"/>
  <c r="L2338" i="1" s="1"/>
  <c r="F2339" i="1" a="1"/>
  <c r="F2339" i="1" s="1"/>
  <c r="M2338" i="1" a="1"/>
  <c r="M2338" i="1"/>
  <c r="P2339" i="1" a="1"/>
  <c r="P2339" i="1" s="1"/>
  <c r="J2339" i="1" a="1"/>
  <c r="J2339" i="1" s="1"/>
  <c r="K2338" i="1" a="1"/>
  <c r="K2338" i="1"/>
  <c r="P2338" i="1" a="1"/>
  <c r="P2338" i="1"/>
  <c r="N2340" i="1" a="1"/>
  <c r="N2340" i="1" s="1"/>
  <c r="G2339" i="1" a="1"/>
  <c r="G2339" i="1"/>
  <c r="N2338" i="1" a="1"/>
  <c r="N2338" i="1" s="1"/>
  <c r="O2340" i="1" a="1"/>
  <c r="O2340" i="1"/>
  <c r="F2340" i="1" a="1"/>
  <c r="F2340" i="1"/>
  <c r="L2340" i="1" a="1"/>
  <c r="L2340" i="1"/>
  <c r="J2340" i="1" a="1"/>
  <c r="J2340" i="1" s="1"/>
  <c r="K2340" i="1" a="1"/>
  <c r="K2340" i="1" s="1"/>
  <c r="M2339" i="1" a="1"/>
  <c r="M2339" i="1" s="1"/>
  <c r="Q2338" i="1" a="1"/>
  <c r="Q2338" i="1" s="1"/>
  <c r="P1709" i="1" a="1"/>
  <c r="P1709" i="1"/>
  <c r="M1709" i="1" a="1"/>
  <c r="M1709" i="1" s="1"/>
  <c r="N1708" i="1" a="1"/>
  <c r="N1708" i="1" s="1"/>
  <c r="O1708" i="1" a="1"/>
  <c r="O1708" i="1" s="1"/>
  <c r="G1708" i="1" a="1"/>
  <c r="G1708" i="1"/>
  <c r="H1708" i="1" a="1"/>
  <c r="H1708" i="1"/>
  <c r="P1708" i="1" a="1"/>
  <c r="P1708" i="1"/>
  <c r="I1709" i="1" a="1"/>
  <c r="I1709" i="1"/>
  <c r="J1709" i="1" a="1"/>
  <c r="J1709" i="1" s="1"/>
  <c r="L1708" i="1" a="1"/>
  <c r="L1708" i="1" s="1"/>
  <c r="I1708" i="1" a="1"/>
  <c r="I1708" i="1" s="1"/>
  <c r="F1708" i="1" a="1"/>
  <c r="F1708" i="1"/>
  <c r="K1708" i="1" a="1"/>
  <c r="K1708" i="1" s="1"/>
  <c r="M1708" i="1" a="1"/>
  <c r="M1708" i="1"/>
  <c r="Q1708" i="1" a="1"/>
  <c r="Q1708" i="1"/>
  <c r="N1709" i="1" a="1"/>
  <c r="N1709" i="1" s="1"/>
  <c r="Q1709" i="1" a="1"/>
  <c r="Q1709" i="1"/>
  <c r="F1709" i="1" a="1"/>
  <c r="F1709" i="1"/>
  <c r="O1709" i="1" a="1"/>
  <c r="O1709" i="1"/>
  <c r="L1709" i="1" a="1"/>
  <c r="L1709" i="1"/>
  <c r="G1709" i="1" a="1"/>
  <c r="G1709" i="1" s="1"/>
  <c r="J1708" i="1" a="1"/>
  <c r="J1708" i="1"/>
  <c r="H1709" i="1" a="1"/>
  <c r="H1709" i="1" s="1"/>
  <c r="K1709" i="1" a="1"/>
  <c r="K1709" i="1"/>
  <c r="M743" i="1" a="1"/>
  <c r="M743" i="1"/>
  <c r="O743" i="1" a="1"/>
  <c r="O743" i="1" s="1"/>
  <c r="I743" i="1" a="1"/>
  <c r="I743" i="1" s="1"/>
  <c r="P743" i="1" a="1"/>
  <c r="P743" i="1" s="1"/>
  <c r="L743" i="1" a="1"/>
  <c r="L743" i="1" s="1"/>
  <c r="K743" i="1" a="1"/>
  <c r="K743" i="1" s="1"/>
  <c r="N743" i="1" a="1"/>
  <c r="N743" i="1"/>
  <c r="J743" i="1" a="1"/>
  <c r="J743" i="1" s="1"/>
  <c r="Q743" i="1" a="1"/>
  <c r="Q743" i="1" s="1"/>
  <c r="Q19" i="1"/>
  <c r="P19" i="1"/>
  <c r="O19" i="1"/>
  <c r="N19" i="1"/>
  <c r="M19" i="1"/>
  <c r="L19" i="1"/>
  <c r="K19" i="1"/>
  <c r="J19" i="1"/>
  <c r="I19" i="1"/>
  <c r="H19" i="1"/>
  <c r="G19" i="1"/>
  <c r="F19" i="1"/>
  <c r="Q18" i="1"/>
  <c r="P18" i="1"/>
  <c r="O18" i="1"/>
  <c r="N18" i="1"/>
  <c r="M18" i="1"/>
  <c r="L18" i="1"/>
  <c r="K18" i="1"/>
  <c r="J18" i="1"/>
  <c r="I18" i="1"/>
  <c r="H18" i="1"/>
  <c r="G18" i="1"/>
  <c r="F18" i="1"/>
  <c r="M284" i="1" a="1"/>
  <c r="M284" i="1" s="1"/>
  <c r="M283" i="1" s="1"/>
  <c r="N284" i="1" a="1"/>
  <c r="N284" i="1" s="1"/>
  <c r="N283" i="1" s="1"/>
  <c r="F284" i="1" a="1"/>
  <c r="F284" i="1" s="1"/>
  <c r="P284" i="1" a="1"/>
  <c r="P284" i="1" s="1"/>
  <c r="P283" i="1" s="1"/>
  <c r="G284" i="1" a="1"/>
  <c r="G284" i="1" s="1"/>
  <c r="O284" i="1" a="1"/>
  <c r="O284" i="1" s="1"/>
  <c r="O283" i="1" s="1"/>
  <c r="Q275" i="1" a="1"/>
  <c r="Q275" i="1"/>
  <c r="Q274" i="1" s="1"/>
  <c r="Q363" i="1" s="1"/>
  <c r="Q504" i="1" s="1"/>
  <c r="I284" i="1" a="1"/>
  <c r="I284" i="1"/>
  <c r="I283" i="1" s="1"/>
  <c r="N275" i="1" a="1"/>
  <c r="N275" i="1"/>
  <c r="N364" i="1" s="1"/>
  <c r="Q284" i="1" a="1"/>
  <c r="Q284" i="1"/>
  <c r="Q283" i="1" s="1"/>
  <c r="J284" i="1" a="1"/>
  <c r="J284" i="1" s="1"/>
  <c r="J283" i="1" s="1"/>
  <c r="O275" i="1" a="1"/>
  <c r="O275" i="1" s="1"/>
  <c r="O274" i="1" s="1"/>
  <c r="L284" i="1" a="1"/>
  <c r="L284" i="1" s="1"/>
  <c r="L283" i="1" s="1"/>
  <c r="L382" i="1" s="1"/>
  <c r="L513" i="1" s="1"/>
  <c r="L275" i="1" a="1"/>
  <c r="L275" i="1" s="1"/>
  <c r="P275" i="1" a="1"/>
  <c r="P275" i="1" s="1"/>
  <c r="P364" i="1" s="1"/>
  <c r="K284" i="1" a="1"/>
  <c r="K284" i="1"/>
  <c r="K283" i="1" s="1"/>
  <c r="K382" i="1" s="1"/>
  <c r="K513" i="1" s="1"/>
  <c r="M275" i="1" a="1"/>
  <c r="M275" i="1"/>
  <c r="M274" i="1" s="1"/>
  <c r="H284" i="1" a="1"/>
  <c r="H284" i="1"/>
  <c r="H283" i="1" s="1"/>
  <c r="H382" i="1" s="1"/>
  <c r="H513" i="1" s="1"/>
  <c r="K275" i="1" a="1"/>
  <c r="K275" i="1"/>
  <c r="H242" i="1" a="1"/>
  <c r="H242" i="1"/>
  <c r="L242" i="1" a="1"/>
  <c r="L242" i="1" s="1"/>
  <c r="J275" i="1" a="1"/>
  <c r="J275" i="1" s="1"/>
  <c r="J274" i="1" s="1"/>
  <c r="I275" i="1" a="1"/>
  <c r="I275" i="1"/>
  <c r="I274" i="1" s="1"/>
  <c r="H275" i="1" a="1"/>
  <c r="H275" i="1"/>
  <c r="H274" i="1" s="1"/>
  <c r="G275" i="1" a="1"/>
  <c r="G275" i="1"/>
  <c r="G274" i="1" s="1"/>
  <c r="G363" i="1" s="1"/>
  <c r="G504" i="1" s="1"/>
  <c r="F275" i="1" a="1"/>
  <c r="F275" i="1"/>
  <c r="F274" i="1" s="1"/>
  <c r="F363" i="1" s="1"/>
  <c r="F504" i="1" s="1"/>
  <c r="I242" i="1" a="1"/>
  <c r="I242" i="1"/>
  <c r="P242" i="1" a="1"/>
  <c r="P242" i="1"/>
  <c r="G242" i="1" a="1"/>
  <c r="G242" i="1" s="1"/>
  <c r="O242" i="1" a="1"/>
  <c r="O242" i="1"/>
  <c r="M242" i="1" a="1"/>
  <c r="M242" i="1" s="1"/>
  <c r="Q242" i="1" a="1"/>
  <c r="Q242" i="1" s="1"/>
  <c r="Q241" i="1" s="1"/>
  <c r="N242" i="1" a="1"/>
  <c r="N242" i="1" s="1"/>
  <c r="K242" i="1" a="1"/>
  <c r="K242" i="1" s="1"/>
  <c r="K317" i="1" s="1"/>
  <c r="K472" i="1" s="1"/>
  <c r="F242" i="1" a="1"/>
  <c r="F242" i="1"/>
  <c r="J242" i="1" a="1"/>
  <c r="J242" i="1"/>
  <c r="J241" i="1" s="1"/>
  <c r="J316" i="1" s="1"/>
  <c r="J471" i="1" s="1"/>
  <c r="G14" i="1" a="1"/>
  <c r="G14" i="1" s="1"/>
  <c r="P13" i="1" a="1"/>
  <c r="P13" i="1" s="1"/>
  <c r="K13" i="1" a="1"/>
  <c r="K13" i="1"/>
  <c r="O13" i="1" a="1"/>
  <c r="O13" i="1"/>
  <c r="J13" i="1" a="1"/>
  <c r="J13" i="1"/>
  <c r="Q13" i="1" a="1"/>
  <c r="Q13" i="1"/>
  <c r="I13" i="1" a="1"/>
  <c r="I13" i="1" s="1"/>
  <c r="G13" i="1" a="1"/>
  <c r="G13" i="1" s="1"/>
  <c r="F13" i="1" a="1"/>
  <c r="F13" i="1" s="1"/>
  <c r="O15" i="1" a="1"/>
  <c r="O15" i="1"/>
  <c r="N13" i="1" a="1"/>
  <c r="N13" i="1"/>
  <c r="N15" i="1" a="1"/>
  <c r="N15" i="1"/>
  <c r="M15" i="1" a="1"/>
  <c r="M15" i="1"/>
  <c r="L15" i="1" a="1"/>
  <c r="L15" i="1" s="1"/>
  <c r="K15" i="1" a="1"/>
  <c r="K15" i="1" s="1"/>
  <c r="J15" i="1" a="1"/>
  <c r="J15" i="1"/>
  <c r="L14" i="1" a="1"/>
  <c r="L14" i="1"/>
  <c r="L13" i="1" a="1"/>
  <c r="L13" i="1"/>
  <c r="I15" i="1" a="1"/>
  <c r="I15" i="1"/>
  <c r="H15" i="1" a="1"/>
  <c r="H15" i="1" s="1"/>
  <c r="Q14" i="1" a="1"/>
  <c r="Q14" i="1" s="1"/>
  <c r="G15" i="1" a="1"/>
  <c r="G15" i="1"/>
  <c r="I14" i="1" a="1"/>
  <c r="I14" i="1"/>
  <c r="M13" i="1" a="1"/>
  <c r="M13" i="1" s="1"/>
  <c r="H13" i="1" a="1"/>
  <c r="H13" i="1" s="1"/>
  <c r="F15" i="1" a="1"/>
  <c r="F15" i="1" s="1"/>
  <c r="P14" i="1" a="1"/>
  <c r="P14" i="1" s="1"/>
  <c r="O14" i="1" a="1"/>
  <c r="O14" i="1" s="1"/>
  <c r="N14" i="1" a="1"/>
  <c r="N14" i="1" s="1"/>
  <c r="M14" i="1" a="1"/>
  <c r="M14" i="1" s="1"/>
  <c r="K14" i="1" a="1"/>
  <c r="K14" i="1" s="1"/>
  <c r="J14" i="1" a="1"/>
  <c r="J14" i="1"/>
  <c r="F14" i="1" a="1"/>
  <c r="F14" i="1"/>
  <c r="H14" i="1" a="1"/>
  <c r="H14" i="1"/>
  <c r="O199" i="1" a="1"/>
  <c r="O199" i="1" s="1"/>
  <c r="O198" i="1" s="1"/>
  <c r="K199" i="1" a="1"/>
  <c r="K199" i="1"/>
  <c r="K198" i="1" s="1"/>
  <c r="J199" i="1" a="1"/>
  <c r="J199" i="1"/>
  <c r="J362" i="1" s="1"/>
  <c r="J429" i="1" s="1"/>
  <c r="L199" i="1" a="1"/>
  <c r="L199" i="1"/>
  <c r="L198" i="1" s="1"/>
  <c r="Q199" i="1" a="1"/>
  <c r="Q199" i="1"/>
  <c r="Q198" i="1" s="1"/>
  <c r="M199" i="1" a="1"/>
  <c r="M199" i="1"/>
  <c r="M198" i="1" s="1"/>
  <c r="F199" i="1" a="1"/>
  <c r="F199" i="1"/>
  <c r="P199" i="1" a="1"/>
  <c r="P199" i="1"/>
  <c r="N199" i="1" a="1"/>
  <c r="N199" i="1" s="1"/>
  <c r="N198" i="1" s="1"/>
  <c r="N361" i="1" s="1"/>
  <c r="N428" i="1" s="1"/>
  <c r="I199" i="1" a="1"/>
  <c r="I199" i="1"/>
  <c r="H199" i="1" a="1"/>
  <c r="H199" i="1"/>
  <c r="G199" i="1" a="1"/>
  <c r="G199" i="1" s="1"/>
  <c r="G198" i="1" s="1"/>
  <c r="J141" i="1" a="1"/>
  <c r="J141" i="1"/>
  <c r="O141" i="1" a="1"/>
  <c r="O141" i="1"/>
  <c r="I141" i="1" a="1"/>
  <c r="I141" i="1" s="1"/>
  <c r="L141" i="1" a="1"/>
  <c r="L141" i="1"/>
  <c r="P141" i="1" a="1"/>
  <c r="P141" i="1" s="1"/>
  <c r="K141" i="1" a="1"/>
  <c r="K141" i="1"/>
  <c r="Q141" i="1" a="1"/>
  <c r="Q141" i="1" s="1"/>
  <c r="M141" i="1" a="1"/>
  <c r="M141" i="1" s="1"/>
  <c r="N141" i="1" a="1"/>
  <c r="N141" i="1" s="1"/>
  <c r="P140" i="1" a="1"/>
  <c r="P140" i="1"/>
  <c r="O140" i="1" a="1"/>
  <c r="O140" i="1"/>
  <c r="N140" i="1" a="1"/>
  <c r="N140" i="1" s="1"/>
  <c r="I139" i="1" a="1"/>
  <c r="I139" i="1" s="1"/>
  <c r="H139" i="1" a="1"/>
  <c r="H139" i="1" s="1"/>
  <c r="L139" i="1" a="1"/>
  <c r="L139" i="1"/>
  <c r="K139" i="1" a="1"/>
  <c r="K139" i="1"/>
  <c r="P138" i="1" a="1"/>
  <c r="P138" i="1"/>
  <c r="O138" i="1"/>
  <c r="F140" i="1" a="1"/>
  <c r="F140" i="1"/>
  <c r="M140" i="1" a="1"/>
  <c r="M140" i="1" s="1"/>
  <c r="H140" i="1" a="1"/>
  <c r="H140" i="1"/>
  <c r="P139" i="1" a="1"/>
  <c r="P139" i="1" s="1"/>
  <c r="G139" i="1" a="1"/>
  <c r="G139" i="1" s="1"/>
  <c r="O139" i="1" a="1"/>
  <c r="O139" i="1" s="1"/>
  <c r="N139" i="1" a="1"/>
  <c r="N139" i="1" s="1"/>
  <c r="M139" i="1" a="1"/>
  <c r="M139" i="1"/>
  <c r="F139" i="1" a="1"/>
  <c r="F139" i="1"/>
  <c r="Q138" i="1" a="1"/>
  <c r="Q138" i="1"/>
  <c r="M138" i="1" a="1"/>
  <c r="M138" i="1" s="1"/>
  <c r="N138" i="1" a="1"/>
  <c r="N138" i="1" s="1"/>
  <c r="H141" i="1" a="1"/>
  <c r="H141" i="1" s="1"/>
  <c r="G141" i="1" a="1"/>
  <c r="G141" i="1"/>
  <c r="F141" i="1" a="1"/>
  <c r="F141" i="1"/>
  <c r="L138" i="1" a="1"/>
  <c r="L138" i="1"/>
  <c r="K138" i="1" a="1"/>
  <c r="K138" i="1" s="1"/>
  <c r="I138" i="1" a="1"/>
  <c r="I138" i="1" s="1"/>
  <c r="H138" i="1" a="1"/>
  <c r="H138" i="1" s="1"/>
  <c r="O62" i="1" a="1"/>
  <c r="O62" i="1" s="1"/>
  <c r="P62" i="1" a="1"/>
  <c r="P62" i="1"/>
  <c r="N62" i="1" a="1"/>
  <c r="N62" i="1" s="1"/>
  <c r="Q62" i="1" a="1"/>
  <c r="Q62" i="1"/>
  <c r="L60" i="1" a="1"/>
  <c r="L60" i="1"/>
  <c r="Q60" i="1" a="1"/>
  <c r="Q60" i="1"/>
  <c r="G60" i="1" a="1"/>
  <c r="G60" i="1" s="1"/>
  <c r="M60" i="1" a="1"/>
  <c r="M60" i="1" s="1"/>
  <c r="F62" i="1" a="1"/>
  <c r="F62" i="1"/>
  <c r="H61" i="1" a="1"/>
  <c r="H61" i="1"/>
  <c r="F60" i="1" a="1"/>
  <c r="F60" i="1" s="1"/>
  <c r="F59" i="1" a="1"/>
  <c r="F59" i="1" s="1"/>
  <c r="M62" i="1" a="1"/>
  <c r="M62" i="1" s="1"/>
  <c r="L62" i="1" a="1"/>
  <c r="L62" i="1"/>
  <c r="K62" i="1" a="1"/>
  <c r="K62" i="1"/>
  <c r="J62" i="1" a="1"/>
  <c r="J62" i="1" s="1"/>
  <c r="H62" i="1" a="1"/>
  <c r="H62" i="1"/>
  <c r="G59" i="1" a="1"/>
  <c r="G59" i="1" s="1"/>
  <c r="P61" i="1" a="1"/>
  <c r="P61" i="1" s="1"/>
  <c r="N60" i="1" a="1"/>
  <c r="N60" i="1" s="1"/>
  <c r="I62" i="1" a="1"/>
  <c r="I62" i="1"/>
  <c r="G62" i="1" a="1"/>
  <c r="G62" i="1" s="1"/>
  <c r="F61" i="1" a="1"/>
  <c r="F61" i="1" s="1"/>
  <c r="H59" i="1" a="1"/>
  <c r="H59" i="1" s="1"/>
  <c r="Q61" i="1" a="1"/>
  <c r="Q61" i="1" s="1"/>
  <c r="O61" i="1" a="1"/>
  <c r="O61" i="1" s="1"/>
  <c r="H60" i="1" a="1"/>
  <c r="H60" i="1"/>
  <c r="M61" i="1" a="1"/>
  <c r="M61" i="1" s="1"/>
  <c r="P59" i="1" a="1"/>
  <c r="P59" i="1" s="1"/>
  <c r="O59" i="1" a="1"/>
  <c r="O59" i="1"/>
  <c r="L61" i="1" a="1"/>
  <c r="L61" i="1"/>
  <c r="J61" i="1" a="1"/>
  <c r="J61" i="1" s="1"/>
  <c r="K59" i="1" a="1"/>
  <c r="K59" i="1"/>
  <c r="I59" i="1" a="1"/>
  <c r="I59" i="1"/>
  <c r="K61" i="1" a="1"/>
  <c r="K61" i="1"/>
  <c r="I61" i="1" a="1"/>
  <c r="I61" i="1"/>
  <c r="G61" i="1" a="1"/>
  <c r="G61" i="1"/>
  <c r="N59" i="1" a="1"/>
  <c r="N59" i="1"/>
  <c r="Q59" i="1" a="1"/>
  <c r="Q59" i="1" s="1"/>
  <c r="M59" i="1" a="1"/>
  <c r="M59" i="1" s="1"/>
  <c r="O60" i="1" a="1"/>
  <c r="O60" i="1" s="1"/>
  <c r="K60" i="1" a="1"/>
  <c r="K60" i="1" s="1"/>
  <c r="J60" i="1" a="1"/>
  <c r="J60" i="1" s="1"/>
  <c r="I60" i="1" a="1"/>
  <c r="I60" i="1"/>
  <c r="L59" i="1" a="1"/>
  <c r="L59" i="1" s="1"/>
  <c r="J59" i="1" a="1"/>
  <c r="J59" i="1"/>
  <c r="N61" i="1" a="1"/>
  <c r="N61" i="1" s="1"/>
  <c r="P60" i="1" a="1"/>
  <c r="P60" i="1" s="1"/>
  <c r="M55" i="1" a="1"/>
  <c r="M55" i="1" s="1"/>
  <c r="I55" i="1" a="1"/>
  <c r="I55" i="1"/>
  <c r="P55" i="1" a="1"/>
  <c r="P55" i="1"/>
  <c r="P53" i="1" a="1"/>
  <c r="P53" i="1"/>
  <c r="J55" i="1" a="1"/>
  <c r="J55" i="1" s="1"/>
  <c r="O55" i="1" a="1"/>
  <c r="O55" i="1" s="1"/>
  <c r="L55" i="1" a="1"/>
  <c r="L55" i="1" s="1"/>
  <c r="I53" i="1" a="1"/>
  <c r="I53" i="1" s="1"/>
  <c r="F55" i="1" a="1"/>
  <c r="F55" i="1" s="1"/>
  <c r="K53" i="1" a="1"/>
  <c r="K53" i="1"/>
  <c r="N52" i="1" a="1"/>
  <c r="N52" i="1" s="1"/>
  <c r="K55" i="1" a="1"/>
  <c r="K55" i="1" s="1"/>
  <c r="P54" i="1" a="1"/>
  <c r="P54" i="1" s="1"/>
  <c r="N54" i="1" a="1"/>
  <c r="N54" i="1"/>
  <c r="H54" i="1" a="1"/>
  <c r="H54" i="1"/>
  <c r="P52" i="1" a="1"/>
  <c r="P52" i="1"/>
  <c r="M54" i="1" a="1"/>
  <c r="M54" i="1"/>
  <c r="J54" i="1" a="1"/>
  <c r="J54" i="1"/>
  <c r="G54" i="1" a="1"/>
  <c r="G54" i="1" s="1"/>
  <c r="Q53" i="1" a="1"/>
  <c r="Q53" i="1" s="1"/>
  <c r="L53" i="1" a="1"/>
  <c r="L53" i="1"/>
  <c r="Q52" i="1" a="1"/>
  <c r="Q52" i="1" s="1"/>
  <c r="I52" i="1" a="1"/>
  <c r="I52" i="1" s="1"/>
  <c r="F52" i="1" a="1"/>
  <c r="F52" i="1"/>
  <c r="L52" i="1" a="1"/>
  <c r="L52" i="1" s="1"/>
  <c r="J52" i="1" a="1"/>
  <c r="J52" i="1"/>
  <c r="K54" i="1" a="1"/>
  <c r="K54" i="1"/>
  <c r="H55" i="1" a="1"/>
  <c r="H55" i="1" s="1"/>
  <c r="H52" i="1" a="1"/>
  <c r="H52" i="1" s="1"/>
  <c r="G55" i="1" a="1"/>
  <c r="G55" i="1" s="1"/>
  <c r="Q54" i="1" a="1"/>
  <c r="Q54" i="1"/>
  <c r="O53" i="1" a="1"/>
  <c r="O53" i="1"/>
  <c r="J53" i="1" a="1"/>
  <c r="J53" i="1" s="1"/>
  <c r="N53" i="1" a="1"/>
  <c r="N53" i="1"/>
  <c r="Q55" i="1" a="1"/>
  <c r="Q55" i="1"/>
  <c r="O52" i="1" a="1"/>
  <c r="O52" i="1" s="1"/>
  <c r="F53" i="1" a="1"/>
  <c r="F53" i="1"/>
  <c r="K52" i="1" a="1"/>
  <c r="K52" i="1" s="1"/>
  <c r="N55" i="1" a="1"/>
  <c r="N55" i="1" s="1"/>
  <c r="O54" i="1" a="1"/>
  <c r="O54" i="1"/>
  <c r="H53" i="1" a="1"/>
  <c r="H53" i="1" s="1"/>
  <c r="G52" i="1" a="1"/>
  <c r="G52" i="1" s="1"/>
  <c r="I54" i="1" a="1"/>
  <c r="I54" i="1"/>
  <c r="M52" i="1" a="1"/>
  <c r="M52" i="1"/>
  <c r="L54" i="1" a="1"/>
  <c r="L54" i="1"/>
  <c r="M53" i="1" a="1"/>
  <c r="M53" i="1"/>
  <c r="F54" i="1" a="1"/>
  <c r="F54" i="1" s="1"/>
  <c r="G53" i="1" a="1"/>
  <c r="G53" i="1"/>
  <c r="Q15" i="1" a="1"/>
  <c r="Q15" i="1"/>
  <c r="P15" i="1" a="1"/>
  <c r="P15" i="1" s="1"/>
  <c r="K11" i="1" a="1"/>
  <c r="K11" i="1"/>
  <c r="P11" i="1" a="1"/>
  <c r="P11" i="1"/>
  <c r="H11" i="1" a="1"/>
  <c r="H11" i="1"/>
  <c r="N11" i="1" a="1"/>
  <c r="N11" i="1"/>
  <c r="I11" i="1" a="1"/>
  <c r="I11" i="1"/>
  <c r="G11" i="1" a="1"/>
  <c r="G11" i="1"/>
  <c r="L11" i="1" a="1"/>
  <c r="L11" i="1" s="1"/>
  <c r="M11" i="1" a="1"/>
  <c r="M11" i="1" s="1"/>
  <c r="J11" i="1" a="1"/>
  <c r="J11" i="1" s="1"/>
  <c r="Q11" i="1" a="1"/>
  <c r="Q11" i="1"/>
  <c r="O11" i="1" a="1"/>
  <c r="O11" i="1" s="1"/>
  <c r="P10" i="1" a="1"/>
  <c r="P10" i="1"/>
  <c r="N10" i="1" a="1"/>
  <c r="N10" i="1"/>
  <c r="P9" i="1" a="1"/>
  <c r="P9" i="1"/>
  <c r="O9" i="1" a="1"/>
  <c r="O9" i="1"/>
  <c r="O7" i="1" a="1"/>
  <c r="O7" i="1"/>
  <c r="G5" i="1" a="1"/>
  <c r="G5" i="1"/>
  <c r="F6" i="1" a="1"/>
  <c r="F6" i="1"/>
  <c r="N9" i="1" a="1"/>
  <c r="N9" i="1"/>
  <c r="G7" i="1" a="1"/>
  <c r="G7" i="1"/>
  <c r="M9" i="1" a="1"/>
  <c r="M9" i="1"/>
  <c r="Q5" i="1" a="1"/>
  <c r="Q5" i="1"/>
  <c r="O5" i="1" a="1"/>
  <c r="O5" i="1"/>
  <c r="F9" i="1" a="1"/>
  <c r="F9" i="1"/>
  <c r="M7" i="1" a="1"/>
  <c r="M7" i="1" s="1"/>
  <c r="I6" i="1" a="1"/>
  <c r="I6" i="1" s="1"/>
  <c r="M5" i="1" a="1"/>
  <c r="M5" i="1"/>
  <c r="K5" i="1" a="1"/>
  <c r="K5" i="1"/>
  <c r="Q6" i="1" a="1"/>
  <c r="Q6" i="1"/>
  <c r="F5" i="1" a="1"/>
  <c r="F5" i="1"/>
  <c r="I5" i="1" a="1"/>
  <c r="I5" i="1"/>
  <c r="L10" i="1" a="1"/>
  <c r="L10" i="1"/>
  <c r="M6" i="1" a="1"/>
  <c r="M6" i="1"/>
  <c r="G9" i="1" a="1"/>
  <c r="G9" i="1"/>
  <c r="N7" i="1" a="1"/>
  <c r="N7" i="1"/>
  <c r="K7" i="1" a="1"/>
  <c r="K7" i="1" s="1"/>
  <c r="P5" i="1" a="1"/>
  <c r="P5" i="1" s="1"/>
  <c r="L7" i="1" a="1"/>
  <c r="L7" i="1" s="1"/>
  <c r="H6" i="1" a="1"/>
  <c r="H6" i="1" s="1"/>
  <c r="P6" i="1" a="1"/>
  <c r="P6" i="1"/>
  <c r="F11" i="1" a="1"/>
  <c r="F11" i="1"/>
  <c r="O10" i="1" a="1"/>
  <c r="O10" i="1" s="1"/>
  <c r="N6" i="1" a="1"/>
  <c r="N6" i="1"/>
  <c r="H10" i="1" a="1"/>
  <c r="H10" i="1"/>
  <c r="P7" i="1" a="1"/>
  <c r="P7" i="1"/>
  <c r="I7" i="1" a="1"/>
  <c r="I7" i="1"/>
  <c r="H7" i="1" a="1"/>
  <c r="H7" i="1"/>
  <c r="J6" i="1" a="1"/>
  <c r="J6" i="1"/>
  <c r="L6" i="1" a="1"/>
  <c r="L6" i="1"/>
  <c r="N5" i="1" a="1"/>
  <c r="N5" i="1"/>
  <c r="G6" i="1" a="1"/>
  <c r="G6" i="1"/>
  <c r="K10" i="1" a="1"/>
  <c r="K10" i="1"/>
  <c r="I10" i="1" a="1"/>
  <c r="I10" i="1" s="1"/>
  <c r="Q9" i="1" a="1"/>
  <c r="Q9" i="1" s="1"/>
  <c r="J5" i="1" a="1"/>
  <c r="J5" i="1" s="1"/>
  <c r="M10" i="1" a="1"/>
  <c r="M10" i="1"/>
  <c r="J10" i="1" a="1"/>
  <c r="J10" i="1"/>
  <c r="G10" i="1" a="1"/>
  <c r="G10" i="1"/>
  <c r="L5" i="1" a="1"/>
  <c r="L5" i="1"/>
  <c r="K9" i="1" a="1"/>
  <c r="K9" i="1"/>
  <c r="H5" i="1" a="1"/>
  <c r="H5" i="1"/>
  <c r="F10" i="1" a="1"/>
  <c r="F10" i="1"/>
  <c r="K6" i="1" a="1"/>
  <c r="K6" i="1"/>
  <c r="H9" i="1" a="1"/>
  <c r="H9" i="1"/>
  <c r="L9" i="1" a="1"/>
  <c r="L9" i="1" s="1"/>
  <c r="J7" i="1" a="1"/>
  <c r="J7" i="1" s="1"/>
  <c r="J9" i="1" a="1"/>
  <c r="J9" i="1" s="1"/>
  <c r="F7" i="1" a="1"/>
  <c r="F7" i="1"/>
  <c r="O6" i="1" a="1"/>
  <c r="O6" i="1"/>
  <c r="Q10" i="1" a="1"/>
  <c r="Q10" i="1"/>
  <c r="Q7" i="1" a="1"/>
  <c r="Q7" i="1"/>
  <c r="I9" i="1" a="1"/>
  <c r="I9" i="1" s="1"/>
  <c r="M4" i="1" a="1"/>
  <c r="M4" i="1"/>
  <c r="L4" i="1" a="1"/>
  <c r="L4" i="1"/>
  <c r="J4" i="1" a="1"/>
  <c r="J4" i="1"/>
  <c r="I4" i="1" a="1"/>
  <c r="I4" i="1"/>
  <c r="H4" i="1" a="1"/>
  <c r="H4" i="1"/>
  <c r="G4" i="1" a="1"/>
  <c r="G4" i="1"/>
  <c r="F4" i="1" a="1"/>
  <c r="F4" i="1"/>
  <c r="Q4" i="1" a="1"/>
  <c r="Q4" i="1"/>
  <c r="P4" i="1" a="1"/>
  <c r="P4" i="1" s="1"/>
  <c r="K4" i="1" a="1"/>
  <c r="K4" i="1" s="1"/>
  <c r="O4" i="1" a="1"/>
  <c r="O4" i="1"/>
  <c r="N4" i="1" a="1"/>
  <c r="N4" i="1"/>
  <c r="N56" i="1" a="1"/>
  <c r="N56" i="1"/>
  <c r="P56" i="1" a="1"/>
  <c r="P56" i="1"/>
  <c r="K56" i="1" a="1"/>
  <c r="K56" i="1" s="1"/>
  <c r="M56" i="1" a="1"/>
  <c r="M56" i="1" s="1"/>
  <c r="L56" i="1" a="1"/>
  <c r="L56" i="1"/>
  <c r="Q56" i="1" a="1"/>
  <c r="Q56" i="1"/>
  <c r="O56" i="1" a="1"/>
  <c r="O56" i="1"/>
  <c r="F56" i="1" a="1"/>
  <c r="F56" i="1"/>
  <c r="J56" i="1" a="1"/>
  <c r="J56" i="1"/>
  <c r="G56" i="1" a="1"/>
  <c r="G56" i="1" s="1"/>
  <c r="Q50" i="1" a="1"/>
  <c r="Q50" i="1" s="1"/>
  <c r="I56" i="1" a="1"/>
  <c r="I56" i="1"/>
  <c r="H56" i="1" a="1"/>
  <c r="H56" i="1"/>
  <c r="M44" i="1" a="1"/>
  <c r="M44" i="1" s="1"/>
  <c r="J44" i="1" a="1"/>
  <c r="J44" i="1" s="1"/>
  <c r="O44" i="1" a="1"/>
  <c r="O44" i="1"/>
  <c r="P50" i="1" a="1"/>
  <c r="P50" i="1"/>
  <c r="I45" i="1" a="1"/>
  <c r="I45" i="1" s="1"/>
  <c r="M45" i="1" a="1"/>
  <c r="M45" i="1" s="1"/>
  <c r="K45" i="1" a="1"/>
  <c r="K45" i="1"/>
  <c r="O50" i="1" a="1"/>
  <c r="O50" i="1"/>
  <c r="G50" i="1" a="1"/>
  <c r="G50" i="1"/>
  <c r="L45" i="1" a="1"/>
  <c r="L45" i="1"/>
  <c r="H50" i="1" a="1"/>
  <c r="H50" i="1"/>
  <c r="F45" i="1" a="1"/>
  <c r="F45" i="1" s="1"/>
  <c r="H45" i="1" a="1"/>
  <c r="H45" i="1" s="1"/>
  <c r="F50" i="1" a="1"/>
  <c r="F50" i="1" s="1"/>
  <c r="N50" i="1" a="1"/>
  <c r="N50" i="1"/>
  <c r="M50" i="1" a="1"/>
  <c r="M50" i="1"/>
  <c r="L50" i="1" a="1"/>
  <c r="L50" i="1" s="1"/>
  <c r="L44" i="1" a="1"/>
  <c r="L44" i="1" s="1"/>
  <c r="K44" i="1" a="1"/>
  <c r="K44" i="1" s="1"/>
  <c r="K50" i="1" a="1"/>
  <c r="K50" i="1"/>
  <c r="J50" i="1" a="1"/>
  <c r="J50" i="1"/>
  <c r="H44" i="1" a="1"/>
  <c r="H44" i="1"/>
  <c r="G45" i="1" a="1"/>
  <c r="G45" i="1"/>
  <c r="P45" i="1" a="1"/>
  <c r="P45" i="1"/>
  <c r="O45" i="1" a="1"/>
  <c r="O45" i="1"/>
  <c r="Q45" i="1" a="1"/>
  <c r="Q45" i="1" s="1"/>
  <c r="N45" i="1" a="1"/>
  <c r="N45" i="1"/>
  <c r="J45" i="1" a="1"/>
  <c r="J45" i="1"/>
  <c r="Q44" i="1" a="1"/>
  <c r="Q44" i="1"/>
  <c r="P44" i="1" a="1"/>
  <c r="P44" i="1" s="1"/>
  <c r="I44" i="1" a="1"/>
  <c r="I44" i="1"/>
  <c r="N44" i="1" a="1"/>
  <c r="N44" i="1" s="1"/>
  <c r="G44" i="1" a="1"/>
  <c r="G44" i="1"/>
  <c r="I50" i="1" a="1"/>
  <c r="I50" i="1"/>
  <c r="F44" i="1" a="1"/>
  <c r="F44" i="1" s="1"/>
  <c r="G43" i="1" a="1"/>
  <c r="G43" i="1" s="1"/>
  <c r="Q43" i="1" a="1"/>
  <c r="Q43" i="1"/>
  <c r="P43" i="1" a="1"/>
  <c r="P43" i="1"/>
  <c r="O43" i="1" a="1"/>
  <c r="O43" i="1"/>
  <c r="N43" i="1" a="1"/>
  <c r="N43" i="1" s="1"/>
  <c r="F43" i="1" a="1"/>
  <c r="F43" i="1" s="1"/>
  <c r="M43" i="1" a="1"/>
  <c r="M43" i="1" s="1"/>
  <c r="L43" i="1" a="1"/>
  <c r="L43" i="1" s="1"/>
  <c r="K43" i="1" a="1"/>
  <c r="K43" i="1"/>
  <c r="J43" i="1" a="1"/>
  <c r="J43" i="1" s="1"/>
  <c r="I43" i="1" a="1"/>
  <c r="I43" i="1"/>
  <c r="H43" i="1" a="1"/>
  <c r="H43" i="1"/>
  <c r="G28" i="1" a="1"/>
  <c r="G28" i="1"/>
  <c r="I28" i="1" a="1"/>
  <c r="I28" i="1"/>
  <c r="M28" i="1" a="1"/>
  <c r="M28" i="1"/>
  <c r="Q28" i="1" a="1"/>
  <c r="Q28" i="1" s="1"/>
  <c r="P28" i="1" a="1"/>
  <c r="P28" i="1" s="1"/>
  <c r="F28" i="1" a="1"/>
  <c r="F28" i="1"/>
  <c r="J28" i="1" a="1"/>
  <c r="J28" i="1" s="1"/>
  <c r="H28" i="1" a="1"/>
  <c r="H28" i="1"/>
  <c r="Q26" i="1" a="1"/>
  <c r="Q26" i="1"/>
  <c r="G27" i="1" a="1"/>
  <c r="G27" i="1"/>
  <c r="K28" i="1" a="1"/>
  <c r="K28" i="1"/>
  <c r="M27" i="1" a="1"/>
  <c r="M27" i="1"/>
  <c r="P27" i="1" a="1"/>
  <c r="P27" i="1"/>
  <c r="Q27" i="1" a="1"/>
  <c r="Q27" i="1" s="1"/>
  <c r="H27" i="1" a="1"/>
  <c r="H27" i="1" s="1"/>
  <c r="J27" i="1" a="1"/>
  <c r="J27" i="1" s="1"/>
  <c r="P26" i="1" a="1"/>
  <c r="P26" i="1" s="1"/>
  <c r="K27" i="1" a="1"/>
  <c r="K27" i="1"/>
  <c r="F27" i="1" a="1"/>
  <c r="F27" i="1"/>
  <c r="O28" i="1" a="1"/>
  <c r="O28" i="1"/>
  <c r="O26" i="1" a="1"/>
  <c r="O26" i="1" s="1"/>
  <c r="N28" i="1" a="1"/>
  <c r="N28" i="1"/>
  <c r="I27" i="1" a="1"/>
  <c r="I27" i="1" s="1"/>
  <c r="N27" i="1" a="1"/>
  <c r="N27" i="1" s="1"/>
  <c r="L27" i="1" a="1"/>
  <c r="L27" i="1" s="1"/>
  <c r="L28" i="1" a="1"/>
  <c r="L28" i="1"/>
  <c r="O27" i="1" a="1"/>
  <c r="O27" i="1" s="1"/>
  <c r="N26" i="1" a="1"/>
  <c r="N26" i="1"/>
  <c r="M26" i="1" a="1"/>
  <c r="M26" i="1"/>
  <c r="L26" i="1" a="1"/>
  <c r="L26" i="1" s="1"/>
  <c r="P25" i="1" a="1"/>
  <c r="P25" i="1"/>
  <c r="L24" i="1" a="1"/>
  <c r="L24" i="1" s="1"/>
  <c r="O24" i="1" a="1"/>
  <c r="O24" i="1" s="1"/>
  <c r="K26" i="1" a="1"/>
  <c r="K26" i="1"/>
  <c r="J26" i="1" a="1"/>
  <c r="J26" i="1" s="1"/>
  <c r="F25" i="1" a="1"/>
  <c r="F25" i="1" s="1"/>
  <c r="K25" i="1" a="1"/>
  <c r="K25" i="1"/>
  <c r="Q25" i="1" a="1"/>
  <c r="Q25" i="1"/>
  <c r="O25" i="1" a="1"/>
  <c r="O25" i="1"/>
  <c r="I24" i="1" a="1"/>
  <c r="I24" i="1"/>
  <c r="J24" i="1" a="1"/>
  <c r="J24" i="1"/>
  <c r="N25" i="1" a="1"/>
  <c r="N25" i="1"/>
  <c r="H24" i="1" a="1"/>
  <c r="H24" i="1"/>
  <c r="G26" i="1" a="1"/>
  <c r="G26" i="1"/>
  <c r="I26" i="1" a="1"/>
  <c r="I26" i="1"/>
  <c r="H26" i="1" a="1"/>
  <c r="H26" i="1" s="1"/>
  <c r="H25" i="1" a="1"/>
  <c r="H25" i="1"/>
  <c r="M25" i="1" a="1"/>
  <c r="M25" i="1"/>
  <c r="L25" i="1" a="1"/>
  <c r="L25" i="1" s="1"/>
  <c r="J25" i="1" a="1"/>
  <c r="J25" i="1"/>
  <c r="I25" i="1" a="1"/>
  <c r="I25" i="1"/>
  <c r="M24" i="1" a="1"/>
  <c r="M24" i="1" s="1"/>
  <c r="K24" i="1" a="1"/>
  <c r="K24" i="1" s="1"/>
  <c r="G25" i="1" a="1"/>
  <c r="G25" i="1" s="1"/>
  <c r="G24" i="1" a="1"/>
  <c r="G24" i="1"/>
  <c r="P24" i="1" a="1"/>
  <c r="P24" i="1"/>
  <c r="Q24" i="1" a="1"/>
  <c r="Q24" i="1"/>
  <c r="N24" i="1" a="1"/>
  <c r="N24" i="1"/>
  <c r="F26" i="1" a="1"/>
  <c r="F26" i="1" s="1"/>
  <c r="F21" i="1" a="1"/>
  <c r="F21" i="1" s="1"/>
  <c r="I21" i="1" a="1"/>
  <c r="I21" i="1" s="1"/>
  <c r="Q17" i="1" a="1"/>
  <c r="Q17" i="1"/>
  <c r="G17" i="1" a="1"/>
  <c r="G17" i="1" s="1"/>
  <c r="Q21" i="1" a="1"/>
  <c r="Q21" i="1" s="1"/>
  <c r="I17" i="1" a="1"/>
  <c r="I17" i="1"/>
  <c r="K21" i="1" a="1"/>
  <c r="K21" i="1" s="1"/>
  <c r="H21" i="1" a="1"/>
  <c r="H21" i="1"/>
  <c r="J16" i="1" a="1"/>
  <c r="J16" i="1"/>
  <c r="O21" i="1" a="1"/>
  <c r="O21" i="1"/>
  <c r="F16" i="1" a="1"/>
  <c r="F16" i="1"/>
  <c r="N21" i="1" a="1"/>
  <c r="N21" i="1"/>
  <c r="H17" i="1" a="1"/>
  <c r="H17" i="1"/>
  <c r="F17" i="1" a="1"/>
  <c r="F17" i="1"/>
  <c r="J17" i="1" a="1"/>
  <c r="J17" i="1"/>
  <c r="I16" i="1" a="1"/>
  <c r="I16" i="1"/>
  <c r="M21" i="1" a="1"/>
  <c r="M21" i="1"/>
  <c r="G16" i="1" a="1"/>
  <c r="G16" i="1" s="1"/>
  <c r="O16" i="1" a="1"/>
  <c r="O16" i="1"/>
  <c r="P21" i="1" a="1"/>
  <c r="P21" i="1"/>
  <c r="L16" i="1" a="1"/>
  <c r="L16" i="1"/>
  <c r="P16" i="1" a="1"/>
  <c r="P16" i="1" s="1"/>
  <c r="L21" i="1" a="1"/>
  <c r="L21" i="1" s="1"/>
  <c r="J21" i="1" a="1"/>
  <c r="J21" i="1" s="1"/>
  <c r="N16" i="1" a="1"/>
  <c r="N16" i="1"/>
  <c r="K16" i="1" a="1"/>
  <c r="K16" i="1"/>
  <c r="G21" i="1" a="1"/>
  <c r="G21" i="1"/>
  <c r="N17" i="1" a="1"/>
  <c r="N17" i="1"/>
  <c r="P17" i="1" a="1"/>
  <c r="P17" i="1"/>
  <c r="O17" i="1" a="1"/>
  <c r="O17" i="1"/>
  <c r="Q16" i="1" a="1"/>
  <c r="Q16" i="1"/>
  <c r="M16" i="1" a="1"/>
  <c r="M16" i="1" s="1"/>
  <c r="M17" i="1" a="1"/>
  <c r="M17" i="1"/>
  <c r="K17" i="1" a="1"/>
  <c r="K17" i="1" s="1"/>
  <c r="H16" i="1" a="1"/>
  <c r="H16" i="1"/>
  <c r="F24" i="1" a="1"/>
  <c r="F24" i="1"/>
  <c r="L17" i="1" a="1"/>
  <c r="L17" i="1"/>
  <c r="Q1688" i="1"/>
  <c r="M1688" i="1"/>
  <c r="L1283" i="1"/>
  <c r="K1283" i="1"/>
  <c r="L1282" i="1"/>
  <c r="N1203" i="1"/>
  <c r="L222" i="1"/>
  <c r="L221" i="1"/>
  <c r="G127" i="1"/>
  <c r="H127" i="1"/>
  <c r="I127" i="1"/>
  <c r="J127" i="1"/>
  <c r="Q130" i="1"/>
  <c r="M317" i="1" l="1"/>
  <c r="M472" i="1" s="1"/>
  <c r="M241" i="1"/>
  <c r="O363" i="1"/>
  <c r="O504" i="1" s="1"/>
  <c r="N726" i="1" a="1"/>
  <c r="N726" i="1" s="1"/>
  <c r="N728" i="1" s="1" a="1"/>
  <c r="N728" i="1" s="1"/>
  <c r="N742" i="1" a="1"/>
  <c r="N742" i="1" s="1"/>
  <c r="N744" i="1" s="1" a="1"/>
  <c r="N744" i="1" s="1"/>
  <c r="O899" i="1"/>
  <c r="O925" i="1"/>
  <c r="O924" i="1" s="1"/>
  <c r="O903" i="1"/>
  <c r="P742" i="1" a="1"/>
  <c r="P742" i="1" s="1"/>
  <c r="P744" i="1" s="1" a="1"/>
  <c r="P744" i="1" s="1"/>
  <c r="P726" i="1" a="1"/>
  <c r="P726" i="1" s="1"/>
  <c r="P728" i="1" s="1" a="1"/>
  <c r="P728" i="1" s="1"/>
  <c r="N316" i="1"/>
  <c r="N471" i="1" s="1"/>
  <c r="H742" i="1" a="1"/>
  <c r="H742" i="1" s="1"/>
  <c r="H744" i="1" s="1" a="1"/>
  <c r="H744" i="1" s="1"/>
  <c r="H726" i="1" a="1"/>
  <c r="H726" i="1" s="1"/>
  <c r="H728" i="1" s="1" a="1"/>
  <c r="H728" i="1" s="1"/>
  <c r="G783" i="1"/>
  <c r="G786" i="1"/>
  <c r="G787" i="1" s="1"/>
  <c r="L317" i="1"/>
  <c r="L472" i="1" s="1"/>
  <c r="L241" i="1"/>
  <c r="G742" i="1" a="1"/>
  <c r="G742" i="1" s="1"/>
  <c r="G744" i="1" s="1" a="1"/>
  <c r="G744" i="1" s="1"/>
  <c r="G726" i="1" a="1"/>
  <c r="G726" i="1" s="1"/>
  <c r="G728" i="1" s="1" a="1"/>
  <c r="G728" i="1" s="1"/>
  <c r="I114" i="1"/>
  <c r="M786" i="1"/>
  <c r="M787" i="1" s="1"/>
  <c r="M783" i="1"/>
  <c r="M114" i="1"/>
  <c r="I786" i="1"/>
  <c r="I787" i="1" s="1"/>
  <c r="I783" i="1"/>
  <c r="P198" i="1"/>
  <c r="P362" i="1"/>
  <c r="P429" i="1" s="1"/>
  <c r="N317" i="1"/>
  <c r="N472" i="1" s="1"/>
  <c r="N241" i="1"/>
  <c r="J363" i="1"/>
  <c r="J504" i="1" s="1"/>
  <c r="J925" i="1"/>
  <c r="J924" i="1" s="1"/>
  <c r="J902" i="1"/>
  <c r="J899" i="1"/>
  <c r="J903" i="1"/>
  <c r="M726" i="1" a="1"/>
  <c r="M726" i="1" s="1"/>
  <c r="M728" i="1" s="1" a="1"/>
  <c r="M728" i="1" s="1"/>
  <c r="M742" i="1" a="1"/>
  <c r="M742" i="1" s="1"/>
  <c r="M744" i="1" s="1" a="1"/>
  <c r="M744" i="1" s="1"/>
  <c r="O726" i="1" a="1"/>
  <c r="O726" i="1" s="1"/>
  <c r="O728" i="1" s="1" a="1"/>
  <c r="O728" i="1" s="1"/>
  <c r="O742" i="1" a="1"/>
  <c r="O742" i="1" s="1"/>
  <c r="O744" i="1" s="1" a="1"/>
  <c r="O744" i="1" s="1"/>
  <c r="H363" i="1"/>
  <c r="H504" i="1" s="1"/>
  <c r="L316" i="1"/>
  <c r="L471" i="1" s="1"/>
  <c r="H114" i="1"/>
  <c r="L364" i="1"/>
  <c r="L274" i="1"/>
  <c r="L363" i="1" s="1"/>
  <c r="L504" i="1" s="1"/>
  <c r="M316" i="1"/>
  <c r="M471" i="1" s="1"/>
  <c r="M925" i="1"/>
  <c r="M924" i="1" s="1"/>
  <c r="M903" i="1"/>
  <c r="H120" i="1"/>
  <c r="H241" i="1"/>
  <c r="H316" i="1" s="1"/>
  <c r="H471" i="1" s="1"/>
  <c r="L122" i="1"/>
  <c r="L318" i="1"/>
  <c r="L473" i="1" s="1"/>
  <c r="P124" i="1"/>
  <c r="P320" i="1"/>
  <c r="P475" i="1" s="1"/>
  <c r="H323" i="1"/>
  <c r="H478" i="1" s="1"/>
  <c r="L314" i="1"/>
  <c r="L419" i="1" s="1"/>
  <c r="P321" i="1"/>
  <c r="P476" i="1" s="1"/>
  <c r="J138" i="1" a="1"/>
  <c r="J138" i="1" s="1"/>
  <c r="K140" i="1" a="1"/>
  <c r="K140" i="1" s="1"/>
  <c r="O317" i="1"/>
  <c r="O472" i="1" s="1"/>
  <c r="O241" i="1"/>
  <c r="O794" i="1" s="1"/>
  <c r="Q320" i="1"/>
  <c r="Q475" i="1" s="1"/>
  <c r="I323" i="1"/>
  <c r="I478" i="1" s="1"/>
  <c r="I363" i="1"/>
  <c r="I504" i="1" s="1"/>
  <c r="J123" i="1"/>
  <c r="J114" i="1" s="1"/>
  <c r="M318" i="1"/>
  <c r="M473" i="1" s="1"/>
  <c r="K783" i="1"/>
  <c r="K786" i="1"/>
  <c r="K787" i="1" s="1"/>
  <c r="K925" i="1"/>
  <c r="K924" i="1" s="1"/>
  <c r="K903" i="1"/>
  <c r="F321" i="1"/>
  <c r="F476" i="1" s="1"/>
  <c r="N325" i="1"/>
  <c r="N480" i="1" s="1"/>
  <c r="N129" i="1"/>
  <c r="F361" i="1"/>
  <c r="F428" i="1" s="1"/>
  <c r="I120" i="1"/>
  <c r="N314" i="1"/>
  <c r="N419" i="1" s="1"/>
  <c r="N318" i="1"/>
  <c r="N473" i="1" s="1"/>
  <c r="M325" i="1"/>
  <c r="M480" i="1" s="1"/>
  <c r="I361" i="1"/>
  <c r="I428" i="1" s="1"/>
  <c r="L925" i="1"/>
  <c r="L924" i="1" s="1"/>
  <c r="L902" i="1"/>
  <c r="L899" i="1"/>
  <c r="L903" i="1"/>
  <c r="G321" i="1"/>
  <c r="G476" i="1" s="1"/>
  <c r="O325" i="1"/>
  <c r="O480" i="1" s="1"/>
  <c r="O129" i="1"/>
  <c r="G361" i="1"/>
  <c r="G428" i="1" s="1"/>
  <c r="G140" i="1" a="1"/>
  <c r="G140" i="1" s="1"/>
  <c r="O398" i="1"/>
  <c r="O439" i="1" s="1"/>
  <c r="O314" i="1"/>
  <c r="O419" i="1" s="1"/>
  <c r="O318" i="1"/>
  <c r="O473" i="1" s="1"/>
  <c r="P325" i="1"/>
  <c r="P480" i="1" s="1"/>
  <c r="J361" i="1"/>
  <c r="J428" i="1" s="1"/>
  <c r="F128" i="1"/>
  <c r="P314" i="1"/>
  <c r="P419" i="1" s="1"/>
  <c r="P318" i="1"/>
  <c r="P473" i="1" s="1"/>
  <c r="Q325" i="1"/>
  <c r="Q480" i="1" s="1"/>
  <c r="M127" i="1"/>
  <c r="M323" i="1"/>
  <c r="M478" i="1" s="1"/>
  <c r="M363" i="1"/>
  <c r="M504" i="1" s="1"/>
  <c r="Q318" i="1"/>
  <c r="Q473" i="1" s="1"/>
  <c r="L361" i="1"/>
  <c r="L428" i="1" s="1"/>
  <c r="O323" i="1"/>
  <c r="O478" i="1" s="1"/>
  <c r="O127" i="1"/>
  <c r="N120" i="1"/>
  <c r="G319" i="1"/>
  <c r="G474" i="1" s="1"/>
  <c r="Q903" i="1"/>
  <c r="Q925" i="1"/>
  <c r="Q924" i="1" s="1"/>
  <c r="P323" i="1"/>
  <c r="P478" i="1" s="1"/>
  <c r="P127" i="1"/>
  <c r="P111" i="1" s="1"/>
  <c r="Q323" i="1"/>
  <c r="Q478" i="1" s="1"/>
  <c r="Q500" i="1" s="1"/>
  <c r="Q127" i="1"/>
  <c r="Q111" i="1" s="1"/>
  <c r="M383" i="1"/>
  <c r="M514" i="1" s="1"/>
  <c r="I399" i="1"/>
  <c r="I519" i="1" s="1"/>
  <c r="L362" i="1"/>
  <c r="L429" i="1" s="1"/>
  <c r="F322" i="1"/>
  <c r="F477" i="1" s="1"/>
  <c r="F126" i="1"/>
  <c r="J198" i="1"/>
  <c r="G118" i="1"/>
  <c r="G125" i="1"/>
  <c r="K323" i="1"/>
  <c r="K478" i="1" s="1"/>
  <c r="H315" i="1"/>
  <c r="H420" i="1" s="1"/>
  <c r="I125" i="1"/>
  <c r="H324" i="1"/>
  <c r="H479" i="1" s="1"/>
  <c r="J783" i="1"/>
  <c r="J786" i="1"/>
  <c r="J787" i="1" s="1"/>
  <c r="I317" i="1"/>
  <c r="I472" i="1" s="1"/>
  <c r="I121" i="1"/>
  <c r="Q361" i="1"/>
  <c r="Q428" i="1" s="1"/>
  <c r="Q140" i="1" a="1"/>
  <c r="Q140" i="1" s="1"/>
  <c r="Q147" i="1" s="1"/>
  <c r="Q362" i="1"/>
  <c r="Q429" i="1" s="1"/>
  <c r="I726" i="1" a="1"/>
  <c r="I726" i="1" s="1"/>
  <c r="I728" i="1" s="1" a="1"/>
  <c r="I728" i="1" s="1"/>
  <c r="I315" i="1"/>
  <c r="I420" i="1" s="1"/>
  <c r="I362" i="1"/>
  <c r="I429" i="1" s="1"/>
  <c r="J125" i="1"/>
  <c r="O316" i="1"/>
  <c r="O471" i="1" s="1"/>
  <c r="G902" i="1"/>
  <c r="G925" i="1"/>
  <c r="G924" i="1" s="1"/>
  <c r="G899" i="1"/>
  <c r="G903" i="1"/>
  <c r="O130" i="1"/>
  <c r="P361" i="1"/>
  <c r="P428" i="1" s="1"/>
  <c r="Q124" i="1"/>
  <c r="Q114" i="1" s="1"/>
  <c r="L319" i="1"/>
  <c r="L474" i="1" s="1"/>
  <c r="M319" i="1"/>
  <c r="M474" i="1" s="1"/>
  <c r="M123" i="1"/>
  <c r="M107" i="1" s="1"/>
  <c r="J315" i="1"/>
  <c r="J420" i="1" s="1"/>
  <c r="K125" i="1"/>
  <c r="H118" i="1"/>
  <c r="Q742" i="1" a="1"/>
  <c r="Q742" i="1" s="1"/>
  <c r="Q744" i="1" s="1" a="1"/>
  <c r="Q744" i="1" s="1"/>
  <c r="K301" i="1"/>
  <c r="K465" i="1" s="1"/>
  <c r="K315" i="1"/>
  <c r="K420" i="1" s="1"/>
  <c r="O364" i="1"/>
  <c r="J122" i="1"/>
  <c r="L125" i="1"/>
  <c r="K129" i="1"/>
  <c r="Q316" i="1"/>
  <c r="Q471" i="1" s="1"/>
  <c r="N925" i="1"/>
  <c r="N924" i="1" s="1"/>
  <c r="N902" i="1"/>
  <c r="N899" i="1"/>
  <c r="N903" i="1"/>
  <c r="K319" i="1"/>
  <c r="K474" i="1" s="1"/>
  <c r="J742" i="1" a="1"/>
  <c r="J742" i="1" s="1"/>
  <c r="J744" i="1" s="1" a="1"/>
  <c r="J744" i="1" s="1"/>
  <c r="F317" i="1"/>
  <c r="F472" i="1" s="1"/>
  <c r="L383" i="1"/>
  <c r="L514" i="1" s="1"/>
  <c r="H319" i="1"/>
  <c r="H474" i="1" s="1"/>
  <c r="P130" i="1"/>
  <c r="I140" i="1" a="1"/>
  <c r="I140" i="1" s="1"/>
  <c r="G362" i="1"/>
  <c r="G429" i="1" s="1"/>
  <c r="H125" i="1"/>
  <c r="G324" i="1"/>
  <c r="G479" i="1" s="1"/>
  <c r="N127" i="1"/>
  <c r="M301" i="1"/>
  <c r="M465" i="1" s="1"/>
  <c r="M315" i="1"/>
  <c r="M420" i="1" s="1"/>
  <c r="Q364" i="1"/>
  <c r="I382" i="1"/>
  <c r="I513" i="1" s="1"/>
  <c r="N125" i="1"/>
  <c r="G317" i="1"/>
  <c r="G472" i="1" s="1"/>
  <c r="P241" i="1"/>
  <c r="P316" i="1" s="1"/>
  <c r="P471" i="1" s="1"/>
  <c r="P317" i="1"/>
  <c r="P472" i="1" s="1"/>
  <c r="F319" i="1"/>
  <c r="F474" i="1" s="1"/>
  <c r="F726" i="1" a="1"/>
  <c r="F726" i="1" s="1"/>
  <c r="F728" i="1" s="1" a="1"/>
  <c r="F728" i="1" s="1"/>
  <c r="K726" i="1" a="1"/>
  <c r="K726" i="1" s="1"/>
  <c r="K728" i="1" s="1" a="1"/>
  <c r="K728" i="1" s="1"/>
  <c r="N315" i="1"/>
  <c r="N420" i="1" s="1"/>
  <c r="N362" i="1"/>
  <c r="N429" i="1" s="1"/>
  <c r="J382" i="1"/>
  <c r="J513" i="1" s="1"/>
  <c r="N384" i="1"/>
  <c r="N515" i="1" s="1"/>
  <c r="F398" i="1"/>
  <c r="F439" i="1" s="1"/>
  <c r="O125" i="1"/>
  <c r="O114" i="1" s="1"/>
  <c r="H317" i="1"/>
  <c r="H472" i="1" s="1"/>
  <c r="G130" i="1"/>
  <c r="L127" i="1"/>
  <c r="L114" i="1" s="1"/>
  <c r="O315" i="1"/>
  <c r="O420" i="1" s="1"/>
  <c r="J317" i="1"/>
  <c r="J472" i="1" s="1"/>
  <c r="P301" i="1"/>
  <c r="P465" i="1" s="1"/>
  <c r="P315" i="1"/>
  <c r="P420" i="1" s="1"/>
  <c r="N274" i="1"/>
  <c r="N363" i="1" s="1"/>
  <c r="N504" i="1" s="1"/>
  <c r="N510" i="1" s="1"/>
  <c r="F783" i="1"/>
  <c r="Q301" i="1"/>
  <c r="Q465" i="1" s="1"/>
  <c r="M382" i="1"/>
  <c r="M513" i="1" s="1"/>
  <c r="I314" i="1"/>
  <c r="I419" i="1" s="1"/>
  <c r="H783" i="1"/>
  <c r="F241" i="1"/>
  <c r="F316" i="1" s="1"/>
  <c r="F471" i="1" s="1"/>
  <c r="N382" i="1"/>
  <c r="N513" i="1" s="1"/>
  <c r="F385" i="1"/>
  <c r="F516" i="1" s="1"/>
  <c r="P274" i="1"/>
  <c r="P363" i="1" s="1"/>
  <c r="P504" i="1" s="1"/>
  <c r="N119" i="1"/>
  <c r="N114" i="1" s="1"/>
  <c r="J314" i="1"/>
  <c r="J419" i="1" s="1"/>
  <c r="G120" i="1"/>
  <c r="G114" i="1" s="1"/>
  <c r="G241" i="1"/>
  <c r="G316" i="1" s="1"/>
  <c r="G471" i="1" s="1"/>
  <c r="K122" i="1"/>
  <c r="K114" i="1" s="1"/>
  <c r="K318" i="1"/>
  <c r="K473" i="1" s="1"/>
  <c r="O320" i="1"/>
  <c r="O475" i="1" s="1"/>
  <c r="O124" i="1"/>
  <c r="O382" i="1"/>
  <c r="O513" i="1" s="1"/>
  <c r="G385" i="1"/>
  <c r="G516" i="1" s="1"/>
  <c r="K314" i="1"/>
  <c r="K419" i="1" s="1"/>
  <c r="L783" i="1"/>
  <c r="H925" i="1"/>
  <c r="H924" i="1" s="1"/>
  <c r="H902" i="1"/>
  <c r="H903" i="1"/>
  <c r="H899" i="1"/>
  <c r="K902" i="1"/>
  <c r="K324" i="1"/>
  <c r="K479" i="1" s="1"/>
  <c r="H362" i="1"/>
  <c r="H429" i="1" s="1"/>
  <c r="M364" i="1"/>
  <c r="F382" i="1"/>
  <c r="F513" i="1" s="1"/>
  <c r="K384" i="1"/>
  <c r="K515" i="1" s="1"/>
  <c r="L315" i="1"/>
  <c r="L420" i="1" s="1"/>
  <c r="P925" i="1"/>
  <c r="P924" i="1" s="1"/>
  <c r="P903" i="1"/>
  <c r="F925" i="1"/>
  <c r="F924" i="1" s="1"/>
  <c r="F895" i="1"/>
  <c r="F903" i="1"/>
  <c r="Q317" i="1"/>
  <c r="Q472" i="1" s="1"/>
  <c r="M902" i="1"/>
  <c r="O902" i="1"/>
  <c r="P899" i="1"/>
  <c r="P902" i="1"/>
  <c r="Q902" i="1"/>
  <c r="Q899" i="1"/>
  <c r="P386" i="1"/>
  <c r="P517" i="1" s="1"/>
  <c r="P119" i="1"/>
  <c r="P114" i="1" s="1"/>
  <c r="H122" i="1"/>
  <c r="I902" i="1"/>
  <c r="I925" i="1"/>
  <c r="I924" i="1" s="1"/>
  <c r="I903" i="1"/>
  <c r="K899" i="1"/>
  <c r="M899" i="1"/>
  <c r="Q1744" i="1"/>
  <c r="Q1745" i="1"/>
  <c r="Q1746" i="1"/>
  <c r="Q1748" i="1"/>
  <c r="Q8" i="1"/>
  <c r="Q1747" i="1" s="1"/>
  <c r="Q1750" i="1"/>
  <c r="Q1753" i="1"/>
  <c r="Q1754" i="1"/>
  <c r="Q1755" i="1"/>
  <c r="Q1756" i="1"/>
  <c r="Q1757" i="1"/>
  <c r="Q1716" i="1"/>
  <c r="Q1719" i="1"/>
  <c r="Q1733" i="1"/>
  <c r="Q1739" i="1"/>
  <c r="Q1741" i="1"/>
  <c r="Q64" i="1"/>
  <c r="Q525" i="1"/>
  <c r="Q75" i="1"/>
  <c r="Q78" i="1"/>
  <c r="Q100" i="1"/>
  <c r="Q328" i="1" s="1"/>
  <c r="Q344" i="1" s="1"/>
  <c r="Q103" i="1"/>
  <c r="Q109" i="1"/>
  <c r="Q269" i="1"/>
  <c r="Q258" i="1" s="1"/>
  <c r="Q105" i="1"/>
  <c r="Q159" i="1"/>
  <c r="Q168" i="1"/>
  <c r="Q572" i="1"/>
  <c r="Q573" i="1"/>
  <c r="Q188" i="1"/>
  <c r="Q206" i="1"/>
  <c r="Q208" i="1"/>
  <c r="Q215" i="1"/>
  <c r="Q222" i="1"/>
  <c r="Q221" i="1" s="1"/>
  <c r="Q223" i="1"/>
  <c r="Q225" i="1"/>
  <c r="Q227" i="1"/>
  <c r="Q229" i="1"/>
  <c r="Q581" i="1"/>
  <c r="Q793" i="1"/>
  <c r="Q908" i="1"/>
  <c r="Q909" i="1"/>
  <c r="Q941" i="1" s="1"/>
  <c r="Q964" i="1" s="1"/>
  <c r="Q276" i="1"/>
  <c r="Q522" i="1"/>
  <c r="Q530" i="1"/>
  <c r="Q387" i="1"/>
  <c r="Q389" i="1"/>
  <c r="Q570" i="1"/>
  <c r="Q445" i="1"/>
  <c r="Q447" i="1"/>
  <c r="Q449" i="1"/>
  <c r="Q453" i="1"/>
  <c r="Q455" i="1"/>
  <c r="Q457" i="1"/>
  <c r="Q459" i="1"/>
  <c r="Q461" i="1"/>
  <c r="Q511" i="1"/>
  <c r="Q506" i="1"/>
  <c r="Q524" i="1"/>
  <c r="Q526" i="1"/>
  <c r="Q563" i="1"/>
  <c r="Q567" i="1"/>
  <c r="Q568" i="1"/>
  <c r="Q569" i="1"/>
  <c r="Q580" i="1"/>
  <c r="Q583" i="1"/>
  <c r="Q614" i="1"/>
  <c r="Q626" i="1"/>
  <c r="Q659" i="1"/>
  <c r="Q684" i="1"/>
  <c r="Q686" i="1"/>
  <c r="Q708" i="1"/>
  <c r="Q712" i="1"/>
  <c r="Q723" i="1"/>
  <c r="Q739" i="1"/>
  <c r="Q773" i="1"/>
  <c r="Q775" i="1"/>
  <c r="Q770" i="1" s="1"/>
  <c r="Q862" i="1" s="1"/>
  <c r="Q777" i="1"/>
  <c r="Q790" i="1"/>
  <c r="Q866" i="1" s="1"/>
  <c r="Q801" i="1"/>
  <c r="Q876" i="1"/>
  <c r="Q877" i="1"/>
  <c r="Q805" i="1"/>
  <c r="Q808" i="1"/>
  <c r="Q812" i="1"/>
  <c r="Q880" i="1" s="1"/>
  <c r="Q814" i="1"/>
  <c r="Q819" i="1"/>
  <c r="Q823" i="1"/>
  <c r="Q826" i="1"/>
  <c r="Q830" i="1"/>
  <c r="Q844" i="1"/>
  <c r="Q846" i="1"/>
  <c r="Q848" i="1"/>
  <c r="Q850" i="1"/>
  <c r="Q852" i="1"/>
  <c r="Q854" i="1"/>
  <c r="Q889" i="1"/>
  <c r="Q892" i="1"/>
  <c r="Q912" i="1"/>
  <c r="Q910" i="1"/>
  <c r="Q942" i="1" s="1"/>
  <c r="Q965" i="1" s="1"/>
  <c r="Q911" i="1"/>
  <c r="Q913" i="1"/>
  <c r="Q968" i="1" s="1"/>
  <c r="Q970" i="1"/>
  <c r="Q971" i="1"/>
  <c r="Q957" i="1"/>
  <c r="Q931" i="1"/>
  <c r="Q961" i="1"/>
  <c r="Q945" i="1"/>
  <c r="Q947" i="1"/>
  <c r="Q949" i="1"/>
  <c r="Q951" i="1"/>
  <c r="Q990" i="1"/>
  <c r="Q994" i="1"/>
  <c r="Q1016" i="1"/>
  <c r="Q1017" i="1" s="1"/>
  <c r="Q1031" i="1"/>
  <c r="Q1040" i="1"/>
  <c r="Q1044" i="1"/>
  <c r="Q1046" i="1"/>
  <c r="Q1086" i="1"/>
  <c r="Q1065" i="1"/>
  <c r="Q1073" i="1"/>
  <c r="Q1075" i="1"/>
  <c r="Q1103" i="1"/>
  <c r="Q1079" i="1"/>
  <c r="Q1099" i="1"/>
  <c r="Q1101" i="1"/>
  <c r="Q1286" i="1"/>
  <c r="Q1267" i="1"/>
  <c r="Q1278" i="1"/>
  <c r="Q1288" i="1"/>
  <c r="Q1295" i="1"/>
  <c r="Q1304" i="1"/>
  <c r="Q1306" i="1"/>
  <c r="Q1308" i="1"/>
  <c r="Q1381" i="1"/>
  <c r="Q1390" i="1"/>
  <c r="Q1394" i="1"/>
  <c r="Q1472" i="1"/>
  <c r="Q1479" i="1"/>
  <c r="Q1468" i="1"/>
  <c r="Q1470" i="1"/>
  <c r="Q1471" i="1"/>
  <c r="Q1473" i="1"/>
  <c r="Q1474" i="1"/>
  <c r="Q1475" i="1"/>
  <c r="Q1484" i="1"/>
  <c r="Q1483" i="1" s="1"/>
  <c r="Q1486" i="1"/>
  <c r="Q1491" i="1"/>
  <c r="Q1490" i="1" s="1"/>
  <c r="Q1493" i="1"/>
  <c r="Q1539" i="1"/>
  <c r="Q1550" i="1"/>
  <c r="Q1567" i="1"/>
  <c r="Q1584" i="1"/>
  <c r="Q1585" i="1"/>
  <c r="Q1587" i="1"/>
  <c r="Q1590" i="1"/>
  <c r="Q1591" i="1"/>
  <c r="Q1597" i="1"/>
  <c r="Q1614" i="1"/>
  <c r="Q1632" i="1"/>
  <c r="Q1633" i="1"/>
  <c r="Q1634" i="1"/>
  <c r="Q1637" i="1"/>
  <c r="Q1638" i="1"/>
  <c r="Q1649" i="1"/>
  <c r="Q1680" i="1"/>
  <c r="Q1682" i="1"/>
  <c r="Q1683" i="1"/>
  <c r="Q1684" i="1"/>
  <c r="Q1692" i="1"/>
  <c r="Q1710" i="1"/>
  <c r="Q1707" i="1"/>
  <c r="Q1717" i="1"/>
  <c r="Q1718" i="1"/>
  <c r="Q1732" i="1"/>
  <c r="Q1758" i="1"/>
  <c r="Q1760" i="1"/>
  <c r="Q1762" i="1"/>
  <c r="Q1766" i="1"/>
  <c r="Q1786" i="1"/>
  <c r="Q1801" i="1"/>
  <c r="Q1810" i="1"/>
  <c r="Q1828" i="1"/>
  <c r="Q1833" i="1"/>
  <c r="Q1835" i="1"/>
  <c r="Q1837" i="1"/>
  <c r="Q1839" i="1"/>
  <c r="Q1841" i="1"/>
  <c r="Q1844" i="1"/>
  <c r="Q1847" i="1"/>
  <c r="Q1852" i="1"/>
  <c r="Q1854" i="1"/>
  <c r="Q1856" i="1"/>
  <c r="Q1858" i="1"/>
  <c r="Q1860" i="1"/>
  <c r="Q1873" i="1"/>
  <c r="Q1875" i="1"/>
  <c r="Q1877" i="1"/>
  <c r="Q1879" i="1"/>
  <c r="Q1881" i="1"/>
  <c r="Q1883" i="1"/>
  <c r="Q1889" i="1"/>
  <c r="Q1895" i="1"/>
  <c r="Q1897" i="1"/>
  <c r="Q1899" i="1"/>
  <c r="Q1901" i="1"/>
  <c r="Q2027" i="1"/>
  <c r="Q2030" i="1"/>
  <c r="Q2051" i="1"/>
  <c r="Q2053" i="1"/>
  <c r="Q2077" i="1"/>
  <c r="Q2084" i="1"/>
  <c r="Q2092" i="1"/>
  <c r="Q2101" i="1"/>
  <c r="Q2102" i="1"/>
  <c r="Q2106" i="1"/>
  <c r="Q2238" i="1"/>
  <c r="Q2243" i="1"/>
  <c r="Q2245" i="1"/>
  <c r="Q2247" i="1"/>
  <c r="Q2249" i="1"/>
  <c r="Q2251" i="1"/>
  <c r="Q2257" i="1"/>
  <c r="Q2262" i="1"/>
  <c r="Q2264" i="1"/>
  <c r="Q2266" i="1"/>
  <c r="Q2268" i="1"/>
  <c r="Q2270" i="1"/>
  <c r="Q2283" i="1"/>
  <c r="Q2285" i="1"/>
  <c r="Q2287" i="1"/>
  <c r="Q2289" i="1"/>
  <c r="Q2291" i="1"/>
  <c r="Q2293" i="1"/>
  <c r="Q2299" i="1"/>
  <c r="Q2305" i="1"/>
  <c r="Q2307" i="1"/>
  <c r="Q2309" i="1"/>
  <c r="Q2311" i="1"/>
  <c r="Q2318" i="1"/>
  <c r="Q2321" i="1"/>
  <c r="M1743" i="1"/>
  <c r="N1743" i="1"/>
  <c r="O1743" i="1"/>
  <c r="M1744" i="1"/>
  <c r="N1744" i="1"/>
  <c r="M1745" i="1"/>
  <c r="P1748" i="1"/>
  <c r="L1750" i="1"/>
  <c r="P1750" i="1"/>
  <c r="L1752" i="1"/>
  <c r="M12" i="1"/>
  <c r="M1751" i="1" s="1"/>
  <c r="L1756" i="1"/>
  <c r="M1756" i="1"/>
  <c r="N1756" i="1"/>
  <c r="O1756" i="1"/>
  <c r="P1756" i="1"/>
  <c r="L1757" i="1"/>
  <c r="P1757" i="1"/>
  <c r="L1716" i="1"/>
  <c r="O1716" i="1"/>
  <c r="P1716" i="1"/>
  <c r="L1717" i="1"/>
  <c r="M1717" i="1"/>
  <c r="N1717" i="1"/>
  <c r="M1719" i="1"/>
  <c r="N1719" i="1"/>
  <c r="P1722" i="1"/>
  <c r="L1721" i="1"/>
  <c r="N1721" i="1"/>
  <c r="L1732" i="1"/>
  <c r="O1739" i="1"/>
  <c r="N1741" i="1"/>
  <c r="L64" i="1"/>
  <c r="M64" i="1"/>
  <c r="M524" i="1"/>
  <c r="N524" i="1"/>
  <c r="L525" i="1"/>
  <c r="N66" i="1"/>
  <c r="M526" i="1"/>
  <c r="O75" i="1"/>
  <c r="P304" i="1"/>
  <c r="M239" i="1"/>
  <c r="M237" i="1" s="1"/>
  <c r="M236" i="1" s="1"/>
  <c r="O239" i="1"/>
  <c r="L78" i="1"/>
  <c r="M78" i="1"/>
  <c r="N78" i="1"/>
  <c r="O78" i="1"/>
  <c r="P78" i="1"/>
  <c r="M100" i="1"/>
  <c r="O530" i="1"/>
  <c r="P530" i="1"/>
  <c r="L531" i="1"/>
  <c r="M101" i="1"/>
  <c r="O103" i="1"/>
  <c r="L104" i="1"/>
  <c r="P105" i="1"/>
  <c r="M106" i="1"/>
  <c r="N109" i="1"/>
  <c r="P109" i="1"/>
  <c r="L110" i="1"/>
  <c r="L100" i="1"/>
  <c r="L328" i="1" s="1"/>
  <c r="L344" i="1" s="1"/>
  <c r="N100" i="1"/>
  <c r="N328" i="1" s="1"/>
  <c r="M104" i="1"/>
  <c r="P106" i="1"/>
  <c r="O110" i="1"/>
  <c r="N112" i="1"/>
  <c r="L145" i="1"/>
  <c r="M145" i="1"/>
  <c r="N545" i="1"/>
  <c r="N147" i="1"/>
  <c r="L148" i="1"/>
  <c r="P148" i="1"/>
  <c r="L149" i="1"/>
  <c r="N149" i="1"/>
  <c r="O149" i="1"/>
  <c r="M150" i="1"/>
  <c r="P150" i="1"/>
  <c r="O147" i="1"/>
  <c r="L150" i="1"/>
  <c r="O150" i="1"/>
  <c r="L551" i="1"/>
  <c r="M551" i="1"/>
  <c r="P551" i="1"/>
  <c r="N159" i="1"/>
  <c r="L159" i="1"/>
  <c r="M159" i="1"/>
  <c r="O159" i="1"/>
  <c r="P159" i="1"/>
  <c r="P161" i="1"/>
  <c r="L168" i="1"/>
  <c r="L563" i="1" s="1"/>
  <c r="M168" i="1"/>
  <c r="N168" i="1"/>
  <c r="N563" i="1" s="1"/>
  <c r="O168" i="1"/>
  <c r="O563" i="1" s="1"/>
  <c r="P168" i="1"/>
  <c r="M169" i="1"/>
  <c r="N567" i="1"/>
  <c r="O567" i="1"/>
  <c r="P567" i="1"/>
  <c r="N568" i="1"/>
  <c r="P568" i="1"/>
  <c r="L569" i="1"/>
  <c r="O571" i="1"/>
  <c r="P571" i="1"/>
  <c r="L573" i="1"/>
  <c r="M573" i="1"/>
  <c r="N573" i="1"/>
  <c r="P184" i="1"/>
  <c r="M412" i="1"/>
  <c r="N201" i="1"/>
  <c r="L206" i="1"/>
  <c r="M206" i="1"/>
  <c r="N206" i="1"/>
  <c r="P206" i="1"/>
  <c r="L208" i="1"/>
  <c r="P208" i="1"/>
  <c r="N208" i="1"/>
  <c r="N215" i="1"/>
  <c r="P215" i="1"/>
  <c r="L211" i="1"/>
  <c r="O215" i="1"/>
  <c r="L217" i="1"/>
  <c r="M217" i="1"/>
  <c r="N217" i="1"/>
  <c r="O217" i="1"/>
  <c r="P217" i="1"/>
  <c r="M577" i="1"/>
  <c r="O222" i="1"/>
  <c r="O221" i="1" s="1"/>
  <c r="P219" i="1"/>
  <c r="L223" i="1"/>
  <c r="M223" i="1"/>
  <c r="N223" i="1"/>
  <c r="O223" i="1"/>
  <c r="P223" i="1"/>
  <c r="L225" i="1"/>
  <c r="M225" i="1"/>
  <c r="N225" i="1"/>
  <c r="O225" i="1"/>
  <c r="P225" i="1"/>
  <c r="M227" i="1"/>
  <c r="O227" i="1"/>
  <c r="P227" i="1"/>
  <c r="L229" i="1"/>
  <c r="M229" i="1"/>
  <c r="N229" i="1"/>
  <c r="O229" i="1"/>
  <c r="P229" i="1"/>
  <c r="N231" i="1"/>
  <c r="L231" i="1"/>
  <c r="O231" i="1"/>
  <c r="P231" i="1"/>
  <c r="L234" i="1"/>
  <c r="M234" i="1"/>
  <c r="N234" i="1"/>
  <c r="O234" i="1"/>
  <c r="P793" i="1"/>
  <c r="L795" i="1"/>
  <c r="P795" i="1"/>
  <c r="P796" i="1"/>
  <c r="L1044" i="1"/>
  <c r="M1044" i="1"/>
  <c r="O1044" i="1"/>
  <c r="P1044" i="1"/>
  <c r="L1045" i="1"/>
  <c r="M1045" i="1"/>
  <c r="N1045" i="1"/>
  <c r="P908" i="1"/>
  <c r="P940" i="1" s="1"/>
  <c r="P963" i="1" s="1"/>
  <c r="M281" i="1"/>
  <c r="N280" i="1"/>
  <c r="L276" i="1"/>
  <c r="M276" i="1"/>
  <c r="N276" i="1"/>
  <c r="O276" i="1"/>
  <c r="P276" i="1"/>
  <c r="L281" i="1"/>
  <c r="N281" i="1"/>
  <c r="N799" i="1"/>
  <c r="P800" i="1"/>
  <c r="M1046" i="1"/>
  <c r="O1046" i="1"/>
  <c r="P1046" i="1"/>
  <c r="L288" i="1"/>
  <c r="M801" i="1"/>
  <c r="N801" i="1"/>
  <c r="O801" i="1"/>
  <c r="L292" i="1"/>
  <c r="N292" i="1"/>
  <c r="M292" i="1"/>
  <c r="O292" i="1"/>
  <c r="P292" i="1"/>
  <c r="L303" i="1"/>
  <c r="N303" i="1"/>
  <c r="O303" i="1"/>
  <c r="N304" i="1"/>
  <c r="M303" i="1"/>
  <c r="N544" i="1"/>
  <c r="P544" i="1"/>
  <c r="L378" i="1"/>
  <c r="P555" i="1"/>
  <c r="L387" i="1"/>
  <c r="M387" i="1"/>
  <c r="N387" i="1"/>
  <c r="O387" i="1"/>
  <c r="P387" i="1"/>
  <c r="M569" i="1"/>
  <c r="N569" i="1"/>
  <c r="M570" i="1"/>
  <c r="N570" i="1"/>
  <c r="P570" i="1"/>
  <c r="N438" i="1"/>
  <c r="O438" i="1"/>
  <c r="L443" i="1"/>
  <c r="O443" i="1"/>
  <c r="L445" i="1"/>
  <c r="M445" i="1"/>
  <c r="N445" i="1"/>
  <c r="O445" i="1"/>
  <c r="P445" i="1"/>
  <c r="L447" i="1"/>
  <c r="M447" i="1"/>
  <c r="N447" i="1"/>
  <c r="O447" i="1"/>
  <c r="P447" i="1"/>
  <c r="N449" i="1"/>
  <c r="N452" i="1"/>
  <c r="N451" i="1" s="1"/>
  <c r="O449" i="1"/>
  <c r="L453" i="1"/>
  <c r="M453" i="1"/>
  <c r="N453" i="1"/>
  <c r="O453" i="1"/>
  <c r="P453" i="1"/>
  <c r="N455" i="1"/>
  <c r="M455" i="1"/>
  <c r="M457" i="1"/>
  <c r="O457" i="1"/>
  <c r="L457" i="1"/>
  <c r="N457" i="1"/>
  <c r="P457" i="1"/>
  <c r="L459" i="1"/>
  <c r="M459" i="1"/>
  <c r="O459" i="1"/>
  <c r="L461" i="1"/>
  <c r="M461" i="1"/>
  <c r="O461" i="1"/>
  <c r="P461" i="1"/>
  <c r="M511" i="1"/>
  <c r="O511" i="1"/>
  <c r="P511" i="1"/>
  <c r="L506" i="1"/>
  <c r="M506" i="1"/>
  <c r="N506" i="1"/>
  <c r="O506" i="1"/>
  <c r="P506" i="1"/>
  <c r="L511" i="1"/>
  <c r="N511" i="1"/>
  <c r="P523" i="1"/>
  <c r="N531" i="1"/>
  <c r="O544" i="1"/>
  <c r="M583" i="1"/>
  <c r="N583" i="1"/>
  <c r="O583" i="1"/>
  <c r="P583" i="1"/>
  <c r="L583" i="1"/>
  <c r="O599" i="1"/>
  <c r="M591" i="1"/>
  <c r="O594" i="1"/>
  <c r="P612" i="1"/>
  <c r="L605" i="1"/>
  <c r="N608" i="1"/>
  <c r="O608" i="1"/>
  <c r="L614" i="1"/>
  <c r="M631" i="1"/>
  <c r="N631" i="1"/>
  <c r="O641" i="1"/>
  <c r="L658" i="1"/>
  <c r="P651" i="1"/>
  <c r="N699" i="1"/>
  <c r="P699" i="1"/>
  <c r="L700" i="1"/>
  <c r="P671" i="1"/>
  <c r="N676" i="1"/>
  <c r="L680" i="1"/>
  <c r="O700" i="1"/>
  <c r="L684" i="1"/>
  <c r="M684" i="1"/>
  <c r="N684" i="1"/>
  <c r="O684" i="1"/>
  <c r="P684" i="1"/>
  <c r="M702" i="1"/>
  <c r="O704" i="1"/>
  <c r="P705" i="1"/>
  <c r="P710" i="1"/>
  <c r="L712" i="1"/>
  <c r="M712" i="1"/>
  <c r="N712" i="1"/>
  <c r="O712" i="1"/>
  <c r="N715" i="1"/>
  <c r="M715" i="1"/>
  <c r="O715" i="1"/>
  <c r="L723" i="1"/>
  <c r="O723" i="1"/>
  <c r="P723" i="1"/>
  <c r="P732" i="1"/>
  <c r="L739" i="1"/>
  <c r="M739" i="1"/>
  <c r="N739" i="1"/>
  <c r="O739" i="1"/>
  <c r="P739" i="1"/>
  <c r="P817" i="1"/>
  <c r="O773" i="1"/>
  <c r="M773" i="1"/>
  <c r="L775" i="1"/>
  <c r="L770" i="1" s="1"/>
  <c r="O775" i="1"/>
  <c r="O770" i="1" s="1"/>
  <c r="P775" i="1"/>
  <c r="P770" i="1" s="1"/>
  <c r="N775" i="1"/>
  <c r="N770" i="1" s="1"/>
  <c r="L777" i="1"/>
  <c r="M777" i="1"/>
  <c r="O777" i="1"/>
  <c r="P777" i="1"/>
  <c r="N777" i="1"/>
  <c r="N790" i="1"/>
  <c r="N866" i="1" s="1"/>
  <c r="P790" i="1"/>
  <c r="L790" i="1"/>
  <c r="M790" i="1"/>
  <c r="O790" i="1"/>
  <c r="L793" i="1"/>
  <c r="M793" i="1"/>
  <c r="N793" i="1"/>
  <c r="O793" i="1"/>
  <c r="L796" i="1"/>
  <c r="M796" i="1"/>
  <c r="N796" i="1"/>
  <c r="M798" i="1"/>
  <c r="L803" i="1"/>
  <c r="M803" i="1"/>
  <c r="N803" i="1"/>
  <c r="O803" i="1"/>
  <c r="P803" i="1"/>
  <c r="L805" i="1"/>
  <c r="M805" i="1"/>
  <c r="N805" i="1"/>
  <c r="O805" i="1"/>
  <c r="P805" i="1"/>
  <c r="L808" i="1"/>
  <c r="L810" i="1" s="1"/>
  <c r="M808" i="1"/>
  <c r="N808" i="1"/>
  <c r="N810" i="1" s="1"/>
  <c r="O808" i="1"/>
  <c r="O810" i="1" s="1"/>
  <c r="P808" i="1"/>
  <c r="L812" i="1"/>
  <c r="O812" i="1"/>
  <c r="P812" i="1"/>
  <c r="M812" i="1"/>
  <c r="N812" i="1"/>
  <c r="L814" i="1"/>
  <c r="L881" i="1" s="1"/>
  <c r="M814" i="1"/>
  <c r="M881" i="1" s="1"/>
  <c r="N814" i="1"/>
  <c r="N881" i="1" s="1"/>
  <c r="P814" i="1"/>
  <c r="O814" i="1"/>
  <c r="N817" i="1"/>
  <c r="L819" i="1"/>
  <c r="N819" i="1"/>
  <c r="L830" i="1"/>
  <c r="M830" i="1"/>
  <c r="N830" i="1"/>
  <c r="O830" i="1"/>
  <c r="P830" i="1"/>
  <c r="L832" i="1"/>
  <c r="O832" i="1"/>
  <c r="P832" i="1"/>
  <c r="N844" i="1"/>
  <c r="L844" i="1"/>
  <c r="M844" i="1"/>
  <c r="O844" i="1"/>
  <c r="O846" i="1"/>
  <c r="L846" i="1"/>
  <c r="M878" i="1"/>
  <c r="N846" i="1"/>
  <c r="L848" i="1"/>
  <c r="M848" i="1"/>
  <c r="N848" i="1"/>
  <c r="O848" i="1"/>
  <c r="P848" i="1"/>
  <c r="M850" i="1"/>
  <c r="L850" i="1"/>
  <c r="O850" i="1"/>
  <c r="P850" i="1"/>
  <c r="L852" i="1"/>
  <c r="M852" i="1"/>
  <c r="N852" i="1"/>
  <c r="L854" i="1"/>
  <c r="M854" i="1"/>
  <c r="N854" i="1"/>
  <c r="O854" i="1"/>
  <c r="P854" i="1"/>
  <c r="M860" i="1"/>
  <c r="P860" i="1"/>
  <c r="M866" i="1"/>
  <c r="N889" i="1"/>
  <c r="L891" i="1"/>
  <c r="P889" i="1"/>
  <c r="N891" i="1"/>
  <c r="L892" i="1"/>
  <c r="M892" i="1"/>
  <c r="N892" i="1"/>
  <c r="O892" i="1"/>
  <c r="P892" i="1"/>
  <c r="L960" i="1"/>
  <c r="L912" i="1"/>
  <c r="N912" i="1"/>
  <c r="N967" i="1" s="1"/>
  <c r="P912" i="1"/>
  <c r="L911" i="1"/>
  <c r="L913" i="1"/>
  <c r="M913" i="1"/>
  <c r="N913" i="1"/>
  <c r="O913" i="1"/>
  <c r="P913" i="1"/>
  <c r="P968" i="1" s="1"/>
  <c r="L915" i="1"/>
  <c r="M915" i="1"/>
  <c r="N915" i="1"/>
  <c r="O915" i="1"/>
  <c r="P915" i="1"/>
  <c r="M917" i="1"/>
  <c r="O917" i="1"/>
  <c r="P917" i="1"/>
  <c r="O921" i="1"/>
  <c r="L921" i="1"/>
  <c r="M921" i="1"/>
  <c r="N921" i="1"/>
  <c r="P921" i="1"/>
  <c r="P920" i="1" s="1"/>
  <c r="N927" i="1"/>
  <c r="O927" i="1"/>
  <c r="L956" i="1"/>
  <c r="N957" i="1"/>
  <c r="O957" i="1"/>
  <c r="N931" i="1"/>
  <c r="O931" i="1"/>
  <c r="L931" i="1"/>
  <c r="M931" i="1"/>
  <c r="P931" i="1"/>
  <c r="N960" i="1"/>
  <c r="O960" i="1"/>
  <c r="L937" i="1"/>
  <c r="N937" i="1"/>
  <c r="P937" i="1"/>
  <c r="L945" i="1"/>
  <c r="M945" i="1"/>
  <c r="N945" i="1"/>
  <c r="O945" i="1"/>
  <c r="P945" i="1"/>
  <c r="L947" i="1"/>
  <c r="M947" i="1"/>
  <c r="P947" i="1"/>
  <c r="L949" i="1"/>
  <c r="N949" i="1"/>
  <c r="L951" i="1"/>
  <c r="N951" i="1"/>
  <c r="O951" i="1"/>
  <c r="L971" i="1"/>
  <c r="M951" i="1"/>
  <c r="O971" i="1"/>
  <c r="P951" i="1"/>
  <c r="M957" i="1"/>
  <c r="P957" i="1"/>
  <c r="N961" i="1"/>
  <c r="N971" i="1"/>
  <c r="P971" i="1"/>
  <c r="L977" i="1"/>
  <c r="L1111" i="1"/>
  <c r="O990" i="1"/>
  <c r="P990" i="1"/>
  <c r="M994" i="1"/>
  <c r="M1014" i="1"/>
  <c r="L1016" i="1"/>
  <c r="L1017" i="1" s="1"/>
  <c r="M1016" i="1"/>
  <c r="M1017" i="1" s="1"/>
  <c r="M1114" i="1" s="1"/>
  <c r="N1016" i="1"/>
  <c r="N1017" i="1" s="1"/>
  <c r="N1114" i="1" s="1"/>
  <c r="O1016" i="1"/>
  <c r="O1017" i="1" s="1"/>
  <c r="O1114" i="1" s="1"/>
  <c r="P1016" i="1"/>
  <c r="P1017" i="1" s="1"/>
  <c r="N1023" i="1"/>
  <c r="P1023" i="1"/>
  <c r="M1026" i="1"/>
  <c r="O1026" i="1"/>
  <c r="P1026" i="1"/>
  <c r="L1028" i="1"/>
  <c r="M1028" i="1"/>
  <c r="N1028" i="1"/>
  <c r="O1028" i="1"/>
  <c r="P1028" i="1"/>
  <c r="L1031" i="1"/>
  <c r="M1031" i="1"/>
  <c r="N1031" i="1"/>
  <c r="O1031" i="1"/>
  <c r="P1031" i="1"/>
  <c r="L1038" i="1"/>
  <c r="M1038" i="1"/>
  <c r="N1038" i="1"/>
  <c r="O1038" i="1"/>
  <c r="P1038" i="1"/>
  <c r="L1040" i="1"/>
  <c r="M1040" i="1"/>
  <c r="N1040" i="1"/>
  <c r="O1040" i="1"/>
  <c r="P1040" i="1"/>
  <c r="N1044" i="1"/>
  <c r="P1045" i="1"/>
  <c r="P1057" i="1"/>
  <c r="O1124" i="1"/>
  <c r="L1060" i="1"/>
  <c r="M1086" i="1"/>
  <c r="P1062" i="1"/>
  <c r="L1112" i="1"/>
  <c r="M1062" i="1"/>
  <c r="M1065" i="1"/>
  <c r="N1065" i="1"/>
  <c r="O1065" i="1"/>
  <c r="O1072" i="1"/>
  <c r="O1098" i="1" s="1"/>
  <c r="O1073" i="1"/>
  <c r="L1073" i="1"/>
  <c r="P1073" i="1"/>
  <c r="O1075" i="1"/>
  <c r="M1075" i="1"/>
  <c r="N1075" i="1"/>
  <c r="O1101" i="1"/>
  <c r="P1075" i="1"/>
  <c r="L1077" i="1"/>
  <c r="M1103" i="1"/>
  <c r="N1077" i="1"/>
  <c r="P1077" i="1"/>
  <c r="L1105" i="1"/>
  <c r="P1079" i="1"/>
  <c r="M1127" i="1"/>
  <c r="P1103" i="1"/>
  <c r="M1112" i="1"/>
  <c r="M1120" i="1"/>
  <c r="P1122" i="1"/>
  <c r="M1125" i="1"/>
  <c r="O1127" i="1"/>
  <c r="P1127" i="1"/>
  <c r="O1268" i="1"/>
  <c r="M1269" i="1"/>
  <c r="L1273" i="1"/>
  <c r="O1274" i="1"/>
  <c r="O1285" i="1"/>
  <c r="M1288" i="1"/>
  <c r="L1303" i="1"/>
  <c r="N1303" i="1"/>
  <c r="N1265" i="1"/>
  <c r="M1267" i="1"/>
  <c r="N1267" i="1"/>
  <c r="O1267" i="1"/>
  <c r="M1268" i="1"/>
  <c r="N1270" i="1"/>
  <c r="M1271" i="1"/>
  <c r="N1271" i="1"/>
  <c r="O1271" i="1"/>
  <c r="P1271" i="1"/>
  <c r="M1272" i="1"/>
  <c r="L1275" i="1"/>
  <c r="N1275" i="1"/>
  <c r="L1277" i="1"/>
  <c r="P1278" i="1"/>
  <c r="O1279" i="1"/>
  <c r="P1280" i="1"/>
  <c r="M1283" i="1"/>
  <c r="N1283" i="1"/>
  <c r="O1284" i="1"/>
  <c r="P1284" i="1"/>
  <c r="L1285" i="1"/>
  <c r="M1285" i="1"/>
  <c r="N1285" i="1"/>
  <c r="P1285" i="1"/>
  <c r="L1286" i="1"/>
  <c r="O1286" i="1"/>
  <c r="O1287" i="1"/>
  <c r="P1288" i="1"/>
  <c r="L1289" i="1"/>
  <c r="M1289" i="1"/>
  <c r="M1291" i="1"/>
  <c r="P1292" i="1"/>
  <c r="L1293" i="1"/>
  <c r="M1293" i="1"/>
  <c r="M1294" i="1"/>
  <c r="O1294" i="1"/>
  <c r="P1294" i="1"/>
  <c r="P1297" i="1"/>
  <c r="L1300" i="1"/>
  <c r="M1300" i="1"/>
  <c r="N1300" i="1"/>
  <c r="N1302" i="1"/>
  <c r="P1302" i="1"/>
  <c r="L1304" i="1"/>
  <c r="M1304" i="1"/>
  <c r="N1304" i="1"/>
  <c r="O1304" i="1"/>
  <c r="N1307" i="1"/>
  <c r="N1308" i="1"/>
  <c r="P1308" i="1"/>
  <c r="O1309" i="1"/>
  <c r="O1311" i="1"/>
  <c r="L1312" i="1"/>
  <c r="O1312" i="1"/>
  <c r="P1312" i="1"/>
  <c r="L1313" i="1"/>
  <c r="M1313" i="1"/>
  <c r="O1313" i="1"/>
  <c r="N1295" i="1"/>
  <c r="L1298" i="1"/>
  <c r="N1298" i="1"/>
  <c r="N1301" i="1"/>
  <c r="M1379" i="1"/>
  <c r="L1384" i="1"/>
  <c r="O1384" i="1"/>
  <c r="M1390" i="1"/>
  <c r="N1376" i="1"/>
  <c r="O1377" i="1"/>
  <c r="O1378" i="1"/>
  <c r="L1380" i="1"/>
  <c r="P1380" i="1"/>
  <c r="P1381" i="1"/>
  <c r="P1382" i="1"/>
  <c r="L1383" i="1"/>
  <c r="N1383" i="1"/>
  <c r="M1386" i="1"/>
  <c r="N1386" i="1"/>
  <c r="N1390" i="1"/>
  <c r="O1390" i="1"/>
  <c r="P1390" i="1"/>
  <c r="M1391" i="1"/>
  <c r="L1392" i="1"/>
  <c r="N1392" i="1"/>
  <c r="L1393" i="1"/>
  <c r="L1396" i="1"/>
  <c r="M1397" i="1"/>
  <c r="N1397" i="1"/>
  <c r="O1397" i="1"/>
  <c r="P1397" i="1"/>
  <c r="P1398" i="1"/>
  <c r="P1475" i="1"/>
  <c r="N1481" i="1"/>
  <c r="M1461" i="1"/>
  <c r="N1461" i="1"/>
  <c r="O1461" i="1"/>
  <c r="N1462" i="1"/>
  <c r="O1465" i="1"/>
  <c r="L1466" i="1"/>
  <c r="P1466" i="1"/>
  <c r="M1467" i="1"/>
  <c r="P1469" i="1"/>
  <c r="M1470" i="1"/>
  <c r="O1470" i="1"/>
  <c r="O1471" i="1"/>
  <c r="N1473" i="1"/>
  <c r="L1474" i="1"/>
  <c r="O1474" i="1"/>
  <c r="M1475" i="1"/>
  <c r="N1475" i="1"/>
  <c r="M1476" i="1"/>
  <c r="N1476" i="1"/>
  <c r="O1476" i="1"/>
  <c r="P1476" i="1"/>
  <c r="P1478" i="1"/>
  <c r="M1479" i="1"/>
  <c r="P1479" i="1"/>
  <c r="N1480" i="1"/>
  <c r="P1480" i="1"/>
  <c r="P1481" i="1"/>
  <c r="L1482" i="1"/>
  <c r="N1463" i="1"/>
  <c r="O1479" i="1"/>
  <c r="L1484" i="1"/>
  <c r="L1483" i="1" s="1"/>
  <c r="M1484" i="1"/>
  <c r="M1483" i="1" s="1"/>
  <c r="N1484" i="1"/>
  <c r="N1483" i="1" s="1"/>
  <c r="O1484" i="1"/>
  <c r="O1483" i="1" s="1"/>
  <c r="P1484" i="1"/>
  <c r="P1483" i="1" s="1"/>
  <c r="L1486" i="1"/>
  <c r="N1486" i="1"/>
  <c r="P1486" i="1"/>
  <c r="L1491" i="1"/>
  <c r="L1490" i="1" s="1"/>
  <c r="M1491" i="1"/>
  <c r="M1490" i="1" s="1"/>
  <c r="N1491" i="1"/>
  <c r="N1490" i="1" s="1"/>
  <c r="O1491" i="1"/>
  <c r="O1490" i="1" s="1"/>
  <c r="L1493" i="1"/>
  <c r="P1493" i="1"/>
  <c r="P1537" i="1"/>
  <c r="L1538" i="1"/>
  <c r="N1539" i="1"/>
  <c r="M1508" i="1"/>
  <c r="N1543" i="1"/>
  <c r="L1535" i="1"/>
  <c r="O1536" i="1"/>
  <c r="O1538" i="1"/>
  <c r="L1540" i="1"/>
  <c r="N1540" i="1"/>
  <c r="O1540" i="1"/>
  <c r="P1540" i="1"/>
  <c r="O1543" i="1"/>
  <c r="M1544" i="1"/>
  <c r="O1544" i="1"/>
  <c r="O1545" i="1"/>
  <c r="P1545" i="1"/>
  <c r="L1550" i="1"/>
  <c r="M1550" i="1"/>
  <c r="O1550" i="1"/>
  <c r="P1550" i="1"/>
  <c r="L1567" i="1"/>
  <c r="M1567" i="1"/>
  <c r="O1567" i="1"/>
  <c r="P1567" i="1"/>
  <c r="M1585" i="1"/>
  <c r="O1585" i="1"/>
  <c r="P1585" i="1"/>
  <c r="O1588" i="1"/>
  <c r="M1589" i="1"/>
  <c r="P1592" i="1"/>
  <c r="L1594" i="1"/>
  <c r="N1594" i="1"/>
  <c r="N1597" i="1"/>
  <c r="L1597" i="1"/>
  <c r="O1597" i="1"/>
  <c r="P1597" i="1"/>
  <c r="L1614" i="1"/>
  <c r="M1614" i="1"/>
  <c r="N1614" i="1"/>
  <c r="O1614" i="1"/>
  <c r="P1631" i="1"/>
  <c r="L1634" i="1"/>
  <c r="M1634" i="1"/>
  <c r="L1635" i="1"/>
  <c r="N1635" i="1"/>
  <c r="P1635" i="1"/>
  <c r="O1636" i="1"/>
  <c r="M1637" i="1"/>
  <c r="O1637" i="1"/>
  <c r="P1637" i="1"/>
  <c r="O1638" i="1"/>
  <c r="N1682" i="1"/>
  <c r="M1649" i="1"/>
  <c r="N1649" i="1"/>
  <c r="O1649" i="1"/>
  <c r="P1649" i="1"/>
  <c r="L1687" i="1"/>
  <c r="L1679" i="1"/>
  <c r="N1679" i="1"/>
  <c r="L1680" i="1"/>
  <c r="O1680" i="1"/>
  <c r="P1680" i="1"/>
  <c r="M1681" i="1"/>
  <c r="L1683" i="1"/>
  <c r="M1683" i="1"/>
  <c r="N1683" i="1"/>
  <c r="O1683" i="1"/>
  <c r="P1683" i="1"/>
  <c r="O1684" i="1"/>
  <c r="L1685" i="1"/>
  <c r="P1685" i="1"/>
  <c r="M1687" i="1"/>
  <c r="M1710" i="1"/>
  <c r="O1710" i="1"/>
  <c r="L1702" i="1"/>
  <c r="N1707" i="1"/>
  <c r="L1712" i="1"/>
  <c r="M1712" i="1"/>
  <c r="N1712" i="1"/>
  <c r="O1712" i="1"/>
  <c r="P1712" i="1"/>
  <c r="L1715" i="1"/>
  <c r="M1715" i="1"/>
  <c r="N1715" i="1"/>
  <c r="O1715" i="1"/>
  <c r="P1715" i="1"/>
  <c r="M1716" i="1"/>
  <c r="N1716" i="1"/>
  <c r="O1717" i="1"/>
  <c r="P1717" i="1"/>
  <c r="L1718" i="1"/>
  <c r="M1718" i="1"/>
  <c r="N1718" i="1"/>
  <c r="O1718" i="1"/>
  <c r="P1718" i="1"/>
  <c r="L1719" i="1"/>
  <c r="O1719" i="1"/>
  <c r="P1719" i="1"/>
  <c r="M1721" i="1"/>
  <c r="O1721" i="1"/>
  <c r="L1722" i="1"/>
  <c r="M1722" i="1"/>
  <c r="N1722" i="1"/>
  <c r="O1722" i="1"/>
  <c r="M1732" i="1"/>
  <c r="N1732" i="1"/>
  <c r="O1732" i="1"/>
  <c r="P1732" i="1"/>
  <c r="L1733" i="1"/>
  <c r="M1733" i="1"/>
  <c r="N1733" i="1"/>
  <c r="O1733" i="1"/>
  <c r="P1733" i="1"/>
  <c r="L1734" i="1"/>
  <c r="M1734" i="1"/>
  <c r="N1734" i="1"/>
  <c r="O1734" i="1"/>
  <c r="P1734" i="1"/>
  <c r="L1739" i="1"/>
  <c r="M1739" i="1"/>
  <c r="N1739" i="1"/>
  <c r="P1739" i="1"/>
  <c r="L1741" i="1"/>
  <c r="M1741" i="1"/>
  <c r="O1741" i="1"/>
  <c r="P1741" i="1"/>
  <c r="L1743" i="1"/>
  <c r="P1743" i="1"/>
  <c r="L1744" i="1"/>
  <c r="O1744" i="1"/>
  <c r="P1744" i="1"/>
  <c r="L1745" i="1"/>
  <c r="N1745" i="1"/>
  <c r="O1745" i="1"/>
  <c r="P1745" i="1"/>
  <c r="L1746" i="1"/>
  <c r="M1746" i="1"/>
  <c r="N1746" i="1"/>
  <c r="O1746" i="1"/>
  <c r="P1746" i="1"/>
  <c r="L1748" i="1"/>
  <c r="M1748" i="1"/>
  <c r="N1748" i="1"/>
  <c r="O1748" i="1"/>
  <c r="L1749" i="1"/>
  <c r="M1749" i="1"/>
  <c r="N1749" i="1"/>
  <c r="O1749" i="1"/>
  <c r="P1749" i="1"/>
  <c r="M1750" i="1"/>
  <c r="N1750" i="1"/>
  <c r="O1750" i="1"/>
  <c r="N1752" i="1"/>
  <c r="O1752" i="1"/>
  <c r="P1752" i="1"/>
  <c r="L1753" i="1"/>
  <c r="M1753" i="1"/>
  <c r="N1753" i="1"/>
  <c r="O1753" i="1"/>
  <c r="P1753" i="1"/>
  <c r="L1754" i="1"/>
  <c r="M1754" i="1"/>
  <c r="N1754" i="1"/>
  <c r="O1754" i="1"/>
  <c r="P1754" i="1"/>
  <c r="L1755" i="1"/>
  <c r="M1755" i="1"/>
  <c r="N1755" i="1"/>
  <c r="O1755" i="1"/>
  <c r="P1755" i="1"/>
  <c r="M1757" i="1"/>
  <c r="N1757" i="1"/>
  <c r="O1757" i="1"/>
  <c r="L1758" i="1"/>
  <c r="M1758" i="1"/>
  <c r="N1758" i="1"/>
  <c r="O1758" i="1"/>
  <c r="P1758" i="1"/>
  <c r="L1760" i="1"/>
  <c r="M1760" i="1"/>
  <c r="N1760" i="1"/>
  <c r="O1760" i="1"/>
  <c r="P1760" i="1"/>
  <c r="L1762" i="1"/>
  <c r="N1762" i="1"/>
  <c r="P1762" i="1"/>
  <c r="P1766" i="1"/>
  <c r="P1770" i="1"/>
  <c r="M1801" i="1"/>
  <c r="P1801" i="1"/>
  <c r="L1801" i="1"/>
  <c r="N1801" i="1"/>
  <c r="O1801" i="1"/>
  <c r="L1810" i="1"/>
  <c r="M1810" i="1"/>
  <c r="O1810" i="1"/>
  <c r="P1810" i="1"/>
  <c r="N1810" i="1"/>
  <c r="L1828" i="1"/>
  <c r="M1828" i="1"/>
  <c r="N1828" i="1"/>
  <c r="O1828" i="1"/>
  <c r="P1828" i="1"/>
  <c r="L1830" i="1"/>
  <c r="L1833" i="1"/>
  <c r="M1833" i="1"/>
  <c r="N1833" i="1"/>
  <c r="O1833" i="1"/>
  <c r="P1833" i="1"/>
  <c r="L1835" i="1"/>
  <c r="M1835" i="1"/>
  <c r="N1835" i="1"/>
  <c r="O1835" i="1"/>
  <c r="P1835" i="1"/>
  <c r="L1837" i="1"/>
  <c r="M1837" i="1"/>
  <c r="N1837" i="1"/>
  <c r="O1837" i="1"/>
  <c r="P1837" i="1"/>
  <c r="L1839" i="1"/>
  <c r="M1839" i="1"/>
  <c r="N1839" i="1"/>
  <c r="O1839" i="1"/>
  <c r="P1839" i="1"/>
  <c r="L1841" i="1"/>
  <c r="M1841" i="1"/>
  <c r="N1841" i="1"/>
  <c r="O1841" i="1"/>
  <c r="P1841" i="1"/>
  <c r="L1847" i="1"/>
  <c r="M1847" i="1"/>
  <c r="N1847" i="1"/>
  <c r="O1847" i="1"/>
  <c r="P1847" i="1"/>
  <c r="P1849" i="1"/>
  <c r="L1852" i="1"/>
  <c r="M1852" i="1"/>
  <c r="N1852" i="1"/>
  <c r="O1852" i="1"/>
  <c r="P1852" i="1"/>
  <c r="L1854" i="1"/>
  <c r="M1854" i="1"/>
  <c r="N1854" i="1"/>
  <c r="O1854" i="1"/>
  <c r="P1854" i="1"/>
  <c r="L1856" i="1"/>
  <c r="M1856" i="1"/>
  <c r="N1856" i="1"/>
  <c r="O1856" i="1"/>
  <c r="P1856" i="1"/>
  <c r="L1858" i="1"/>
  <c r="M1858" i="1"/>
  <c r="N1858" i="1"/>
  <c r="O1858" i="1"/>
  <c r="P1858" i="1"/>
  <c r="L1860" i="1"/>
  <c r="M1860" i="1"/>
  <c r="N1860" i="1"/>
  <c r="O1860" i="1"/>
  <c r="P1860" i="1"/>
  <c r="M1863" i="1"/>
  <c r="N1863" i="1"/>
  <c r="M1866" i="1"/>
  <c r="O1869" i="1"/>
  <c r="P1869" i="1"/>
  <c r="L1873" i="1"/>
  <c r="M1873" i="1"/>
  <c r="N1873" i="1"/>
  <c r="O1873" i="1"/>
  <c r="P1873" i="1"/>
  <c r="L1875" i="1"/>
  <c r="M1875" i="1"/>
  <c r="N1875" i="1"/>
  <c r="O1875" i="1"/>
  <c r="P1875" i="1"/>
  <c r="L1877" i="1"/>
  <c r="M1877" i="1"/>
  <c r="N1877" i="1"/>
  <c r="O1877" i="1"/>
  <c r="P1877" i="1"/>
  <c r="L1879" i="1"/>
  <c r="M1879" i="1"/>
  <c r="N1879" i="1"/>
  <c r="O1879" i="1"/>
  <c r="P1879" i="1"/>
  <c r="L1881" i="1"/>
  <c r="M1881" i="1"/>
  <c r="N1881" i="1"/>
  <c r="O1881" i="1"/>
  <c r="P1881" i="1"/>
  <c r="L1883" i="1"/>
  <c r="M1883" i="1"/>
  <c r="N1883" i="1"/>
  <c r="O1883" i="1"/>
  <c r="P1883" i="1"/>
  <c r="M1886" i="1"/>
  <c r="L1889" i="1"/>
  <c r="M1889" i="1"/>
  <c r="N1889" i="1"/>
  <c r="O1889" i="1"/>
  <c r="P1889" i="1"/>
  <c r="P1891" i="1"/>
  <c r="L1895" i="1"/>
  <c r="M1895" i="1"/>
  <c r="N1895" i="1"/>
  <c r="O1895" i="1"/>
  <c r="P1895" i="1"/>
  <c r="L1897" i="1"/>
  <c r="M1897" i="1"/>
  <c r="N1897" i="1"/>
  <c r="O1897" i="1"/>
  <c r="P1897" i="1"/>
  <c r="L1899" i="1"/>
  <c r="M1899" i="1"/>
  <c r="N1899" i="1"/>
  <c r="O1899" i="1"/>
  <c r="P1899" i="1"/>
  <c r="L1901" i="1"/>
  <c r="M1901" i="1"/>
  <c r="N1901" i="1"/>
  <c r="O1901" i="1"/>
  <c r="P1901" i="1"/>
  <c r="L2027" i="1"/>
  <c r="M2027" i="1"/>
  <c r="N2027" i="1"/>
  <c r="O2027" i="1"/>
  <c r="P2027" i="1"/>
  <c r="L2030" i="1"/>
  <c r="M2030" i="1"/>
  <c r="N2030" i="1"/>
  <c r="O2030" i="1"/>
  <c r="P2030" i="1"/>
  <c r="L2051" i="1"/>
  <c r="M2051" i="1"/>
  <c r="N2051" i="1"/>
  <c r="O2051" i="1"/>
  <c r="P2051" i="1"/>
  <c r="L2092" i="1"/>
  <c r="M2092" i="1"/>
  <c r="N2092" i="1"/>
  <c r="O2092" i="1"/>
  <c r="P2092" i="1"/>
  <c r="L2101" i="1"/>
  <c r="M2101" i="1"/>
  <c r="N2101" i="1"/>
  <c r="O2101" i="1"/>
  <c r="P2101" i="1"/>
  <c r="O2102" i="1"/>
  <c r="N2102" i="1"/>
  <c r="L2238" i="1"/>
  <c r="M2238" i="1"/>
  <c r="N2238" i="1"/>
  <c r="O2238" i="1"/>
  <c r="P2238" i="1"/>
  <c r="L2240" i="1"/>
  <c r="M2240" i="1"/>
  <c r="N2240" i="1"/>
  <c r="O2240" i="1"/>
  <c r="L2243" i="1"/>
  <c r="M2243" i="1"/>
  <c r="N2243" i="1"/>
  <c r="O2243" i="1"/>
  <c r="P2243" i="1"/>
  <c r="L2245" i="1"/>
  <c r="M2245" i="1"/>
  <c r="N2245" i="1"/>
  <c r="O2245" i="1"/>
  <c r="P2245" i="1"/>
  <c r="L2247" i="1"/>
  <c r="M2247" i="1"/>
  <c r="N2247" i="1"/>
  <c r="O2247" i="1"/>
  <c r="P2247" i="1"/>
  <c r="L2249" i="1"/>
  <c r="M2249" i="1"/>
  <c r="N2249" i="1"/>
  <c r="O2249" i="1"/>
  <c r="P2249" i="1"/>
  <c r="L2251" i="1"/>
  <c r="M2251" i="1"/>
  <c r="N2251" i="1"/>
  <c r="O2251" i="1"/>
  <c r="P2251" i="1"/>
  <c r="L2257" i="1"/>
  <c r="M2257" i="1"/>
  <c r="N2257" i="1"/>
  <c r="O2257" i="1"/>
  <c r="P2257" i="1"/>
  <c r="L2259" i="1"/>
  <c r="N2262" i="1"/>
  <c r="L2262" i="1"/>
  <c r="M2262" i="1"/>
  <c r="O2262" i="1"/>
  <c r="P2262" i="1"/>
  <c r="L2264" i="1"/>
  <c r="M2264" i="1"/>
  <c r="N2264" i="1"/>
  <c r="O2264" i="1"/>
  <c r="P2264" i="1"/>
  <c r="P2266" i="1"/>
  <c r="L2266" i="1"/>
  <c r="M2266" i="1"/>
  <c r="N2266" i="1"/>
  <c r="O2266" i="1"/>
  <c r="L2268" i="1"/>
  <c r="M2268" i="1"/>
  <c r="N2268" i="1"/>
  <c r="O2268" i="1"/>
  <c r="P2268" i="1"/>
  <c r="L2270" i="1"/>
  <c r="M2270" i="1"/>
  <c r="N2270" i="1"/>
  <c r="O2270" i="1"/>
  <c r="P2270" i="1"/>
  <c r="M2273" i="1"/>
  <c r="L2283" i="1"/>
  <c r="M2283" i="1"/>
  <c r="N2283" i="1"/>
  <c r="O2283" i="1"/>
  <c r="P2283" i="1"/>
  <c r="L2285" i="1"/>
  <c r="M2285" i="1"/>
  <c r="N2285" i="1"/>
  <c r="O2285" i="1"/>
  <c r="P2285" i="1"/>
  <c r="L2287" i="1"/>
  <c r="M2287" i="1"/>
  <c r="N2287" i="1"/>
  <c r="O2287" i="1"/>
  <c r="P2287" i="1"/>
  <c r="L2289" i="1"/>
  <c r="M2289" i="1"/>
  <c r="N2289" i="1"/>
  <c r="O2289" i="1"/>
  <c r="P2289" i="1"/>
  <c r="L2291" i="1"/>
  <c r="M2291" i="1"/>
  <c r="N2291" i="1"/>
  <c r="O2291" i="1"/>
  <c r="P2291" i="1"/>
  <c r="L2293" i="1"/>
  <c r="M2293" i="1"/>
  <c r="N2293" i="1"/>
  <c r="O2293" i="1"/>
  <c r="P2293" i="1"/>
  <c r="P2296" i="1"/>
  <c r="L2299" i="1"/>
  <c r="M2299" i="1"/>
  <c r="N2299" i="1"/>
  <c r="O2299" i="1"/>
  <c r="P2299" i="1"/>
  <c r="L2305" i="1"/>
  <c r="M2305" i="1"/>
  <c r="N2305" i="1"/>
  <c r="O2305" i="1"/>
  <c r="P2305" i="1"/>
  <c r="L2307" i="1"/>
  <c r="M2307" i="1"/>
  <c r="N2307" i="1"/>
  <c r="O2307" i="1"/>
  <c r="P2307" i="1"/>
  <c r="L2309" i="1"/>
  <c r="M2309" i="1"/>
  <c r="N2309" i="1"/>
  <c r="O2309" i="1"/>
  <c r="P2309" i="1"/>
  <c r="L2311" i="1"/>
  <c r="M2311" i="1"/>
  <c r="N2311" i="1"/>
  <c r="O2311" i="1"/>
  <c r="P2311" i="1"/>
  <c r="L2318" i="1"/>
  <c r="M2318" i="1"/>
  <c r="N2318" i="1"/>
  <c r="O2318" i="1"/>
  <c r="P2318" i="1"/>
  <c r="L2321" i="1"/>
  <c r="M2321" i="1"/>
  <c r="N2321" i="1"/>
  <c r="O2321" i="1"/>
  <c r="P2321" i="1"/>
  <c r="O47" i="1"/>
  <c r="L797" i="1" l="1"/>
  <c r="L280" i="1"/>
  <c r="F902" i="1"/>
  <c r="F899" i="1"/>
  <c r="P538" i="1"/>
  <c r="Q305" i="1"/>
  <c r="M769" i="1"/>
  <c r="M861" i="1" s="1"/>
  <c r="M2061" i="1"/>
  <c r="I104" i="1"/>
  <c r="G109" i="1"/>
  <c r="N2235" i="1"/>
  <c r="L1633" i="1"/>
  <c r="G100" i="1"/>
  <c r="I109" i="1"/>
  <c r="Q987" i="1"/>
  <c r="Q986" i="1" s="1"/>
  <c r="H100" i="1"/>
  <c r="P2276" i="1"/>
  <c r="L2235" i="1"/>
  <c r="L2234" i="1" s="1"/>
  <c r="L2233" i="1" s="1"/>
  <c r="G104" i="1"/>
  <c r="I100" i="1"/>
  <c r="G105" i="1"/>
  <c r="H109" i="1"/>
  <c r="Q587" i="1"/>
  <c r="Q586" i="1" s="1"/>
  <c r="H105" i="1"/>
  <c r="I105" i="1"/>
  <c r="G110" i="1"/>
  <c r="P1678" i="1"/>
  <c r="I99" i="1"/>
  <c r="Q977" i="1"/>
  <c r="Q1052" i="1"/>
  <c r="Q1049" i="1" s="1"/>
  <c r="Q1050" i="1" s="1"/>
  <c r="Q598" i="1"/>
  <c r="G101" i="1"/>
  <c r="I110" i="1"/>
  <c r="P2273" i="1"/>
  <c r="P2272" i="1" s="1"/>
  <c r="H103" i="1"/>
  <c r="H101" i="1"/>
  <c r="Q1866" i="1"/>
  <c r="Q700" i="1"/>
  <c r="I101" i="1"/>
  <c r="Q281" i="1"/>
  <c r="Q907" i="1"/>
  <c r="Q939" i="1" s="1"/>
  <c r="Q962" i="1" s="1"/>
  <c r="Q940" i="1"/>
  <c r="Q963" i="1" s="1"/>
  <c r="H99" i="1"/>
  <c r="H113" i="1"/>
  <c r="G102" i="1"/>
  <c r="H102" i="1"/>
  <c r="Q1038" i="1"/>
  <c r="Q1037" i="1" s="1"/>
  <c r="Q1122" i="1"/>
  <c r="H104" i="1"/>
  <c r="N2094" i="1"/>
  <c r="H107" i="1"/>
  <c r="N2296" i="1"/>
  <c r="O2273" i="1"/>
  <c r="Q1466" i="1"/>
  <c r="Q339" i="1"/>
  <c r="I106" i="1"/>
  <c r="Q1028" i="1"/>
  <c r="Q1133" i="1"/>
  <c r="L2102" i="1"/>
  <c r="G108" i="1"/>
  <c r="L2315" i="1"/>
  <c r="G99" i="1"/>
  <c r="L1291" i="1"/>
  <c r="O1281" i="1"/>
  <c r="Q1476" i="1"/>
  <c r="Q1460" i="1"/>
  <c r="Q1289" i="1"/>
  <c r="M1770" i="1"/>
  <c r="O1685" i="1"/>
  <c r="L1681" i="1"/>
  <c r="L1637" i="1"/>
  <c r="M1088" i="1"/>
  <c r="Q1886" i="1"/>
  <c r="Q1310" i="1"/>
  <c r="Q1266" i="1"/>
  <c r="Q1300" i="1"/>
  <c r="Q196" i="1"/>
  <c r="Q193" i="1" s="1"/>
  <c r="Q551" i="1"/>
  <c r="P1461" i="1"/>
  <c r="L1388" i="1"/>
  <c r="L1322" i="1"/>
  <c r="O1290" i="1"/>
  <c r="N900" i="1"/>
  <c r="L536" i="1"/>
  <c r="Q937" i="1"/>
  <c r="Q860" i="1"/>
  <c r="N1466" i="1"/>
  <c r="N1290" i="1"/>
  <c r="N1276" i="1"/>
  <c r="L1288" i="1"/>
  <c r="N1033" i="1"/>
  <c r="N1034" i="1" s="1"/>
  <c r="M605" i="1"/>
  <c r="P367" i="1"/>
  <c r="M184" i="1"/>
  <c r="Q1384" i="1"/>
  <c r="Q1287" i="1"/>
  <c r="Q900" i="1"/>
  <c r="L1815" i="1"/>
  <c r="L1632" i="1"/>
  <c r="M1471" i="1"/>
  <c r="O1387" i="1"/>
  <c r="P1377" i="1"/>
  <c r="O1322" i="1"/>
  <c r="L1295" i="1"/>
  <c r="M1290" i="1"/>
  <c r="M1152" i="1"/>
  <c r="O1265" i="1"/>
  <c r="L1075" i="1"/>
  <c r="N1127" i="1"/>
  <c r="L717" i="1"/>
  <c r="M676" i="1"/>
  <c r="L909" i="1"/>
  <c r="O219" i="1"/>
  <c r="Q1849" i="1"/>
  <c r="Q1541" i="1"/>
  <c r="Q1464" i="1"/>
  <c r="Q1383" i="1"/>
  <c r="Q960" i="1"/>
  <c r="Q705" i="1"/>
  <c r="Q442" i="1"/>
  <c r="Q441" i="1" s="1"/>
  <c r="Q440" i="1" s="1"/>
  <c r="Q183" i="1"/>
  <c r="M1702" i="1"/>
  <c r="M1636" i="1"/>
  <c r="P1535" i="1"/>
  <c r="M1307" i="1"/>
  <c r="M708" i="1"/>
  <c r="P601" i="1"/>
  <c r="L530" i="1"/>
  <c r="Q2240" i="1"/>
  <c r="Q1180" i="1"/>
  <c r="Q959" i="1"/>
  <c r="Q676" i="1"/>
  <c r="Q662" i="1" s="1"/>
  <c r="Q579" i="1"/>
  <c r="Q443" i="1"/>
  <c r="Q184" i="1"/>
  <c r="P2102" i="1"/>
  <c r="M1793" i="1"/>
  <c r="P1465" i="1"/>
  <c r="N1377" i="1"/>
  <c r="O1308" i="1"/>
  <c r="P1275" i="1"/>
  <c r="N1266" i="1"/>
  <c r="P676" i="1"/>
  <c r="P662" i="1" s="1"/>
  <c r="O613" i="1"/>
  <c r="L599" i="1"/>
  <c r="O526" i="1"/>
  <c r="M579" i="1"/>
  <c r="O305" i="1"/>
  <c r="P334" i="1"/>
  <c r="P350" i="1" s="1"/>
  <c r="Q1811" i="1"/>
  <c r="Q1540" i="1"/>
  <c r="Q1534" i="1"/>
  <c r="Q1382" i="1"/>
  <c r="Q1285" i="1"/>
  <c r="Q636" i="1"/>
  <c r="M1830" i="1"/>
  <c r="P1786" i="1"/>
  <c r="P1688" i="1"/>
  <c r="L1636" i="1"/>
  <c r="L1589" i="1"/>
  <c r="N1382" i="1"/>
  <c r="O1327" i="1"/>
  <c r="P1112" i="1"/>
  <c r="N1052" i="1"/>
  <c r="N1049" i="1" s="1"/>
  <c r="M571" i="1"/>
  <c r="Q1635" i="1"/>
  <c r="Q1305" i="1"/>
  <c r="Q1284" i="1"/>
  <c r="Q1157" i="1"/>
  <c r="L1863" i="1"/>
  <c r="N1396" i="1"/>
  <c r="P1298" i="1"/>
  <c r="N1289" i="1"/>
  <c r="P1270" i="1"/>
  <c r="P1291" i="1"/>
  <c r="O1112" i="1"/>
  <c r="L522" i="1"/>
  <c r="Q1679" i="1"/>
  <c r="Q1586" i="1"/>
  <c r="Q1283" i="1"/>
  <c r="Q992" i="1"/>
  <c r="Q993" i="1" s="1"/>
  <c r="Q956" i="1"/>
  <c r="Q608" i="1"/>
  <c r="O1679" i="1"/>
  <c r="M1474" i="1"/>
  <c r="L1381" i="1"/>
  <c r="M1308" i="1"/>
  <c r="O1298" i="1"/>
  <c r="N104" i="1"/>
  <c r="Q631" i="1"/>
  <c r="Q624" i="1" s="1"/>
  <c r="Q271" i="1"/>
  <c r="Q260" i="1" s="1"/>
  <c r="M1465" i="1"/>
  <c r="O1037" i="1"/>
  <c r="O877" i="1"/>
  <c r="L730" i="1"/>
  <c r="Q2273" i="1"/>
  <c r="Q1379" i="1"/>
  <c r="Q1303" i="1"/>
  <c r="Q1279" i="1"/>
  <c r="Q531" i="1"/>
  <c r="M1588" i="1"/>
  <c r="O1534" i="1"/>
  <c r="N1391" i="1"/>
  <c r="M1072" i="1"/>
  <c r="M1098" i="1" s="1"/>
  <c r="M1093" i="1" s="1"/>
  <c r="O968" i="1"/>
  <c r="O500" i="1"/>
  <c r="N572" i="1"/>
  <c r="O109" i="1"/>
  <c r="L70" i="1"/>
  <c r="Q1702" i="1"/>
  <c r="Q1489" i="1"/>
  <c r="Q1280" i="1"/>
  <c r="Q1203" i="1"/>
  <c r="Q1314" i="1" s="1"/>
  <c r="Q571" i="1"/>
  <c r="M1552" i="1"/>
  <c r="P1464" i="1"/>
  <c r="N1425" i="1"/>
  <c r="L1386" i="1"/>
  <c r="O1293" i="1"/>
  <c r="P1274" i="1"/>
  <c r="L366" i="1"/>
  <c r="L373" i="1" s="1"/>
  <c r="Q1537" i="1"/>
  <c r="Q921" i="1"/>
  <c r="Q920" i="1" s="1"/>
  <c r="N1544" i="1"/>
  <c r="N1474" i="1"/>
  <c r="M1376" i="1"/>
  <c r="N1312" i="1"/>
  <c r="O1120" i="1"/>
  <c r="P1111" i="1"/>
  <c r="L866" i="1"/>
  <c r="N860" i="1"/>
  <c r="M730" i="1"/>
  <c r="L695" i="1"/>
  <c r="P703" i="1"/>
  <c r="L641" i="1"/>
  <c r="M500" i="1"/>
  <c r="O525" i="1"/>
  <c r="Q2301" i="1"/>
  <c r="Q1803" i="1"/>
  <c r="Q1398" i="1"/>
  <c r="Q1377" i="1"/>
  <c r="Q1301" i="1"/>
  <c r="Q298" i="1"/>
  <c r="Q302" i="1" s="1"/>
  <c r="Q231" i="1"/>
  <c r="Q518" i="1"/>
  <c r="Q108" i="1"/>
  <c r="Q336" i="1" s="1"/>
  <c r="P1707" i="1"/>
  <c r="M1539" i="1"/>
  <c r="L1534" i="1"/>
  <c r="N1498" i="1"/>
  <c r="N1479" i="1"/>
  <c r="L1460" i="1"/>
  <c r="M1381" i="1"/>
  <c r="N1288" i="1"/>
  <c r="O866" i="1"/>
  <c r="O703" i="1"/>
  <c r="P288" i="1"/>
  <c r="Q2094" i="1"/>
  <c r="Q1770" i="1"/>
  <c r="Q803" i="1"/>
  <c r="Q187" i="1"/>
  <c r="Q186" i="1" s="1"/>
  <c r="M1592" i="1"/>
  <c r="P959" i="1"/>
  <c r="N598" i="1"/>
  <c r="Q1322" i="1"/>
  <c r="Q401" i="1"/>
  <c r="Q169" i="1"/>
  <c r="Q104" i="1"/>
  <c r="Q74" i="1"/>
  <c r="O1811" i="1"/>
  <c r="N1634" i="1"/>
  <c r="L1498" i="1"/>
  <c r="M1464" i="1"/>
  <c r="P1311" i="1"/>
  <c r="O1283" i="1"/>
  <c r="L1274" i="1"/>
  <c r="N968" i="1"/>
  <c r="O8" i="1"/>
  <c r="O1747" i="1" s="1"/>
  <c r="Q1396" i="1"/>
  <c r="Q1299" i="1"/>
  <c r="Q1293" i="1"/>
  <c r="Q974" i="1"/>
  <c r="Q917" i="1"/>
  <c r="Q661" i="1"/>
  <c r="Q294" i="1"/>
  <c r="M1766" i="1"/>
  <c r="L1587" i="1"/>
  <c r="L1469" i="1"/>
  <c r="M1385" i="1"/>
  <c r="N1297" i="1"/>
  <c r="L1279" i="1"/>
  <c r="N1122" i="1"/>
  <c r="L889" i="1"/>
  <c r="N876" i="1"/>
  <c r="P66" i="1"/>
  <c r="Q1467" i="1"/>
  <c r="Q1395" i="1"/>
  <c r="Q1380" i="1"/>
  <c r="Q464" i="1"/>
  <c r="Q102" i="1"/>
  <c r="P2077" i="1"/>
  <c r="L1766" i="1"/>
  <c r="M1752" i="1"/>
  <c r="P1638" i="1"/>
  <c r="M1599" i="1"/>
  <c r="O1591" i="1"/>
  <c r="P1586" i="1"/>
  <c r="P1394" i="1"/>
  <c r="L1385" i="1"/>
  <c r="N1311" i="1"/>
  <c r="M1302" i="1"/>
  <c r="O1093" i="1"/>
  <c r="M704" i="1"/>
  <c r="L215" i="1"/>
  <c r="Q591" i="1"/>
  <c r="Q292" i="1"/>
  <c r="Q101" i="1"/>
  <c r="Q329" i="1" s="1"/>
  <c r="Q345" i="1" s="1"/>
  <c r="Q70" i="1"/>
  <c r="M2053" i="1"/>
  <c r="P1682" i="1"/>
  <c r="O1586" i="1"/>
  <c r="M1538" i="1"/>
  <c r="O1473" i="1"/>
  <c r="O1468" i="1"/>
  <c r="M1380" i="1"/>
  <c r="L1302" i="1"/>
  <c r="N1292" i="1"/>
  <c r="N1287" i="1"/>
  <c r="N1280" i="1"/>
  <c r="P877" i="1"/>
  <c r="L876" i="1"/>
  <c r="O288" i="1"/>
  <c r="P554" i="1"/>
  <c r="Q1606" i="1"/>
  <c r="Q1588" i="1"/>
  <c r="Q1482" i="1"/>
  <c r="Q1307" i="1"/>
  <c r="L1869" i="1"/>
  <c r="N1844" i="1"/>
  <c r="N1843" i="1" s="1"/>
  <c r="P1686" i="1"/>
  <c r="O1508" i="1"/>
  <c r="L1503" i="1"/>
  <c r="L1497" i="1" s="1"/>
  <c r="L1297" i="1"/>
  <c r="O1278" i="1"/>
  <c r="L1269" i="1"/>
  <c r="N1124" i="1"/>
  <c r="O911" i="1"/>
  <c r="O943" i="1" s="1"/>
  <c r="O966" i="1" s="1"/>
  <c r="O880" i="1"/>
  <c r="O554" i="1"/>
  <c r="O148" i="1"/>
  <c r="Q2296" i="1"/>
  <c r="Q2295" i="1" s="1"/>
  <c r="Q1863" i="1"/>
  <c r="Q1552" i="1"/>
  <c r="Q1481" i="1"/>
  <c r="Q1393" i="1"/>
  <c r="Q1378" i="1"/>
  <c r="Q1272" i="1"/>
  <c r="Q943" i="1"/>
  <c r="Q966" i="1" s="1"/>
  <c r="Q288" i="1"/>
  <c r="Q576" i="1"/>
  <c r="P2084" i="1"/>
  <c r="P2053" i="1"/>
  <c r="O2024" i="1"/>
  <c r="M1844" i="1"/>
  <c r="P1825" i="1"/>
  <c r="L1678" i="1"/>
  <c r="M1591" i="1"/>
  <c r="P1542" i="1"/>
  <c r="M1496" i="1"/>
  <c r="M1478" i="1"/>
  <c r="M1473" i="1"/>
  <c r="O1389" i="1"/>
  <c r="L1292" i="1"/>
  <c r="M1124" i="1"/>
  <c r="P994" i="1"/>
  <c r="P1004" i="1" s="1"/>
  <c r="P1001" i="1" s="1"/>
  <c r="L961" i="1"/>
  <c r="M531" i="1"/>
  <c r="O524" i="1"/>
  <c r="L524" i="1"/>
  <c r="Q2061" i="1"/>
  <c r="Q1793" i="1"/>
  <c r="Q1294" i="1"/>
  <c r="Q1273" i="1"/>
  <c r="Q1072" i="1"/>
  <c r="Q695" i="1"/>
  <c r="Q658" i="1"/>
  <c r="Q217" i="1"/>
  <c r="Q66" i="1"/>
  <c r="L1844" i="1"/>
  <c r="N1692" i="1"/>
  <c r="M1638" i="1"/>
  <c r="N1633" i="1"/>
  <c r="O1537" i="1"/>
  <c r="P1482" i="1"/>
  <c r="L1478" i="1"/>
  <c r="L1473" i="1"/>
  <c r="L1468" i="1"/>
  <c r="L1472" i="1"/>
  <c r="M1463" i="1"/>
  <c r="O1379" i="1"/>
  <c r="L1287" i="1"/>
  <c r="N1133" i="1"/>
  <c r="P974" i="1"/>
  <c r="O819" i="1"/>
  <c r="O657" i="1"/>
  <c r="N188" i="1"/>
  <c r="O58" i="1"/>
  <c r="O57" i="1" s="1"/>
  <c r="Q1645" i="1"/>
  <c r="Q1114" i="1"/>
  <c r="Q832" i="1"/>
  <c r="Q161" i="1"/>
  <c r="N2053" i="1"/>
  <c r="N1825" i="1"/>
  <c r="L1591" i="1"/>
  <c r="M1586" i="1"/>
  <c r="N1542" i="1"/>
  <c r="P1467" i="1"/>
  <c r="P1471" i="1"/>
  <c r="L1394" i="1"/>
  <c r="L1306" i="1"/>
  <c r="M1301" i="1"/>
  <c r="N1282" i="1"/>
  <c r="L1278" i="1"/>
  <c r="N1313" i="1"/>
  <c r="O1299" i="1"/>
  <c r="P1279" i="1"/>
  <c r="M1101" i="1"/>
  <c r="M920" i="1"/>
  <c r="P956" i="1"/>
  <c r="L801" i="1"/>
  <c r="O862" i="1"/>
  <c r="N146" i="1"/>
  <c r="Q1599" i="1"/>
  <c r="N2273" i="1"/>
  <c r="O2077" i="1"/>
  <c r="O1815" i="1"/>
  <c r="L1682" i="1"/>
  <c r="L1586" i="1"/>
  <c r="M1542" i="1"/>
  <c r="M1536" i="1"/>
  <c r="N1482" i="1"/>
  <c r="O1472" i="1"/>
  <c r="O1398" i="1"/>
  <c r="N1387" i="1"/>
  <c r="P1305" i="1"/>
  <c r="O1291" i="1"/>
  <c r="M1282" i="1"/>
  <c r="L1294" i="1"/>
  <c r="P1132" i="1"/>
  <c r="P844" i="1"/>
  <c r="M819" i="1"/>
  <c r="N800" i="1"/>
  <c r="L713" i="1"/>
  <c r="O614" i="1"/>
  <c r="P587" i="1"/>
  <c r="P586" i="1" s="1"/>
  <c r="N551" i="1"/>
  <c r="M75" i="1"/>
  <c r="Q2057" i="1"/>
  <c r="Q1825" i="1"/>
  <c r="Q1463" i="1"/>
  <c r="Q1292" i="1"/>
  <c r="Q1271" i="1"/>
  <c r="Q1113" i="1"/>
  <c r="O2106" i="1"/>
  <c r="P1702" i="1"/>
  <c r="L1692" i="1"/>
  <c r="P1681" i="1"/>
  <c r="O1590" i="1"/>
  <c r="L1547" i="1"/>
  <c r="L1542" i="1"/>
  <c r="M1537" i="1"/>
  <c r="L1536" i="1"/>
  <c r="N1472" i="1"/>
  <c r="N1398" i="1"/>
  <c r="O1393" i="1"/>
  <c r="L1389" i="1"/>
  <c r="O1305" i="1"/>
  <c r="P1300" i="1"/>
  <c r="O1277" i="1"/>
  <c r="L1099" i="1"/>
  <c r="N909" i="1"/>
  <c r="N941" i="1" s="1"/>
  <c r="N964" i="1" s="1"/>
  <c r="O826" i="1"/>
  <c r="M732" i="1"/>
  <c r="N680" i="1"/>
  <c r="N614" i="1"/>
  <c r="N530" i="1"/>
  <c r="O569" i="1"/>
  <c r="Q1815" i="1"/>
  <c r="Q1462" i="1"/>
  <c r="Q864" i="1"/>
  <c r="Q555" i="1"/>
  <c r="M2296" i="1"/>
  <c r="M1815" i="1"/>
  <c r="O1762" i="1"/>
  <c r="O1702" i="1"/>
  <c r="P1632" i="1"/>
  <c r="N1590" i="1"/>
  <c r="L1537" i="1"/>
  <c r="N1477" i="1"/>
  <c r="M1398" i="1"/>
  <c r="L1310" i="1"/>
  <c r="N1286" i="1"/>
  <c r="L1268" i="1"/>
  <c r="L1109" i="1"/>
  <c r="P876" i="1"/>
  <c r="L732" i="1"/>
  <c r="O708" i="1"/>
  <c r="N548" i="1"/>
  <c r="L279" i="1"/>
  <c r="O1045" i="1"/>
  <c r="O1043" i="1" s="1"/>
  <c r="M271" i="1"/>
  <c r="M260" i="1" s="1"/>
  <c r="P36" i="1"/>
  <c r="Q1687" i="1"/>
  <c r="Q1641" i="1"/>
  <c r="Q1461" i="1"/>
  <c r="Q1389" i="1"/>
  <c r="Q1392" i="1"/>
  <c r="Q1313" i="1"/>
  <c r="Q1269" i="1"/>
  <c r="Q1302" i="1"/>
  <c r="Q1111" i="1"/>
  <c r="Q452" i="1"/>
  <c r="Q451" i="1" s="1"/>
  <c r="Q112" i="1"/>
  <c r="Q340" i="1" s="1"/>
  <c r="O1770" i="1"/>
  <c r="N1637" i="1"/>
  <c r="P1536" i="1"/>
  <c r="L1398" i="1"/>
  <c r="P1383" i="1"/>
  <c r="M1305" i="1"/>
  <c r="O1300" i="1"/>
  <c r="M1286" i="1"/>
  <c r="P1281" i="1"/>
  <c r="P1267" i="1"/>
  <c r="P1283" i="1"/>
  <c r="M1275" i="1"/>
  <c r="L1046" i="1"/>
  <c r="L1043" i="1" s="1"/>
  <c r="N708" i="1"/>
  <c r="L577" i="1"/>
  <c r="M371" i="1"/>
  <c r="M280" i="1"/>
  <c r="M279" i="1" s="1"/>
  <c r="P563" i="1"/>
  <c r="L271" i="1"/>
  <c r="N12" i="1"/>
  <c r="N1751" i="1" s="1"/>
  <c r="Q1686" i="1"/>
  <c r="Q1592" i="1"/>
  <c r="Q1477" i="1"/>
  <c r="Q1388" i="1"/>
  <c r="Q1014" i="1"/>
  <c r="Q1011" i="1" s="1"/>
  <c r="Q771" i="1"/>
  <c r="Q768" i="1" s="1"/>
  <c r="Q763" i="1" s="1"/>
  <c r="Q1400" i="1"/>
  <c r="Q1152" i="1"/>
  <c r="Q732" i="1"/>
  <c r="Q605" i="1"/>
  <c r="Q612" i="1"/>
  <c r="Q99" i="1"/>
  <c r="Q327" i="1" s="1"/>
  <c r="Q343" i="1" s="1"/>
  <c r="Q1620" i="1"/>
  <c r="Q717" i="1"/>
  <c r="Q601" i="1"/>
  <c r="Q613" i="1"/>
  <c r="Q1722" i="1"/>
  <c r="Q35" i="1"/>
  <c r="Q1725" i="1" s="1"/>
  <c r="Q1869" i="1"/>
  <c r="Q1536" i="1"/>
  <c r="Q1105" i="1"/>
  <c r="Q1135" i="1"/>
  <c r="Q730" i="1"/>
  <c r="Q715" i="1"/>
  <c r="Q1903" i="1"/>
  <c r="Q1535" i="1"/>
  <c r="Q1351" i="1"/>
  <c r="Q1277" i="1"/>
  <c r="Q1033" i="1"/>
  <c r="Q1034" i="1" s="1"/>
  <c r="Q1276" i="1"/>
  <c r="Q710" i="1"/>
  <c r="Q713" i="1"/>
  <c r="Q2279" i="1"/>
  <c r="Q2223" i="1"/>
  <c r="Q1298" i="1"/>
  <c r="Q1274" i="1"/>
  <c r="Q969" i="1"/>
  <c r="Q915" i="1"/>
  <c r="Q651" i="1"/>
  <c r="Q594" i="1"/>
  <c r="Q1559" i="1"/>
  <c r="Q1589" i="1"/>
  <c r="Q1518" i="1"/>
  <c r="Q1397" i="1"/>
  <c r="Q1341" i="1"/>
  <c r="Q1297" i="1"/>
  <c r="Q1275" i="1"/>
  <c r="Q1026" i="1"/>
  <c r="Q1120" i="1"/>
  <c r="Q2002" i="1"/>
  <c r="Q1830" i="1"/>
  <c r="Q1296" i="1"/>
  <c r="Q1132" i="1"/>
  <c r="Q1023" i="1"/>
  <c r="Q23" i="1"/>
  <c r="Q1715" i="1"/>
  <c r="Q1978" i="1"/>
  <c r="Q1712" i="1"/>
  <c r="Q2259" i="1"/>
  <c r="Q1480" i="1"/>
  <c r="Q781" i="1"/>
  <c r="Q865" i="1" s="1"/>
  <c r="Q784" i="1"/>
  <c r="Q691" i="1"/>
  <c r="Q657" i="1"/>
  <c r="Q646" i="1"/>
  <c r="Q644" i="1" s="1"/>
  <c r="Q211" i="1"/>
  <c r="Q214" i="1"/>
  <c r="Q213" i="1" s="1"/>
  <c r="Q1391" i="1"/>
  <c r="Q1316" i="1"/>
  <c r="Q1376" i="1"/>
  <c r="Q656" i="1"/>
  <c r="Q2254" i="1"/>
  <c r="Q1891" i="1"/>
  <c r="Q1547" i="1"/>
  <c r="Q1508" i="1"/>
  <c r="Q1411" i="1"/>
  <c r="Q1005" i="1"/>
  <c r="Q1002" i="1" s="1"/>
  <c r="Q800" i="1"/>
  <c r="Q438" i="1"/>
  <c r="Q564" i="1"/>
  <c r="Q2022" i="1"/>
  <c r="Q1954" i="1"/>
  <c r="Q1545" i="1"/>
  <c r="Q1478" i="1"/>
  <c r="Q1291" i="1"/>
  <c r="Q1270" i="1"/>
  <c r="Q1112" i="1"/>
  <c r="Q655" i="1"/>
  <c r="Q1640" i="1"/>
  <c r="Q1631" i="1"/>
  <c r="Q1594" i="1"/>
  <c r="Q1544" i="1"/>
  <c r="Q1290" i="1"/>
  <c r="Q1004" i="1"/>
  <c r="Q997" i="1"/>
  <c r="Q554" i="1"/>
  <c r="Q1639" i="1"/>
  <c r="Q1312" i="1"/>
  <c r="Q1268" i="1"/>
  <c r="Q1110" i="1"/>
  <c r="Q599" i="1"/>
  <c r="Q197" i="1"/>
  <c r="Q201" i="1"/>
  <c r="Q358" i="1"/>
  <c r="Q58" i="1"/>
  <c r="Q12" i="1"/>
  <c r="Q1751" i="1" s="1"/>
  <c r="Q1752" i="1"/>
  <c r="Q2213" i="1"/>
  <c r="Q2114" i="1"/>
  <c r="Q2024" i="1"/>
  <c r="Q1685" i="1"/>
  <c r="Q1543" i="1"/>
  <c r="Q1387" i="1"/>
  <c r="Q1311" i="1"/>
  <c r="Q1109" i="1"/>
  <c r="Q1007" i="1"/>
  <c r="Q1126" i="1" s="1"/>
  <c r="Q967" i="1"/>
  <c r="Q769" i="1"/>
  <c r="Q861" i="1" s="1"/>
  <c r="Q660" i="1"/>
  <c r="Q641" i="1"/>
  <c r="Q1386" i="1"/>
  <c r="Q1265" i="1"/>
  <c r="Q1137" i="1"/>
  <c r="Q367" i="1"/>
  <c r="Q2189" i="1"/>
  <c r="Q1542" i="1"/>
  <c r="Q1503" i="1"/>
  <c r="Q1385" i="1"/>
  <c r="Q1309" i="1"/>
  <c r="Q1213" i="1"/>
  <c r="Q923" i="1"/>
  <c r="Q366" i="1"/>
  <c r="Q1406" i="1"/>
  <c r="Q1465" i="1"/>
  <c r="Q817" i="1"/>
  <c r="Q859" i="1"/>
  <c r="Q699" i="1"/>
  <c r="Q680" i="1"/>
  <c r="Q679" i="1" s="1"/>
  <c r="Q1681" i="1"/>
  <c r="Q51" i="1"/>
  <c r="Q2315" i="1"/>
  <c r="Q2313" i="1"/>
  <c r="Q2276" i="1"/>
  <c r="Q1843" i="1"/>
  <c r="Q1498" i="1"/>
  <c r="Q1533" i="1"/>
  <c r="Q693" i="1"/>
  <c r="Q1734" i="1"/>
  <c r="Q47" i="1"/>
  <c r="Q46" i="1" s="1"/>
  <c r="Q145" i="1"/>
  <c r="Q137" i="1"/>
  <c r="Q2235" i="1"/>
  <c r="Q1678" i="1"/>
  <c r="Q1282" i="1"/>
  <c r="Q927" i="1"/>
  <c r="Q955" i="1"/>
  <c r="Q701" i="1"/>
  <c r="Q42" i="1"/>
  <c r="Q2012" i="1"/>
  <c r="Q1425" i="1"/>
  <c r="Q1327" i="1"/>
  <c r="Q2165" i="1"/>
  <c r="Q1538" i="1"/>
  <c r="Q1281" i="1"/>
  <c r="Q879" i="1"/>
  <c r="Q810" i="1"/>
  <c r="Q795" i="1"/>
  <c r="Q264" i="1"/>
  <c r="Q253" i="1" s="1"/>
  <c r="Q3" i="1"/>
  <c r="Q1743" i="1"/>
  <c r="Q671" i="1"/>
  <c r="Q537" i="1"/>
  <c r="Q549" i="1"/>
  <c r="Q894" i="1"/>
  <c r="Q303" i="1"/>
  <c r="Q219" i="1"/>
  <c r="Q110" i="1"/>
  <c r="Q82" i="1"/>
  <c r="Q36" i="1"/>
  <c r="Q1664" i="1" s="1"/>
  <c r="Q1045" i="1"/>
  <c r="Q1043" i="1" s="1"/>
  <c r="Q1096" i="1" s="1"/>
  <c r="Q1636" i="1"/>
  <c r="Q891" i="1"/>
  <c r="Q888" i="1" s="1"/>
  <c r="Q1496" i="1"/>
  <c r="Q863" i="1"/>
  <c r="Q565" i="1"/>
  <c r="Q270" i="1"/>
  <c r="Q259" i="1" s="1"/>
  <c r="Q1573" i="1"/>
  <c r="Q1469" i="1"/>
  <c r="Q1435" i="1"/>
  <c r="Q529" i="1"/>
  <c r="Q356" i="1"/>
  <c r="Q501" i="1" s="1"/>
  <c r="Q490" i="1" s="1"/>
  <c r="Q268" i="1"/>
  <c r="Q257" i="1" s="1"/>
  <c r="Q355" i="1"/>
  <c r="Q267" i="1"/>
  <c r="Q256" i="1" s="1"/>
  <c r="Q1749" i="1"/>
  <c r="Q1127" i="1"/>
  <c r="Q1062" i="1"/>
  <c r="Q239" i="1"/>
  <c r="Q272" i="1"/>
  <c r="Q261" i="1" s="1"/>
  <c r="Q1125" i="1"/>
  <c r="Q1060" i="1"/>
  <c r="Q933" i="1"/>
  <c r="Q523" i="1"/>
  <c r="Q151" i="1"/>
  <c r="Q1124" i="1"/>
  <c r="Q1057" i="1"/>
  <c r="Q234" i="1"/>
  <c r="Q150" i="1"/>
  <c r="Q881" i="1"/>
  <c r="Q704" i="1"/>
  <c r="Q149" i="1"/>
  <c r="Q107" i="1"/>
  <c r="Q335" i="1" s="1"/>
  <c r="Q351" i="1" s="1"/>
  <c r="Q496" i="1" s="1"/>
  <c r="Q798" i="1"/>
  <c r="Q703" i="1"/>
  <c r="Q148" i="1"/>
  <c r="Q797" i="1"/>
  <c r="Q702" i="1"/>
  <c r="Q202" i="1"/>
  <c r="Q205" i="1" s="1"/>
  <c r="Q878" i="1"/>
  <c r="Q796" i="1"/>
  <c r="Q146" i="1"/>
  <c r="Q545" i="1"/>
  <c r="Q173" i="1"/>
  <c r="Q544" i="1"/>
  <c r="Q331" i="1"/>
  <c r="Q578" i="1"/>
  <c r="Q543" i="1"/>
  <c r="Q1077" i="1"/>
  <c r="Q577" i="1"/>
  <c r="Q542" i="1"/>
  <c r="Q765" i="1"/>
  <c r="Q858" i="1" s="1"/>
  <c r="Q694" i="1"/>
  <c r="Q541" i="1"/>
  <c r="O46" i="1"/>
  <c r="O1735" i="1" s="1"/>
  <c r="O1736" i="1"/>
  <c r="N47" i="1"/>
  <c r="N1736" i="1" s="1"/>
  <c r="H108" i="1"/>
  <c r="N34" i="1"/>
  <c r="N36" i="1"/>
  <c r="L34" i="1"/>
  <c r="O36" i="1"/>
  <c r="O40" i="1" s="1"/>
  <c r="G107" i="1"/>
  <c r="I108" i="1"/>
  <c r="G103" i="1"/>
  <c r="O2259" i="1"/>
  <c r="N2279" i="1"/>
  <c r="P2061" i="1"/>
  <c r="P1508" i="1"/>
  <c r="M2279" i="1"/>
  <c r="N2077" i="1"/>
  <c r="L2279" i="1"/>
  <c r="O2053" i="1"/>
  <c r="P1272" i="1"/>
  <c r="M2315" i="1"/>
  <c r="P1590" i="1"/>
  <c r="N1296" i="1"/>
  <c r="M1310" i="1"/>
  <c r="P2235" i="1"/>
  <c r="P1388" i="1"/>
  <c r="P2240" i="1"/>
  <c r="P2234" i="1" s="1"/>
  <c r="O2235" i="1"/>
  <c r="O2234" i="1" s="1"/>
  <c r="M2235" i="1"/>
  <c r="M2234" i="1" s="1"/>
  <c r="M2213" i="1"/>
  <c r="P2254" i="1"/>
  <c r="L2276" i="1"/>
  <c r="P1470" i="1"/>
  <c r="L1382" i="1"/>
  <c r="P2315" i="1"/>
  <c r="P1639" i="1"/>
  <c r="M1518" i="1"/>
  <c r="M1534" i="1"/>
  <c r="L1786" i="1"/>
  <c r="M1680" i="1"/>
  <c r="N1606" i="1"/>
  <c r="O1594" i="1"/>
  <c r="O1385" i="1"/>
  <c r="O1381" i="1"/>
  <c r="O1109" i="1"/>
  <c r="P2094" i="1"/>
  <c r="M2057" i="1"/>
  <c r="L1803" i="1"/>
  <c r="O1639" i="1"/>
  <c r="M1635" i="1"/>
  <c r="L1552" i="1"/>
  <c r="P1541" i="1"/>
  <c r="N1537" i="1"/>
  <c r="M1480" i="1"/>
  <c r="N1381" i="1"/>
  <c r="O1306" i="1"/>
  <c r="O1302" i="1"/>
  <c r="M1298" i="1"/>
  <c r="L1290" i="1"/>
  <c r="M1203" i="1"/>
  <c r="N1057" i="1"/>
  <c r="M927" i="1"/>
  <c r="M955" i="1"/>
  <c r="O660" i="1"/>
  <c r="O651" i="1"/>
  <c r="O113" i="1"/>
  <c r="N8" i="1"/>
  <c r="N1747" i="1" s="1"/>
  <c r="N1811" i="1"/>
  <c r="O1692" i="1"/>
  <c r="M1594" i="1"/>
  <c r="O1541" i="1"/>
  <c r="N1534" i="1"/>
  <c r="L1480" i="1"/>
  <c r="O1466" i="1"/>
  <c r="O1376" i="1"/>
  <c r="P1378" i="1"/>
  <c r="P1289" i="1"/>
  <c r="P1268" i="1"/>
  <c r="L1125" i="1"/>
  <c r="L1086" i="1"/>
  <c r="M1057" i="1"/>
  <c r="M1123" i="1"/>
  <c r="L927" i="1"/>
  <c r="L955" i="1"/>
  <c r="O587" i="1"/>
  <c r="O586" i="1" s="1"/>
  <c r="P268" i="1"/>
  <c r="P257" i="1" s="1"/>
  <c r="N211" i="1"/>
  <c r="N214" i="1"/>
  <c r="N213" i="1" s="1"/>
  <c r="P2057" i="1"/>
  <c r="O1863" i="1"/>
  <c r="M1811" i="1"/>
  <c r="O1687" i="1"/>
  <c r="P1679" i="1"/>
  <c r="N1639" i="1"/>
  <c r="P1634" i="1"/>
  <c r="L1606" i="1"/>
  <c r="N1306" i="1"/>
  <c r="O1289" i="1"/>
  <c r="P1301" i="1"/>
  <c r="L1057" i="1"/>
  <c r="L1123" i="1"/>
  <c r="P992" i="1"/>
  <c r="P993" i="1" s="1"/>
  <c r="O974" i="1"/>
  <c r="O1110" i="1"/>
  <c r="P449" i="1"/>
  <c r="P452" i="1"/>
  <c r="P451" i="1" s="1"/>
  <c r="L1811" i="1"/>
  <c r="O1766" i="1"/>
  <c r="N1687" i="1"/>
  <c r="M1639" i="1"/>
  <c r="O1634" i="1"/>
  <c r="P1594" i="1"/>
  <c r="O1394" i="1"/>
  <c r="M1281" i="1"/>
  <c r="P1276" i="1"/>
  <c r="N1268" i="1"/>
  <c r="P1152" i="1"/>
  <c r="P1113" i="1"/>
  <c r="M701" i="1"/>
  <c r="L660" i="1"/>
  <c r="L651" i="1"/>
  <c r="N2057" i="1"/>
  <c r="O1891" i="1"/>
  <c r="M1803" i="1"/>
  <c r="N1766" i="1"/>
  <c r="L1639" i="1"/>
  <c r="M1541" i="1"/>
  <c r="P1498" i="1"/>
  <c r="L1475" i="1"/>
  <c r="M1462" i="1"/>
  <c r="O1464" i="1"/>
  <c r="P1389" i="1"/>
  <c r="O1380" i="1"/>
  <c r="M1382" i="1"/>
  <c r="M1306" i="1"/>
  <c r="N1113" i="1"/>
  <c r="O1057" i="1"/>
  <c r="N959" i="1"/>
  <c r="N655" i="1"/>
  <c r="M626" i="1"/>
  <c r="O564" i="1"/>
  <c r="N564" i="1"/>
  <c r="M2102" i="1"/>
  <c r="M2024" i="1"/>
  <c r="N1869" i="1"/>
  <c r="N1862" i="1" s="1"/>
  <c r="O1498" i="1"/>
  <c r="P1474" i="1"/>
  <c r="L1462" i="1"/>
  <c r="M1394" i="1"/>
  <c r="P1384" i="1"/>
  <c r="P1327" i="1"/>
  <c r="L1281" i="1"/>
  <c r="N1152" i="1"/>
  <c r="L1113" i="1"/>
  <c r="O859" i="1"/>
  <c r="O817" i="1"/>
  <c r="M42" i="1"/>
  <c r="M41" i="1" s="1"/>
  <c r="M1730" i="1" s="1"/>
  <c r="L2057" i="1"/>
  <c r="L2050" i="1" s="1"/>
  <c r="P1886" i="1"/>
  <c r="P1885" i="1" s="1"/>
  <c r="P1803" i="1"/>
  <c r="M1679" i="1"/>
  <c r="M1590" i="1"/>
  <c r="N1470" i="1"/>
  <c r="O1411" i="1"/>
  <c r="P1309" i="1"/>
  <c r="M1309" i="1"/>
  <c r="L2077" i="1"/>
  <c r="O1886" i="1"/>
  <c r="O1885" i="1" s="1"/>
  <c r="O1803" i="1"/>
  <c r="N1638" i="1"/>
  <c r="N1503" i="1"/>
  <c r="P1393" i="1"/>
  <c r="N1384" i="1"/>
  <c r="M1276" i="1"/>
  <c r="L1152" i="1"/>
  <c r="N1849" i="1"/>
  <c r="L1825" i="1"/>
  <c r="L1824" i="1" s="1"/>
  <c r="N1803" i="1"/>
  <c r="P1692" i="1"/>
  <c r="P1559" i="1"/>
  <c r="L1479" i="1"/>
  <c r="N1468" i="1"/>
  <c r="N1309" i="1"/>
  <c r="N1305" i="1"/>
  <c r="L1276" i="1"/>
  <c r="M1277" i="1"/>
  <c r="L1157" i="1"/>
  <c r="P967" i="1"/>
  <c r="M700" i="1"/>
  <c r="M231" i="1"/>
  <c r="M581" i="1"/>
  <c r="N358" i="1"/>
  <c r="N150" i="1"/>
  <c r="L2061" i="1"/>
  <c r="M1849" i="1"/>
  <c r="P1815" i="1"/>
  <c r="P1599" i="1"/>
  <c r="N1585" i="1"/>
  <c r="M1400" i="1"/>
  <c r="P1313" i="1"/>
  <c r="O1288" i="1"/>
  <c r="M334" i="1"/>
  <c r="M350" i="1" s="1"/>
  <c r="M495" i="1" s="1"/>
  <c r="M484" i="1" s="1"/>
  <c r="O522" i="1"/>
  <c r="O64" i="1"/>
  <c r="P2106" i="1"/>
  <c r="L1886" i="1"/>
  <c r="L1849" i="1"/>
  <c r="L1843" i="1" s="1"/>
  <c r="O1682" i="1"/>
  <c r="L1638" i="1"/>
  <c r="N1545" i="1"/>
  <c r="M1540" i="1"/>
  <c r="N1465" i="1"/>
  <c r="L1400" i="1"/>
  <c r="M1110" i="1"/>
  <c r="M1033" i="1"/>
  <c r="M1034" i="1" s="1"/>
  <c r="P866" i="1"/>
  <c r="M723" i="1"/>
  <c r="O543" i="1"/>
  <c r="O272" i="1"/>
  <c r="O261" i="1" s="1"/>
  <c r="L2301" i="1"/>
  <c r="M2077" i="1"/>
  <c r="O2061" i="1"/>
  <c r="N1770" i="1"/>
  <c r="M1692" i="1"/>
  <c r="N1686" i="1"/>
  <c r="O1678" i="1"/>
  <c r="O1686" i="1"/>
  <c r="N1599" i="1"/>
  <c r="N1593" i="1" s="1"/>
  <c r="O1589" i="1"/>
  <c r="L1585" i="1"/>
  <c r="M1545" i="1"/>
  <c r="L1508" i="1"/>
  <c r="O1478" i="1"/>
  <c r="O1469" i="1"/>
  <c r="O1388" i="1"/>
  <c r="N1379" i="1"/>
  <c r="L1309" i="1"/>
  <c r="O1292" i="1"/>
  <c r="O1275" i="1"/>
  <c r="P1109" i="1"/>
  <c r="P923" i="1"/>
  <c r="M657" i="1"/>
  <c r="P1043" i="1"/>
  <c r="P1069" i="1" s="1"/>
  <c r="N111" i="1"/>
  <c r="N339" i="1" s="1"/>
  <c r="N355" i="1" s="1"/>
  <c r="N500" i="1"/>
  <c r="P2279" i="1"/>
  <c r="M2276" i="1"/>
  <c r="N2106" i="1"/>
  <c r="P1710" i="1"/>
  <c r="N1702" i="1"/>
  <c r="O1633" i="1"/>
  <c r="N1589" i="1"/>
  <c r="M1559" i="1"/>
  <c r="O1482" i="1"/>
  <c r="N1478" i="1"/>
  <c r="M1377" i="1"/>
  <c r="P1304" i="1"/>
  <c r="P1296" i="1"/>
  <c r="L1271" i="1"/>
  <c r="M1109" i="1"/>
  <c r="N1062" i="1"/>
  <c r="O658" i="1"/>
  <c r="N641" i="1"/>
  <c r="M909" i="1"/>
  <c r="M941" i="1" s="1"/>
  <c r="M964" i="1" s="1"/>
  <c r="N1815" i="1"/>
  <c r="M1686" i="1"/>
  <c r="M1682" i="1"/>
  <c r="N1469" i="1"/>
  <c r="M1388" i="1"/>
  <c r="O1296" i="1"/>
  <c r="P1287" i="1"/>
  <c r="M1266" i="1"/>
  <c r="L967" i="1"/>
  <c r="L941" i="1"/>
  <c r="L964" i="1" s="1"/>
  <c r="L2106" i="1"/>
  <c r="L1686" i="1"/>
  <c r="O1535" i="1"/>
  <c r="M1469" i="1"/>
  <c r="N389" i="1"/>
  <c r="O573" i="1"/>
  <c r="L568" i="1"/>
  <c r="L266" i="1"/>
  <c r="L255" i="1" s="1"/>
  <c r="N1830" i="1"/>
  <c r="M1678" i="1"/>
  <c r="P1641" i="1"/>
  <c r="P1640" i="1" s="1"/>
  <c r="M1482" i="1"/>
  <c r="L1397" i="1"/>
  <c r="P1392" i="1"/>
  <c r="N1279" i="1"/>
  <c r="M1295" i="1"/>
  <c r="O1033" i="1"/>
  <c r="O1034" i="1" s="1"/>
  <c r="M908" i="1"/>
  <c r="M910" i="1"/>
  <c r="M942" i="1" s="1"/>
  <c r="M965" i="1" s="1"/>
  <c r="N672" i="1"/>
  <c r="M1891" i="1"/>
  <c r="O1793" i="1"/>
  <c r="M1786" i="1"/>
  <c r="O1707" i="1"/>
  <c r="P1477" i="1"/>
  <c r="P1468" i="1"/>
  <c r="L1463" i="1"/>
  <c r="P1396" i="1"/>
  <c r="P1387" i="1"/>
  <c r="M1296" i="1"/>
  <c r="O1270" i="1"/>
  <c r="P1137" i="1"/>
  <c r="P1060" i="1"/>
  <c r="O937" i="1"/>
  <c r="L943" i="1"/>
  <c r="L966" i="1" s="1"/>
  <c r="N656" i="1"/>
  <c r="N2061" i="1"/>
  <c r="O1688" i="1"/>
  <c r="O1641" i="1"/>
  <c r="O1640" i="1" s="1"/>
  <c r="P1539" i="1"/>
  <c r="L1496" i="1"/>
  <c r="O1477" i="1"/>
  <c r="P1400" i="1"/>
  <c r="M1287" i="1"/>
  <c r="O1111" i="1"/>
  <c r="O1060" i="1"/>
  <c r="N1050" i="1"/>
  <c r="O732" i="1"/>
  <c r="O265" i="1"/>
  <c r="O254" i="1" s="1"/>
  <c r="O536" i="1"/>
  <c r="O796" i="1"/>
  <c r="M2106" i="1"/>
  <c r="N2084" i="1"/>
  <c r="N2050" i="1" s="1"/>
  <c r="P1866" i="1"/>
  <c r="L1770" i="1"/>
  <c r="N1688" i="1"/>
  <c r="N1685" i="1"/>
  <c r="P1636" i="1"/>
  <c r="O1632" i="1"/>
  <c r="N1588" i="1"/>
  <c r="P1543" i="1"/>
  <c r="P1534" i="1"/>
  <c r="N1378" i="1"/>
  <c r="N1291" i="1"/>
  <c r="L1266" i="1"/>
  <c r="N1111" i="1"/>
  <c r="N1060" i="1"/>
  <c r="O1052" i="1"/>
  <c r="O1049" i="1" s="1"/>
  <c r="O1050" i="1" s="1"/>
  <c r="M863" i="1"/>
  <c r="M771" i="1"/>
  <c r="M768" i="1" s="1"/>
  <c r="M763" i="1" s="1"/>
  <c r="M775" i="1"/>
  <c r="M770" i="1" s="1"/>
  <c r="N662" i="1"/>
  <c r="O591" i="1"/>
  <c r="O590" i="1" s="1"/>
  <c r="N579" i="1"/>
  <c r="P173" i="1"/>
  <c r="M173" i="1"/>
  <c r="M567" i="1"/>
  <c r="O1866" i="1"/>
  <c r="M1641" i="1"/>
  <c r="N1547" i="1"/>
  <c r="P1282" i="1"/>
  <c r="N1079" i="1"/>
  <c r="N1105" i="1"/>
  <c r="L2084" i="1"/>
  <c r="N1866" i="1"/>
  <c r="N1793" i="1"/>
  <c r="P1793" i="1"/>
  <c r="N1786" i="1"/>
  <c r="L1688" i="1"/>
  <c r="N1636" i="1"/>
  <c r="N1632" i="1"/>
  <c r="L1588" i="1"/>
  <c r="M1547" i="1"/>
  <c r="M1546" i="1" s="1"/>
  <c r="L1539" i="1"/>
  <c r="O1481" i="1"/>
  <c r="L1464" i="1"/>
  <c r="M1396" i="1"/>
  <c r="O1382" i="1"/>
  <c r="M1312" i="1"/>
  <c r="L1308" i="1"/>
  <c r="P1286" i="1"/>
  <c r="M1274" i="1"/>
  <c r="M1280" i="1"/>
  <c r="N1101" i="1"/>
  <c r="M912" i="1"/>
  <c r="M967" i="1" s="1"/>
  <c r="M710" i="1"/>
  <c r="M713" i="1"/>
  <c r="N693" i="1"/>
  <c r="N690" i="1" s="1"/>
  <c r="L579" i="1"/>
  <c r="L227" i="1"/>
  <c r="L2053" i="1"/>
  <c r="P1645" i="1"/>
  <c r="M1543" i="1"/>
  <c r="L1477" i="1"/>
  <c r="P1463" i="1"/>
  <c r="O1303" i="1"/>
  <c r="M911" i="1"/>
  <c r="M943" i="1" s="1"/>
  <c r="M966" i="1" s="1"/>
  <c r="O2279" i="1"/>
  <c r="O2254" i="1"/>
  <c r="L2094" i="1"/>
  <c r="O2084" i="1"/>
  <c r="L1866" i="1"/>
  <c r="P1811" i="1"/>
  <c r="M1762" i="1"/>
  <c r="M1685" i="1"/>
  <c r="L1592" i="1"/>
  <c r="O1587" i="1"/>
  <c r="P1552" i="1"/>
  <c r="L1543" i="1"/>
  <c r="M1481" i="1"/>
  <c r="O1463" i="1"/>
  <c r="O1391" i="1"/>
  <c r="O1386" i="1"/>
  <c r="O1307" i="1"/>
  <c r="P1290" i="1"/>
  <c r="L1135" i="1"/>
  <c r="P771" i="1"/>
  <c r="P768" i="1" s="1"/>
  <c r="P763" i="1" s="1"/>
  <c r="P773" i="1"/>
  <c r="P1844" i="1"/>
  <c r="P1843" i="1" s="1"/>
  <c r="M1606" i="1"/>
  <c r="P1591" i="1"/>
  <c r="N1538" i="1"/>
  <c r="L1481" i="1"/>
  <c r="L1425" i="1"/>
  <c r="M1406" i="1"/>
  <c r="L1299" i="1"/>
  <c r="O1273" i="1"/>
  <c r="L1079" i="1"/>
  <c r="M971" i="1"/>
  <c r="M961" i="1"/>
  <c r="N832" i="1"/>
  <c r="O661" i="1"/>
  <c r="N576" i="1"/>
  <c r="M211" i="1"/>
  <c r="M214" i="1"/>
  <c r="M213" i="1" s="1"/>
  <c r="L546" i="1"/>
  <c r="L202" i="1"/>
  <c r="L205" i="1" s="1"/>
  <c r="O2094" i="1"/>
  <c r="M2084" i="1"/>
  <c r="L1793" i="1"/>
  <c r="O1786" i="1"/>
  <c r="N1684" i="1"/>
  <c r="P1633" i="1"/>
  <c r="M1587" i="1"/>
  <c r="O1542" i="1"/>
  <c r="N1322" i="1"/>
  <c r="M1265" i="1"/>
  <c r="N773" i="1"/>
  <c r="N771" i="1"/>
  <c r="N768" i="1" s="1"/>
  <c r="M1684" i="1"/>
  <c r="P1606" i="1"/>
  <c r="L1411" i="1"/>
  <c r="L1341" i="1"/>
  <c r="O1103" i="1"/>
  <c r="O1077" i="1"/>
  <c r="L1110" i="1"/>
  <c r="L1124" i="1"/>
  <c r="P1025" i="1"/>
  <c r="P1022" i="1" s="1"/>
  <c r="M717" i="1"/>
  <c r="M555" i="1"/>
  <c r="M2094" i="1"/>
  <c r="O2057" i="1"/>
  <c r="M1869" i="1"/>
  <c r="M1862" i="1" s="1"/>
  <c r="N1680" i="1"/>
  <c r="O1635" i="1"/>
  <c r="L1467" i="1"/>
  <c r="P1395" i="1"/>
  <c r="L1311" i="1"/>
  <c r="N1294" i="1"/>
  <c r="P1123" i="1"/>
  <c r="M1498" i="1"/>
  <c r="O1383" i="1"/>
  <c r="N1316" i="1"/>
  <c r="M1311" i="1"/>
  <c r="P1299" i="1"/>
  <c r="M1292" i="1"/>
  <c r="P1293" i="1"/>
  <c r="M846" i="1"/>
  <c r="P708" i="1"/>
  <c r="O676" i="1"/>
  <c r="O662" i="1" s="1"/>
  <c r="N701" i="1"/>
  <c r="P657" i="1"/>
  <c r="L401" i="1"/>
  <c r="N227" i="1"/>
  <c r="O208" i="1"/>
  <c r="O271" i="1"/>
  <c r="O260" i="1" s="1"/>
  <c r="P100" i="1"/>
  <c r="P328" i="1" s="1"/>
  <c r="P344" i="1" s="1"/>
  <c r="M8" i="1"/>
  <c r="M1747" i="1" s="1"/>
  <c r="P1269" i="1"/>
  <c r="P1265" i="1"/>
  <c r="L1301" i="1"/>
  <c r="P1135" i="1"/>
  <c r="L860" i="1"/>
  <c r="N798" i="1"/>
  <c r="L715" i="1"/>
  <c r="N704" i="1"/>
  <c r="O442" i="1"/>
  <c r="O441" i="1" s="1"/>
  <c r="O570" i="1"/>
  <c r="L436" i="1"/>
  <c r="O100" i="1"/>
  <c r="O328" i="1" s="1"/>
  <c r="O344" i="1" s="1"/>
  <c r="P529" i="1"/>
  <c r="P42" i="1"/>
  <c r="P41" i="1" s="1"/>
  <c r="P1730" i="1" s="1"/>
  <c r="N1394" i="1"/>
  <c r="M1303" i="1"/>
  <c r="N1299" i="1"/>
  <c r="P1295" i="1"/>
  <c r="O1269" i="1"/>
  <c r="O1297" i="1"/>
  <c r="N1274" i="1"/>
  <c r="L1072" i="1"/>
  <c r="L1098" i="1" s="1"/>
  <c r="N955" i="1"/>
  <c r="P859" i="1"/>
  <c r="L661" i="1"/>
  <c r="P594" i="1"/>
  <c r="P524" i="1"/>
  <c r="N279" i="1"/>
  <c r="L151" i="1"/>
  <c r="O42" i="1"/>
  <c r="O41" i="1" s="1"/>
  <c r="O1730" i="1" s="1"/>
  <c r="L1544" i="1"/>
  <c r="N1535" i="1"/>
  <c r="L1476" i="1"/>
  <c r="N1471" i="1"/>
  <c r="O1467" i="1"/>
  <c r="M1383" i="1"/>
  <c r="P1310" i="1"/>
  <c r="L1307" i="1"/>
  <c r="M1299" i="1"/>
  <c r="O1295" i="1"/>
  <c r="P1277" i="1"/>
  <c r="L957" i="1"/>
  <c r="P911" i="1"/>
  <c r="P943" i="1" s="1"/>
  <c r="P966" i="1" s="1"/>
  <c r="L798" i="1"/>
  <c r="L676" i="1"/>
  <c r="L662" i="1" s="1"/>
  <c r="N657" i="1"/>
  <c r="P660" i="1"/>
  <c r="L578" i="1"/>
  <c r="N571" i="1"/>
  <c r="P294" i="1"/>
  <c r="N82" i="1"/>
  <c r="N42" i="1"/>
  <c r="N41" i="1" s="1"/>
  <c r="N1730" i="1" s="1"/>
  <c r="M1535" i="1"/>
  <c r="N1467" i="1"/>
  <c r="M1395" i="1"/>
  <c r="L1391" i="1"/>
  <c r="L1387" i="1"/>
  <c r="L1379" i="1"/>
  <c r="O1310" i="1"/>
  <c r="M1284" i="1"/>
  <c r="O1280" i="1"/>
  <c r="N1269" i="1"/>
  <c r="P1110" i="1"/>
  <c r="M997" i="1"/>
  <c r="O961" i="1"/>
  <c r="N859" i="1"/>
  <c r="N797" i="1"/>
  <c r="N732" i="1"/>
  <c r="L708" i="1"/>
  <c r="P700" i="1"/>
  <c r="N613" i="1"/>
  <c r="P389" i="1"/>
  <c r="M436" i="1"/>
  <c r="L570" i="1"/>
  <c r="P112" i="1"/>
  <c r="O1475" i="1"/>
  <c r="L1395" i="1"/>
  <c r="P1386" i="1"/>
  <c r="N1310" i="1"/>
  <c r="L1284" i="1"/>
  <c r="M1297" i="1"/>
  <c r="N1103" i="1"/>
  <c r="N888" i="1"/>
  <c r="N887" i="1" s="1"/>
  <c r="M705" i="1"/>
  <c r="O631" i="1"/>
  <c r="O389" i="1"/>
  <c r="M304" i="1"/>
  <c r="P569" i="1"/>
  <c r="N169" i="1"/>
  <c r="N340" i="1"/>
  <c r="N356" i="1" s="1"/>
  <c r="O1272" i="1"/>
  <c r="L703" i="1"/>
  <c r="P646" i="1"/>
  <c r="P644" i="1" s="1"/>
  <c r="L657" i="1"/>
  <c r="L580" i="1"/>
  <c r="L442" i="1"/>
  <c r="L575" i="1" s="1"/>
  <c r="M578" i="1"/>
  <c r="P1721" i="1"/>
  <c r="P636" i="1"/>
  <c r="L608" i="1"/>
  <c r="M613" i="1"/>
  <c r="P579" i="1"/>
  <c r="M522" i="1"/>
  <c r="O464" i="1"/>
  <c r="M389" i="1"/>
  <c r="L371" i="1"/>
  <c r="N273" i="1"/>
  <c r="M70" i="1"/>
  <c r="L878" i="1"/>
  <c r="M864" i="1"/>
  <c r="P693" i="1"/>
  <c r="P690" i="1" s="1"/>
  <c r="P608" i="1"/>
  <c r="M594" i="1"/>
  <c r="M590" i="1" s="1"/>
  <c r="O579" i="1"/>
  <c r="L1267" i="1"/>
  <c r="N987" i="1"/>
  <c r="N986" i="1" s="1"/>
  <c r="O876" i="1"/>
  <c r="L826" i="1"/>
  <c r="L631" i="1"/>
  <c r="N587" i="1"/>
  <c r="N586" i="1" s="1"/>
  <c r="M187" i="1"/>
  <c r="M186" i="1" s="1"/>
  <c r="N161" i="1"/>
  <c r="M656" i="1"/>
  <c r="O577" i="1"/>
  <c r="O101" i="1"/>
  <c r="O329" i="1" s="1"/>
  <c r="O345" i="1" s="1"/>
  <c r="O795" i="1"/>
  <c r="O699" i="1"/>
  <c r="M608" i="1"/>
  <c r="O452" i="1"/>
  <c r="O451" i="1" s="1"/>
  <c r="M215" i="1"/>
  <c r="L161" i="1"/>
  <c r="M525" i="1"/>
  <c r="L699" i="1"/>
  <c r="N599" i="1"/>
  <c r="M545" i="1"/>
  <c r="M832" i="1"/>
  <c r="O769" i="1"/>
  <c r="O861" i="1" s="1"/>
  <c r="P680" i="1"/>
  <c r="O545" i="1"/>
  <c r="M58" i="1"/>
  <c r="M57" i="1" s="1"/>
  <c r="O680" i="1"/>
  <c r="M659" i="1"/>
  <c r="O568" i="1"/>
  <c r="N282" i="1"/>
  <c r="L1377" i="1"/>
  <c r="N1278" i="1"/>
  <c r="O994" i="1"/>
  <c r="O1007" i="1" s="1"/>
  <c r="O1006" i="1" s="1"/>
  <c r="O992" i="1"/>
  <c r="O993" i="1" s="1"/>
  <c r="N974" i="1"/>
  <c r="M876" i="1"/>
  <c r="O771" i="1"/>
  <c r="O768" i="1" s="1"/>
  <c r="O763" i="1" s="1"/>
  <c r="P591" i="1"/>
  <c r="P590" i="1" s="1"/>
  <c r="L572" i="1"/>
  <c r="P573" i="1"/>
  <c r="M298" i="1"/>
  <c r="M302" i="1" s="1"/>
  <c r="L282" i="1"/>
  <c r="O572" i="1"/>
  <c r="L974" i="1"/>
  <c r="P658" i="1"/>
  <c r="L655" i="1"/>
  <c r="O598" i="1"/>
  <c r="O151" i="1"/>
  <c r="M74" i="1"/>
  <c r="M1477" i="1"/>
  <c r="P1472" i="1"/>
  <c r="L1465" i="1"/>
  <c r="O1396" i="1"/>
  <c r="O1392" i="1"/>
  <c r="N1388" i="1"/>
  <c r="N1380" i="1"/>
  <c r="M1384" i="1"/>
  <c r="P1266" i="1"/>
  <c r="L1272" i="1"/>
  <c r="N1046" i="1"/>
  <c r="N1043" i="1" s="1"/>
  <c r="L994" i="1"/>
  <c r="L1014" i="1" s="1"/>
  <c r="L1011" i="1" s="1"/>
  <c r="M970" i="1"/>
  <c r="P305" i="1"/>
  <c r="L23" i="1"/>
  <c r="L1714" i="1" s="1"/>
  <c r="M781" i="1"/>
  <c r="M865" i="1" s="1"/>
  <c r="O705" i="1"/>
  <c r="M614" i="1"/>
  <c r="P605" i="1"/>
  <c r="N525" i="1"/>
  <c r="M36" i="1"/>
  <c r="M658" i="1"/>
  <c r="L591" i="1"/>
  <c r="M401" i="1"/>
  <c r="L112" i="1"/>
  <c r="L340" i="1" s="1"/>
  <c r="L356" i="1" s="1"/>
  <c r="L501" i="1" s="1"/>
  <c r="L490" i="1" s="1"/>
  <c r="L36" i="1"/>
  <c r="M662" i="1"/>
  <c r="P661" i="1"/>
  <c r="N658" i="1"/>
  <c r="M530" i="1"/>
  <c r="P1684" i="1"/>
  <c r="L1645" i="1"/>
  <c r="L1641" i="1"/>
  <c r="O1592" i="1"/>
  <c r="P1588" i="1"/>
  <c r="L1545" i="1"/>
  <c r="N1508" i="1"/>
  <c r="O1480" i="1"/>
  <c r="M1472" i="1"/>
  <c r="N1464" i="1"/>
  <c r="N1460" i="1"/>
  <c r="P1307" i="1"/>
  <c r="P1303" i="1"/>
  <c r="N1281" i="1"/>
  <c r="P1273" i="1"/>
  <c r="M1270" i="1"/>
  <c r="L1305" i="1"/>
  <c r="P969" i="1"/>
  <c r="M937" i="1"/>
  <c r="L968" i="1"/>
  <c r="O860" i="1"/>
  <c r="O800" i="1"/>
  <c r="M695" i="1"/>
  <c r="L705" i="1"/>
  <c r="P701" i="1"/>
  <c r="N605" i="1"/>
  <c r="L389" i="1"/>
  <c r="L397" i="1"/>
  <c r="M556" i="1"/>
  <c r="L106" i="1"/>
  <c r="L334" i="1" s="1"/>
  <c r="L350" i="1" s="1"/>
  <c r="L495" i="1" s="1"/>
  <c r="L484" i="1" s="1"/>
  <c r="O1025" i="1"/>
  <c r="O1022" i="1" s="1"/>
  <c r="O1021" i="1" s="1"/>
  <c r="P1114" i="1"/>
  <c r="L1114" i="1"/>
  <c r="P1099" i="1"/>
  <c r="L920" i="1"/>
  <c r="O920" i="1"/>
  <c r="N2234" i="1"/>
  <c r="N1731" i="1"/>
  <c r="M1731" i="1"/>
  <c r="M1043" i="1"/>
  <c r="M1069" i="1" s="1"/>
  <c r="M880" i="1"/>
  <c r="M563" i="1"/>
  <c r="N879" i="1"/>
  <c r="O1036" i="1"/>
  <c r="M1036" i="1"/>
  <c r="P270" i="1"/>
  <c r="P259" i="1" s="1"/>
  <c r="P1105" i="1"/>
  <c r="P1052" i="1"/>
  <c r="P1049" i="1" s="1"/>
  <c r="P1050" i="1" s="1"/>
  <c r="O2165" i="1"/>
  <c r="N2213" i="1"/>
  <c r="O2012" i="1"/>
  <c r="N2254" i="1"/>
  <c r="O2189" i="1"/>
  <c r="N2012" i="1"/>
  <c r="M2254" i="1"/>
  <c r="P2012" i="1"/>
  <c r="P2301" i="1"/>
  <c r="P2295" i="1" s="1"/>
  <c r="L2254" i="1"/>
  <c r="L2253" i="1" s="1"/>
  <c r="M2012" i="1"/>
  <c r="L2012" i="1"/>
  <c r="P1978" i="1"/>
  <c r="O1978" i="1"/>
  <c r="L1954" i="1"/>
  <c r="L2223" i="1"/>
  <c r="N1978" i="1"/>
  <c r="M1978" i="1"/>
  <c r="O2301" i="1"/>
  <c r="L1978" i="1"/>
  <c r="L2296" i="1"/>
  <c r="M2259" i="1"/>
  <c r="N2189" i="1"/>
  <c r="O2114" i="1"/>
  <c r="P1954" i="1"/>
  <c r="M2114" i="1"/>
  <c r="M2301" i="1"/>
  <c r="O2276" i="1"/>
  <c r="P2189" i="1"/>
  <c r="N2301" i="1"/>
  <c r="N2295" i="1" s="1"/>
  <c r="O2022" i="1"/>
  <c r="N2276" i="1"/>
  <c r="N2165" i="1"/>
  <c r="L2114" i="1"/>
  <c r="N2024" i="1"/>
  <c r="M2022" i="1"/>
  <c r="O2223" i="1"/>
  <c r="N1954" i="1"/>
  <c r="O2296" i="1"/>
  <c r="L2273" i="1"/>
  <c r="P2259" i="1"/>
  <c r="P2253" i="1" s="1"/>
  <c r="N2259" i="1"/>
  <c r="P2114" i="1"/>
  <c r="L2024" i="1"/>
  <c r="P2165" i="1"/>
  <c r="N2114" i="1"/>
  <c r="P2024" i="1"/>
  <c r="P2313" i="1"/>
  <c r="P2223" i="1"/>
  <c r="L2213" i="1"/>
  <c r="M2165" i="1"/>
  <c r="O2313" i="1"/>
  <c r="O2315" i="1"/>
  <c r="N2223" i="1"/>
  <c r="M2189" i="1"/>
  <c r="L2165" i="1"/>
  <c r="N2315" i="1"/>
  <c r="N2313" i="1"/>
  <c r="L2189" i="1"/>
  <c r="M2313" i="1"/>
  <c r="L2002" i="1"/>
  <c r="N1552" i="1"/>
  <c r="N1587" i="1"/>
  <c r="M2223" i="1"/>
  <c r="P2022" i="1"/>
  <c r="N2022" i="1"/>
  <c r="L1649" i="1"/>
  <c r="L1684" i="1"/>
  <c r="P1533" i="1"/>
  <c r="P1518" i="1"/>
  <c r="P2002" i="1"/>
  <c r="P1491" i="1"/>
  <c r="P1490" i="1" s="1"/>
  <c r="P1496" i="1"/>
  <c r="P2213" i="1"/>
  <c r="L2022" i="1"/>
  <c r="O1844" i="1"/>
  <c r="N1518" i="1"/>
  <c r="N1533" i="1"/>
  <c r="O2002" i="1"/>
  <c r="P1903" i="1"/>
  <c r="L2313" i="1"/>
  <c r="O2213" i="1"/>
  <c r="M1843" i="1"/>
  <c r="O1599" i="1"/>
  <c r="N1541" i="1"/>
  <c r="L1518" i="1"/>
  <c r="L1533" i="1"/>
  <c r="N2002" i="1"/>
  <c r="L1590" i="1"/>
  <c r="L1559" i="1"/>
  <c r="N1550" i="1"/>
  <c r="N1586" i="1"/>
  <c r="P1863" i="1"/>
  <c r="P1862" i="1" s="1"/>
  <c r="M2002" i="1"/>
  <c r="N1903" i="1"/>
  <c r="O1559" i="1"/>
  <c r="L1541" i="1"/>
  <c r="M1903" i="1"/>
  <c r="L1903" i="1"/>
  <c r="L1599" i="1"/>
  <c r="P1573" i="1"/>
  <c r="L1435" i="1"/>
  <c r="L1461" i="1"/>
  <c r="O1825" i="1"/>
  <c r="N1678" i="1"/>
  <c r="N1641" i="1"/>
  <c r="P1435" i="1"/>
  <c r="P1460" i="1"/>
  <c r="O1573" i="1"/>
  <c r="O1849" i="1"/>
  <c r="M1825" i="1"/>
  <c r="N1584" i="1"/>
  <c r="N1573" i="1"/>
  <c r="N1886" i="1"/>
  <c r="M1707" i="1"/>
  <c r="M1584" i="1"/>
  <c r="M1573" i="1"/>
  <c r="M1885" i="1"/>
  <c r="O1645" i="1"/>
  <c r="O1681" i="1"/>
  <c r="M1632" i="1"/>
  <c r="L1584" i="1"/>
  <c r="L1573" i="1"/>
  <c r="M1486" i="1"/>
  <c r="M1489" i="1"/>
  <c r="L1707" i="1"/>
  <c r="N1645" i="1"/>
  <c r="N1681" i="1"/>
  <c r="M1633" i="1"/>
  <c r="M1597" i="1"/>
  <c r="O1954" i="1"/>
  <c r="O1903" i="1"/>
  <c r="M1645" i="1"/>
  <c r="P1584" i="1"/>
  <c r="P1547" i="1"/>
  <c r="P1587" i="1"/>
  <c r="O1547" i="1"/>
  <c r="O1584" i="1"/>
  <c r="P1425" i="1"/>
  <c r="P1830" i="1"/>
  <c r="P1824" i="1" s="1"/>
  <c r="P1687" i="1"/>
  <c r="N1592" i="1"/>
  <c r="N1567" i="1"/>
  <c r="N1891" i="1"/>
  <c r="O1830" i="1"/>
  <c r="O1631" i="1"/>
  <c r="O1620" i="1"/>
  <c r="O1606" i="1"/>
  <c r="M1954" i="1"/>
  <c r="N1631" i="1"/>
  <c r="N1620" i="1"/>
  <c r="M1631" i="1"/>
  <c r="M1620" i="1"/>
  <c r="L1891" i="1"/>
  <c r="L1620" i="1"/>
  <c r="L1631" i="1"/>
  <c r="N1591" i="1"/>
  <c r="P1589" i="1"/>
  <c r="P1489" i="1"/>
  <c r="P1620" i="1"/>
  <c r="P1538" i="1"/>
  <c r="P1503" i="1"/>
  <c r="O1496" i="1"/>
  <c r="N1489" i="1"/>
  <c r="M1466" i="1"/>
  <c r="M1279" i="1"/>
  <c r="O1503" i="1"/>
  <c r="O1497" i="1" s="1"/>
  <c r="N1493" i="1"/>
  <c r="N1496" i="1"/>
  <c r="L1489" i="1"/>
  <c r="M1425" i="1"/>
  <c r="M1322" i="1"/>
  <c r="N1180" i="1"/>
  <c r="M1468" i="1"/>
  <c r="L1390" i="1"/>
  <c r="P1385" i="1"/>
  <c r="N1559" i="1"/>
  <c r="O1489" i="1"/>
  <c r="O1400" i="1"/>
  <c r="M1378" i="1"/>
  <c r="O1301" i="1"/>
  <c r="L1203" i="1"/>
  <c r="M1180" i="1"/>
  <c r="P1614" i="1"/>
  <c r="P1411" i="1"/>
  <c r="L1378" i="1"/>
  <c r="M1503" i="1"/>
  <c r="N1400" i="1"/>
  <c r="N1389" i="1"/>
  <c r="N1385" i="1"/>
  <c r="L1180" i="1"/>
  <c r="L1296" i="1"/>
  <c r="P1544" i="1"/>
  <c r="L1471" i="1"/>
  <c r="N1411" i="1"/>
  <c r="N1393" i="1"/>
  <c r="M1389" i="1"/>
  <c r="P1341" i="1"/>
  <c r="N1293" i="1"/>
  <c r="M1213" i="1"/>
  <c r="O1157" i="1"/>
  <c r="O1282" i="1"/>
  <c r="N1710" i="1"/>
  <c r="O1493" i="1"/>
  <c r="M1278" i="1"/>
  <c r="N1157" i="1"/>
  <c r="M1493" i="1"/>
  <c r="M1411" i="1"/>
  <c r="M1393" i="1"/>
  <c r="P1157" i="1"/>
  <c r="M1157" i="1"/>
  <c r="N1137" i="1"/>
  <c r="L1710" i="1"/>
  <c r="M1099" i="1"/>
  <c r="M1132" i="1"/>
  <c r="O1486" i="1"/>
  <c r="P1462" i="1"/>
  <c r="O1266" i="1"/>
  <c r="O1213" i="1"/>
  <c r="P1473" i="1"/>
  <c r="P1316" i="1"/>
  <c r="L1137" i="1"/>
  <c r="O1435" i="1"/>
  <c r="P1351" i="1"/>
  <c r="O1316" i="1"/>
  <c r="N1277" i="1"/>
  <c r="O1552" i="1"/>
  <c r="O1533" i="1"/>
  <c r="M1460" i="1"/>
  <c r="M1392" i="1"/>
  <c r="L1270" i="1"/>
  <c r="L1470" i="1"/>
  <c r="M1316" i="1"/>
  <c r="N1273" i="1"/>
  <c r="P1406" i="1"/>
  <c r="M1351" i="1"/>
  <c r="N1327" i="1"/>
  <c r="N1036" i="1"/>
  <c r="N1037" i="1"/>
  <c r="M1533" i="1"/>
  <c r="O1406" i="1"/>
  <c r="P1391" i="1"/>
  <c r="M1327" i="1"/>
  <c r="L1316" i="1"/>
  <c r="N1406" i="1"/>
  <c r="P1379" i="1"/>
  <c r="L1351" i="1"/>
  <c r="L1376" i="1"/>
  <c r="N1536" i="1"/>
  <c r="O1460" i="1"/>
  <c r="N1435" i="1"/>
  <c r="L1327" i="1"/>
  <c r="N1213" i="1"/>
  <c r="O1539" i="1"/>
  <c r="O1395" i="1"/>
  <c r="O1351" i="1"/>
  <c r="O1276" i="1"/>
  <c r="N1314" i="1"/>
  <c r="L1036" i="1"/>
  <c r="L1037" i="1"/>
  <c r="O1518" i="1"/>
  <c r="L1406" i="1"/>
  <c r="N1395" i="1"/>
  <c r="M1387" i="1"/>
  <c r="O1462" i="1"/>
  <c r="O1341" i="1"/>
  <c r="N1272" i="1"/>
  <c r="N1341" i="1"/>
  <c r="L1280" i="1"/>
  <c r="L1213" i="1"/>
  <c r="P1376" i="1"/>
  <c r="M1341" i="1"/>
  <c r="P1322" i="1"/>
  <c r="P1203" i="1"/>
  <c r="P1314" i="1" s="1"/>
  <c r="N1120" i="1"/>
  <c r="N1026" i="1"/>
  <c r="N1025" i="1" s="1"/>
  <c r="N1022" i="1" s="1"/>
  <c r="O1425" i="1"/>
  <c r="P1213" i="1"/>
  <c r="O1203" i="1"/>
  <c r="P1180" i="1"/>
  <c r="P997" i="1"/>
  <c r="P961" i="1"/>
  <c r="P933" i="1"/>
  <c r="L1265" i="1"/>
  <c r="N1112" i="1"/>
  <c r="L1062" i="1"/>
  <c r="O997" i="1"/>
  <c r="N997" i="1"/>
  <c r="N1351" i="1"/>
  <c r="L1103" i="1"/>
  <c r="O1062" i="1"/>
  <c r="M1025" i="1"/>
  <c r="M1022" i="1" s="1"/>
  <c r="L1088" i="1"/>
  <c r="M987" i="1"/>
  <c r="M986" i="1" s="1"/>
  <c r="L1120" i="1"/>
  <c r="L1026" i="1"/>
  <c r="L1025" i="1" s="1"/>
  <c r="L1022" i="1" s="1"/>
  <c r="L987" i="1"/>
  <c r="L986" i="1" s="1"/>
  <c r="P977" i="1"/>
  <c r="P927" i="1"/>
  <c r="P955" i="1"/>
  <c r="M1435" i="1"/>
  <c r="N1135" i="1"/>
  <c r="M1111" i="1"/>
  <c r="N1073" i="1"/>
  <c r="O977" i="1"/>
  <c r="O1079" i="1"/>
  <c r="O1122" i="1"/>
  <c r="N994" i="1"/>
  <c r="N1007" i="1" s="1"/>
  <c r="M1079" i="1"/>
  <c r="P1037" i="1"/>
  <c r="O1023" i="1"/>
  <c r="M977" i="1"/>
  <c r="M1273" i="1"/>
  <c r="O1133" i="1"/>
  <c r="M1122" i="1"/>
  <c r="L1101" i="1"/>
  <c r="L1133" i="1"/>
  <c r="M1073" i="1"/>
  <c r="L1122" i="1"/>
  <c r="P1072" i="1"/>
  <c r="P1098" i="1" s="1"/>
  <c r="M1011" i="1"/>
  <c r="M1052" i="1"/>
  <c r="M1049" i="1" s="1"/>
  <c r="M1050" i="1" s="1"/>
  <c r="P1120" i="1"/>
  <c r="N1109" i="1"/>
  <c r="M1060" i="1"/>
  <c r="P1033" i="1"/>
  <c r="P1034" i="1" s="1"/>
  <c r="L1093" i="1"/>
  <c r="N1072" i="1"/>
  <c r="N1098" i="1" s="1"/>
  <c r="L1052" i="1"/>
  <c r="L1049" i="1" s="1"/>
  <c r="L1050" i="1" s="1"/>
  <c r="N1284" i="1"/>
  <c r="P1065" i="1"/>
  <c r="M1037" i="1"/>
  <c r="L1132" i="1"/>
  <c r="L1007" i="1"/>
  <c r="L1126" i="1" s="1"/>
  <c r="N1110" i="1"/>
  <c r="L1033" i="1"/>
  <c r="L1034" i="1" s="1"/>
  <c r="M1007" i="1"/>
  <c r="L992" i="1"/>
  <c r="L993" i="1" s="1"/>
  <c r="M1023" i="1"/>
  <c r="O1137" i="1"/>
  <c r="L1065" i="1"/>
  <c r="L1023" i="1"/>
  <c r="P1036" i="1"/>
  <c r="M974" i="1"/>
  <c r="M1137" i="1"/>
  <c r="L1127" i="1"/>
  <c r="N990" i="1"/>
  <c r="P1306" i="1"/>
  <c r="O1180" i="1"/>
  <c r="M1077" i="1"/>
  <c r="M990" i="1"/>
  <c r="M1113" i="1"/>
  <c r="M1005" i="1"/>
  <c r="M1002" i="1" s="1"/>
  <c r="L990" i="1"/>
  <c r="O1152" i="1"/>
  <c r="O1113" i="1"/>
  <c r="N956" i="1"/>
  <c r="M862" i="1"/>
  <c r="M823" i="1"/>
  <c r="O781" i="1"/>
  <c r="O865" i="1" s="1"/>
  <c r="O864" i="1"/>
  <c r="P769" i="1"/>
  <c r="P861" i="1" s="1"/>
  <c r="M765" i="1"/>
  <c r="M858" i="1" s="1"/>
  <c r="M956" i="1"/>
  <c r="O900" i="1"/>
  <c r="O923" i="1"/>
  <c r="O894" i="1"/>
  <c r="L862" i="1"/>
  <c r="L823" i="1"/>
  <c r="N863" i="1"/>
  <c r="N781" i="1"/>
  <c r="N865" i="1" s="1"/>
  <c r="N661" i="1"/>
  <c r="M661" i="1"/>
  <c r="M641" i="1"/>
  <c r="L604" i="1"/>
  <c r="M949" i="1"/>
  <c r="N923" i="1"/>
  <c r="N894" i="1"/>
  <c r="P823" i="1"/>
  <c r="M784" i="1"/>
  <c r="N877" i="1"/>
  <c r="M810" i="1"/>
  <c r="M879" i="1"/>
  <c r="P713" i="1"/>
  <c r="P712" i="1"/>
  <c r="M900" i="1"/>
  <c r="M923" i="1"/>
  <c r="L863" i="1"/>
  <c r="L781" i="1"/>
  <c r="L865" i="1" s="1"/>
  <c r="L784" i="1"/>
  <c r="N703" i="1"/>
  <c r="O947" i="1"/>
  <c r="O969" i="1"/>
  <c r="O959" i="1"/>
  <c r="O933" i="1"/>
  <c r="P810" i="1"/>
  <c r="P879" i="1"/>
  <c r="N769" i="1"/>
  <c r="N861" i="1" s="1"/>
  <c r="P281" i="1"/>
  <c r="P798" i="1"/>
  <c r="O955" i="1"/>
  <c r="N947" i="1"/>
  <c r="N969" i="1"/>
  <c r="L894" i="1"/>
  <c r="L900" i="1"/>
  <c r="L923" i="1"/>
  <c r="L701" i="1"/>
  <c r="N694" i="1"/>
  <c r="N691" i="1" s="1"/>
  <c r="N700" i="1"/>
  <c r="O626" i="1"/>
  <c r="M959" i="1"/>
  <c r="M933" i="1"/>
  <c r="N850" i="1"/>
  <c r="N880" i="1"/>
  <c r="L771" i="1"/>
  <c r="L768" i="1" s="1"/>
  <c r="L763" i="1" s="1"/>
  <c r="L773" i="1"/>
  <c r="L769" i="1" s="1"/>
  <c r="L861" i="1" s="1"/>
  <c r="P741" i="1"/>
  <c r="P735" i="1" s="1"/>
  <c r="L672" i="1"/>
  <c r="L694" i="1"/>
  <c r="L691" i="1" s="1"/>
  <c r="L959" i="1"/>
  <c r="L933" i="1"/>
  <c r="P894" i="1"/>
  <c r="P900" i="1"/>
  <c r="N660" i="1"/>
  <c r="N651" i="1"/>
  <c r="N795" i="1"/>
  <c r="M103" i="1"/>
  <c r="M196" i="1"/>
  <c r="M193" i="1" s="1"/>
  <c r="N977" i="1"/>
  <c r="O717" i="1"/>
  <c r="O714" i="1" s="1"/>
  <c r="O731" i="1"/>
  <c r="M673" i="1"/>
  <c r="M670" i="1" s="1"/>
  <c r="M671" i="1"/>
  <c r="M693" i="1"/>
  <c r="M660" i="1"/>
  <c r="M651" i="1"/>
  <c r="O646" i="1"/>
  <c r="O656" i="1"/>
  <c r="M795" i="1"/>
  <c r="N933" i="1"/>
  <c r="N920" i="1"/>
  <c r="M817" i="1"/>
  <c r="O269" i="1"/>
  <c r="O258" i="1" s="1"/>
  <c r="M1004" i="1"/>
  <c r="L864" i="1"/>
  <c r="M538" i="1"/>
  <c r="N992" i="1"/>
  <c r="N993" i="1" s="1"/>
  <c r="L626" i="1"/>
  <c r="L537" i="1"/>
  <c r="M992" i="1"/>
  <c r="M993" i="1" s="1"/>
  <c r="M968" i="1"/>
  <c r="N723" i="1"/>
  <c r="N730" i="1"/>
  <c r="O713" i="1"/>
  <c r="O710" i="1"/>
  <c r="N601" i="1"/>
  <c r="N612" i="1"/>
  <c r="N713" i="1"/>
  <c r="N710" i="1"/>
  <c r="M672" i="1"/>
  <c r="M694" i="1"/>
  <c r="M691" i="1" s="1"/>
  <c r="N970" i="1"/>
  <c r="N917" i="1"/>
  <c r="P864" i="1"/>
  <c r="M859" i="1"/>
  <c r="M612" i="1"/>
  <c r="M601" i="1"/>
  <c r="L879" i="1"/>
  <c r="O659" i="1"/>
  <c r="O655" i="1"/>
  <c r="P599" i="1"/>
  <c r="L554" i="1"/>
  <c r="L917" i="1"/>
  <c r="L970" i="1"/>
  <c r="N864" i="1"/>
  <c r="N826" i="1"/>
  <c r="P730" i="1"/>
  <c r="P715" i="1"/>
  <c r="N624" i="1"/>
  <c r="P695" i="1"/>
  <c r="P704" i="1"/>
  <c r="P987" i="1"/>
  <c r="L888" i="1"/>
  <c r="O282" i="1"/>
  <c r="O799" i="1"/>
  <c r="N70" i="1"/>
  <c r="N75" i="1"/>
  <c r="N74" i="1" s="1"/>
  <c r="N526" i="1"/>
  <c r="P717" i="1"/>
  <c r="L671" i="1"/>
  <c r="L702" i="1"/>
  <c r="O987" i="1"/>
  <c r="P960" i="1"/>
  <c r="P910" i="1"/>
  <c r="P942" i="1" s="1"/>
  <c r="P965" i="1" s="1"/>
  <c r="P909" i="1"/>
  <c r="P941" i="1" s="1"/>
  <c r="P964" i="1" s="1"/>
  <c r="O889" i="1"/>
  <c r="O891" i="1"/>
  <c r="O888" i="1" s="1"/>
  <c r="O887" i="1" s="1"/>
  <c r="P846" i="1"/>
  <c r="P878" i="1"/>
  <c r="N695" i="1"/>
  <c r="N911" i="1"/>
  <c r="N943" i="1" s="1"/>
  <c r="N966" i="1" s="1"/>
  <c r="N518" i="1"/>
  <c r="O910" i="1"/>
  <c r="O942" i="1" s="1"/>
  <c r="O965" i="1" s="1"/>
  <c r="O908" i="1"/>
  <c r="O940" i="1" s="1"/>
  <c r="O963" i="1" s="1"/>
  <c r="O909" i="1"/>
  <c r="O941" i="1" s="1"/>
  <c r="O964" i="1" s="1"/>
  <c r="P598" i="1"/>
  <c r="N442" i="1"/>
  <c r="N443" i="1"/>
  <c r="M566" i="1"/>
  <c r="M800" i="1"/>
  <c r="L997" i="1"/>
  <c r="N908" i="1"/>
  <c r="N940" i="1" s="1"/>
  <c r="N963" i="1" s="1"/>
  <c r="N910" i="1"/>
  <c r="N942" i="1" s="1"/>
  <c r="N965" i="1" s="1"/>
  <c r="M889" i="1"/>
  <c r="M891" i="1"/>
  <c r="M888" i="1" s="1"/>
  <c r="M887" i="1" s="1"/>
  <c r="M969" i="1"/>
  <c r="M960" i="1"/>
  <c r="P970" i="1"/>
  <c r="P949" i="1"/>
  <c r="N784" i="1"/>
  <c r="L765" i="1"/>
  <c r="L858" i="1" s="1"/>
  <c r="L859" i="1"/>
  <c r="L817" i="1"/>
  <c r="M741" i="1"/>
  <c r="M735" i="1" s="1"/>
  <c r="N705" i="1"/>
  <c r="L969" i="1"/>
  <c r="O970" i="1"/>
  <c r="O949" i="1"/>
  <c r="L908" i="1"/>
  <c r="L940" i="1" s="1"/>
  <c r="L963" i="1" s="1"/>
  <c r="L910" i="1"/>
  <c r="L942" i="1" s="1"/>
  <c r="L965" i="1" s="1"/>
  <c r="P862" i="1"/>
  <c r="P656" i="1"/>
  <c r="P459" i="1"/>
  <c r="P580" i="1"/>
  <c r="O240" i="1"/>
  <c r="P881" i="1"/>
  <c r="P852" i="1"/>
  <c r="M714" i="1"/>
  <c r="O956" i="1"/>
  <c r="O912" i="1"/>
  <c r="O967" i="1" s="1"/>
  <c r="O881" i="1"/>
  <c r="O852" i="1"/>
  <c r="N862" i="1"/>
  <c r="N823" i="1"/>
  <c r="P784" i="1"/>
  <c r="N763" i="1"/>
  <c r="L714" i="1"/>
  <c r="O701" i="1"/>
  <c r="N604" i="1"/>
  <c r="N459" i="1"/>
  <c r="N580" i="1"/>
  <c r="P781" i="1"/>
  <c r="P865" i="1" s="1"/>
  <c r="O730" i="1"/>
  <c r="N702" i="1"/>
  <c r="M580" i="1"/>
  <c r="N554" i="1"/>
  <c r="P110" i="1"/>
  <c r="M264" i="1"/>
  <c r="M253" i="1" s="1"/>
  <c r="O82" i="1"/>
  <c r="O529" i="1"/>
  <c r="N64" i="1"/>
  <c r="N522" i="1"/>
  <c r="M826" i="1"/>
  <c r="P672" i="1"/>
  <c r="N461" i="1"/>
  <c r="N581" i="1"/>
  <c r="O379" i="1"/>
  <c r="N145" i="1"/>
  <c r="M894" i="1"/>
  <c r="O694" i="1"/>
  <c r="O691" i="1" s="1"/>
  <c r="O693" i="1"/>
  <c r="L550" i="1"/>
  <c r="L526" i="1"/>
  <c r="O270" i="1"/>
  <c r="O259" i="1" s="1"/>
  <c r="P104" i="1"/>
  <c r="M82" i="1"/>
  <c r="M529" i="1"/>
  <c r="N23" i="1"/>
  <c r="O878" i="1"/>
  <c r="O695" i="1"/>
  <c r="N626" i="1"/>
  <c r="L613" i="1"/>
  <c r="P442" i="1"/>
  <c r="P441" i="1" s="1"/>
  <c r="P443" i="1"/>
  <c r="P539" i="1"/>
  <c r="P566" i="1"/>
  <c r="P103" i="1"/>
  <c r="P331" i="1" s="1"/>
  <c r="P347" i="1" s="1"/>
  <c r="P426" i="1" s="1"/>
  <c r="P196" i="1"/>
  <c r="P193" i="1" s="1"/>
  <c r="L82" i="1"/>
  <c r="L529" i="1"/>
  <c r="P70" i="1"/>
  <c r="P526" i="1"/>
  <c r="P75" i="1"/>
  <c r="P74" i="1" s="1"/>
  <c r="N878" i="1"/>
  <c r="P819" i="1"/>
  <c r="L800" i="1"/>
  <c r="M599" i="1"/>
  <c r="L549" i="1"/>
  <c r="N298" i="1"/>
  <c r="N302" i="1" s="1"/>
  <c r="M161" i="1"/>
  <c r="L58" i="1"/>
  <c r="M680" i="1"/>
  <c r="O612" i="1"/>
  <c r="L566" i="1"/>
  <c r="N536" i="1"/>
  <c r="M443" i="1"/>
  <c r="M442" i="1"/>
  <c r="M441" i="1" s="1"/>
  <c r="O401" i="1"/>
  <c r="O206" i="1"/>
  <c r="M151" i="1"/>
  <c r="M329" i="1"/>
  <c r="M345" i="1" s="1"/>
  <c r="P149" i="1"/>
  <c r="P659" i="1"/>
  <c r="O173" i="1"/>
  <c r="O823" i="1"/>
  <c r="L799" i="1"/>
  <c r="N646" i="1"/>
  <c r="O605" i="1"/>
  <c r="O604" i="1" s="1"/>
  <c r="N594" i="1"/>
  <c r="O576" i="1"/>
  <c r="M366" i="1"/>
  <c r="P35" i="1"/>
  <c r="P1725" i="1" s="1"/>
  <c r="M877" i="1"/>
  <c r="P401" i="1"/>
  <c r="N288" i="1"/>
  <c r="L269" i="1"/>
  <c r="L258" i="1" s="1"/>
  <c r="P572" i="1"/>
  <c r="M328" i="1"/>
  <c r="M344" i="1" s="1"/>
  <c r="O51" i="1"/>
  <c r="L877" i="1"/>
  <c r="P765" i="1"/>
  <c r="P858" i="1" s="1"/>
  <c r="P655" i="1"/>
  <c r="M646" i="1"/>
  <c r="L612" i="1"/>
  <c r="M576" i="1"/>
  <c r="N401" i="1"/>
  <c r="N377" i="1"/>
  <c r="M536" i="1"/>
  <c r="O237" i="1"/>
  <c r="O236" i="1" s="1"/>
  <c r="O238" i="1"/>
  <c r="P577" i="1"/>
  <c r="P222" i="1"/>
  <c r="P221" i="1" s="1"/>
  <c r="L567" i="1"/>
  <c r="L173" i="1"/>
  <c r="O765" i="1"/>
  <c r="O858" i="1" s="1"/>
  <c r="M699" i="1"/>
  <c r="N659" i="1"/>
  <c r="L646" i="1"/>
  <c r="L656" i="1"/>
  <c r="M598" i="1"/>
  <c r="L452" i="1"/>
  <c r="L451" i="1" s="1"/>
  <c r="L449" i="1"/>
  <c r="O268" i="1"/>
  <c r="O257" i="1" s="1"/>
  <c r="P214" i="1"/>
  <c r="P213" i="1" s="1"/>
  <c r="O331" i="1"/>
  <c r="O196" i="1"/>
  <c r="O193" i="1" s="1"/>
  <c r="N267" i="1"/>
  <c r="N256" i="1" s="1"/>
  <c r="P195" i="1"/>
  <c r="N35" i="1"/>
  <c r="N1725" i="1" s="1"/>
  <c r="N765" i="1"/>
  <c r="N858" i="1" s="1"/>
  <c r="L594" i="1"/>
  <c r="P556" i="1"/>
  <c r="O566" i="1"/>
  <c r="M238" i="1"/>
  <c r="O211" i="1"/>
  <c r="O210" i="1" s="1"/>
  <c r="O214" i="1"/>
  <c r="O213" i="1" s="1"/>
  <c r="N110" i="1"/>
  <c r="P891" i="1"/>
  <c r="P888" i="1" s="1"/>
  <c r="O686" i="1"/>
  <c r="M655" i="1"/>
  <c r="O601" i="1"/>
  <c r="L598" i="1"/>
  <c r="O556" i="1"/>
  <c r="M288" i="1"/>
  <c r="N268" i="1"/>
  <c r="N257" i="1" s="1"/>
  <c r="M222" i="1"/>
  <c r="M221" i="1" s="1"/>
  <c r="M219" i="1"/>
  <c r="N202" i="1"/>
  <c r="N205" i="1" s="1"/>
  <c r="M269" i="1"/>
  <c r="M258" i="1" s="1"/>
  <c r="M35" i="1"/>
  <c r="M1725" i="1" s="1"/>
  <c r="L710" i="1"/>
  <c r="L659" i="1"/>
  <c r="P641" i="1"/>
  <c r="N509" i="1"/>
  <c r="L219" i="1"/>
  <c r="L210" i="1" s="1"/>
  <c r="M148" i="1"/>
  <c r="N113" i="1"/>
  <c r="P107" i="1"/>
  <c r="M195" i="1"/>
  <c r="M624" i="1"/>
  <c r="M547" i="1"/>
  <c r="M113" i="1"/>
  <c r="L195" i="1"/>
  <c r="N671" i="1"/>
  <c r="L601" i="1"/>
  <c r="O523" i="1"/>
  <c r="O294" i="1"/>
  <c r="P211" i="1"/>
  <c r="P210" i="1" s="1"/>
  <c r="O188" i="1"/>
  <c r="P147" i="1"/>
  <c r="L272" i="1"/>
  <c r="L261" i="1" s="1"/>
  <c r="N266" i="1"/>
  <c r="N255" i="1" s="1"/>
  <c r="N107" i="1"/>
  <c r="P101" i="1"/>
  <c r="P329" i="1" s="1"/>
  <c r="P345" i="1" s="1"/>
  <c r="P531" i="1"/>
  <c r="M686" i="1"/>
  <c r="P417" i="1"/>
  <c r="P416" i="1" s="1"/>
  <c r="N294" i="1"/>
  <c r="N523" i="1"/>
  <c r="P202" i="1"/>
  <c r="P205" i="1" s="1"/>
  <c r="P455" i="1"/>
  <c r="P578" i="1"/>
  <c r="O553" i="1"/>
  <c r="P533" i="1"/>
  <c r="M523" i="1"/>
  <c r="M294" i="1"/>
  <c r="M188" i="1"/>
  <c r="O169" i="1"/>
  <c r="O29" i="1"/>
  <c r="O1720" i="1" s="1"/>
  <c r="P541" i="1"/>
  <c r="P500" i="1"/>
  <c r="O578" i="1"/>
  <c r="O455" i="1"/>
  <c r="N527" i="1"/>
  <c r="L294" i="1"/>
  <c r="L523" i="1"/>
  <c r="O202" i="1"/>
  <c r="O205" i="1" s="1"/>
  <c r="N565" i="1"/>
  <c r="P337" i="1"/>
  <c r="P353" i="1" s="1"/>
  <c r="L75" i="1"/>
  <c r="L74" i="1" s="1"/>
  <c r="P3" i="1"/>
  <c r="P880" i="1"/>
  <c r="P863" i="1"/>
  <c r="P686" i="1"/>
  <c r="L587" i="1"/>
  <c r="L586" i="1" s="1"/>
  <c r="L542" i="1"/>
  <c r="P436" i="1"/>
  <c r="P550" i="1"/>
  <c r="M417" i="1"/>
  <c r="M416" i="1" s="1"/>
  <c r="M415" i="1"/>
  <c r="M414" i="1" s="1"/>
  <c r="M265" i="1"/>
  <c r="M254" i="1" s="1"/>
  <c r="L368" i="1"/>
  <c r="P528" i="1"/>
  <c r="L704" i="1"/>
  <c r="N686" i="1"/>
  <c r="O636" i="1"/>
  <c r="O634" i="1" s="1"/>
  <c r="P614" i="1"/>
  <c r="P581" i="1"/>
  <c r="N503" i="1"/>
  <c r="O531" i="1"/>
  <c r="N305" i="1"/>
  <c r="N469" i="1"/>
  <c r="N468" i="1" s="1"/>
  <c r="P264" i="1"/>
  <c r="P253" i="1" s="1"/>
  <c r="O266" i="1"/>
  <c r="O255" i="1" s="1"/>
  <c r="L576" i="1"/>
  <c r="M208" i="1"/>
  <c r="L518" i="1"/>
  <c r="L169" i="1"/>
  <c r="P801" i="1"/>
  <c r="L686" i="1"/>
  <c r="P631" i="1"/>
  <c r="O581" i="1"/>
  <c r="O528" i="1"/>
  <c r="M367" i="1"/>
  <c r="M542" i="1"/>
  <c r="N151" i="1"/>
  <c r="N106" i="1"/>
  <c r="N334" i="1" s="1"/>
  <c r="N350" i="1" s="1"/>
  <c r="N495" i="1" s="1"/>
  <c r="N484" i="1" s="1"/>
  <c r="N265" i="1"/>
  <c r="N254" i="1" s="1"/>
  <c r="O49" i="1"/>
  <c r="O1616" i="1" s="1"/>
  <c r="O1615" i="1" s="1"/>
  <c r="L42" i="1"/>
  <c r="L880" i="1"/>
  <c r="N636" i="1"/>
  <c r="N634" i="1" s="1"/>
  <c r="P613" i="1"/>
  <c r="P271" i="1"/>
  <c r="P260" i="1" s="1"/>
  <c r="P340" i="1"/>
  <c r="M266" i="1"/>
  <c r="M255" i="1" s="1"/>
  <c r="O187" i="1"/>
  <c r="O186" i="1" s="1"/>
  <c r="O184" i="1"/>
  <c r="N717" i="1"/>
  <c r="N714" i="1" s="1"/>
  <c r="M636" i="1"/>
  <c r="O281" i="1"/>
  <c r="O798" i="1"/>
  <c r="N183" i="1"/>
  <c r="N187" i="1"/>
  <c r="N186" i="1" s="1"/>
  <c r="N184" i="1"/>
  <c r="M146" i="1"/>
  <c r="O107" i="1"/>
  <c r="L305" i="1"/>
  <c r="M66" i="1"/>
  <c r="O879" i="1"/>
  <c r="P826" i="1"/>
  <c r="P702" i="1"/>
  <c r="N591" i="1"/>
  <c r="O580" i="1"/>
  <c r="O551" i="1"/>
  <c r="M527" i="1"/>
  <c r="L455" i="1"/>
  <c r="N370" i="1"/>
  <c r="N271" i="1"/>
  <c r="N260" i="1" s="1"/>
  <c r="P265" i="1"/>
  <c r="P254" i="1" s="1"/>
  <c r="N204" i="1"/>
  <c r="N197" i="1"/>
  <c r="L545" i="1"/>
  <c r="M541" i="1"/>
  <c r="M270" i="1"/>
  <c r="M259" i="1" s="1"/>
  <c r="O264" i="1"/>
  <c r="O253" i="1" s="1"/>
  <c r="O702" i="1"/>
  <c r="M703" i="1"/>
  <c r="L636" i="1"/>
  <c r="P626" i="1"/>
  <c r="P298" i="1"/>
  <c r="P302" i="1" s="1"/>
  <c r="P303" i="1"/>
  <c r="L201" i="1"/>
  <c r="L200" i="1" s="1"/>
  <c r="L197" i="1"/>
  <c r="L183" i="1"/>
  <c r="L184" i="1"/>
  <c r="L187" i="1"/>
  <c r="L186" i="1" s="1"/>
  <c r="O104" i="1"/>
  <c r="L270" i="1"/>
  <c r="L259" i="1" s="1"/>
  <c r="N264" i="1"/>
  <c r="N253" i="1" s="1"/>
  <c r="P82" i="1"/>
  <c r="P99" i="1"/>
  <c r="P327" i="1" s="1"/>
  <c r="P343" i="1" s="1"/>
  <c r="P58" i="1"/>
  <c r="N46" i="1"/>
  <c r="N1735" i="1" s="1"/>
  <c r="N49" i="1"/>
  <c r="M568" i="1"/>
  <c r="M149" i="1"/>
  <c r="O267" i="1"/>
  <c r="O256" i="1" s="1"/>
  <c r="L188" i="1"/>
  <c r="L103" i="1"/>
  <c r="L331" i="1" s="1"/>
  <c r="O70" i="1"/>
  <c r="N58" i="1"/>
  <c r="N222" i="1"/>
  <c r="N221" i="1" s="1"/>
  <c r="N577" i="1"/>
  <c r="L214" i="1"/>
  <c r="L213" i="1" s="1"/>
  <c r="P188" i="1"/>
  <c r="O161" i="1"/>
  <c r="N270" i="1"/>
  <c r="N259" i="1" s="1"/>
  <c r="N195" i="1"/>
  <c r="P525" i="1"/>
  <c r="O35" i="1"/>
  <c r="O1725" i="1" s="1"/>
  <c r="L260" i="1"/>
  <c r="P234" i="1"/>
  <c r="P239" i="1"/>
  <c r="P238" i="1" s="1"/>
  <c r="N219" i="1"/>
  <c r="N210" i="1" s="1"/>
  <c r="M572" i="1"/>
  <c r="L107" i="1"/>
  <c r="L335" i="1" s="1"/>
  <c r="L351" i="1" s="1"/>
  <c r="N101" i="1"/>
  <c r="N329" i="1" s="1"/>
  <c r="N345" i="1" s="1"/>
  <c r="P47" i="1"/>
  <c r="O66" i="1"/>
  <c r="L273" i="1"/>
  <c r="P576" i="1"/>
  <c r="P29" i="1"/>
  <c r="P1720" i="1" s="1"/>
  <c r="P146" i="1"/>
  <c r="P374" i="1" s="1"/>
  <c r="P545" i="1"/>
  <c r="L66" i="1"/>
  <c r="P51" i="1"/>
  <c r="N29" i="1"/>
  <c r="N1720" i="1" s="1"/>
  <c r="O146" i="1"/>
  <c r="O111" i="1"/>
  <c r="O339" i="1" s="1"/>
  <c r="O355" i="1" s="1"/>
  <c r="O541" i="1"/>
  <c r="M29" i="1"/>
  <c r="M1720" i="1" s="1"/>
  <c r="P8" i="1"/>
  <c r="P1747" i="1" s="1"/>
  <c r="M554" i="1"/>
  <c r="L265" i="1"/>
  <c r="L254" i="1" s="1"/>
  <c r="P269" i="1"/>
  <c r="P258" i="1" s="1"/>
  <c r="N578" i="1"/>
  <c r="P187" i="1"/>
  <c r="P186" i="1" s="1"/>
  <c r="L571" i="1"/>
  <c r="L29" i="1"/>
  <c r="L1720" i="1" s="1"/>
  <c r="L47" i="1"/>
  <c r="M51" i="1"/>
  <c r="L51" i="1"/>
  <c r="P23" i="1"/>
  <c r="O12" i="1"/>
  <c r="O1751" i="1" s="1"/>
  <c r="O3" i="1"/>
  <c r="M305" i="1"/>
  <c r="N337" i="1"/>
  <c r="P169" i="1"/>
  <c r="L544" i="1"/>
  <c r="P64" i="1"/>
  <c r="P522" i="1"/>
  <c r="M34" i="1"/>
  <c r="O23" i="1"/>
  <c r="L8" i="1"/>
  <c r="L1747" i="1" s="1"/>
  <c r="N3" i="1"/>
  <c r="O671" i="1"/>
  <c r="L581" i="1"/>
  <c r="N173" i="1"/>
  <c r="M550" i="1"/>
  <c r="M3" i="1"/>
  <c r="M587" i="1"/>
  <c r="M586" i="1" s="1"/>
  <c r="M449" i="1"/>
  <c r="M452" i="1"/>
  <c r="M451" i="1" s="1"/>
  <c r="N344" i="1"/>
  <c r="P151" i="1"/>
  <c r="L555" i="1"/>
  <c r="L109" i="1"/>
  <c r="O74" i="1"/>
  <c r="P12" i="1"/>
  <c r="P1751" i="1" s="1"/>
  <c r="O102" i="1"/>
  <c r="N99" i="1"/>
  <c r="N327" i="1" s="1"/>
  <c r="N343" i="1" s="1"/>
  <c r="L12" i="1"/>
  <c r="L1751" i="1" s="1"/>
  <c r="L264" i="1"/>
  <c r="L253" i="1" s="1"/>
  <c r="M112" i="1"/>
  <c r="O106" i="1"/>
  <c r="L101" i="1"/>
  <c r="L329" i="1" s="1"/>
  <c r="L345" i="1" s="1"/>
  <c r="N51" i="1"/>
  <c r="M23" i="1"/>
  <c r="L3" i="1"/>
  <c r="M147" i="1"/>
  <c r="P549" i="1"/>
  <c r="M544" i="1"/>
  <c r="N529" i="1"/>
  <c r="N239" i="1"/>
  <c r="L239" i="1"/>
  <c r="M47" i="1"/>
  <c r="L35" i="1"/>
  <c r="L1725" i="1" s="1"/>
  <c r="G106" i="1"/>
  <c r="H106" i="1"/>
  <c r="I103" i="1"/>
  <c r="I107" i="1"/>
  <c r="I102" i="1"/>
  <c r="H110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N1070" i="1" l="1"/>
  <c r="N1071" i="1"/>
  <c r="L1096" i="1"/>
  <c r="L1070" i="1"/>
  <c r="O1160" i="1"/>
  <c r="L1330" i="1"/>
  <c r="P1511" i="1"/>
  <c r="Q1759" i="1"/>
  <c r="O644" i="1"/>
  <c r="L1136" i="1"/>
  <c r="O2050" i="1"/>
  <c r="N1609" i="1"/>
  <c r="M1740" i="1"/>
  <c r="L1562" i="1"/>
  <c r="L1609" i="1"/>
  <c r="Q2050" i="1"/>
  <c r="L49" i="1"/>
  <c r="L1206" i="1" s="1"/>
  <c r="N1497" i="1"/>
  <c r="P1555" i="1"/>
  <c r="L1823" i="1"/>
  <c r="P1330" i="1"/>
  <c r="M1071" i="1"/>
  <c r="O1862" i="1"/>
  <c r="M634" i="1"/>
  <c r="Q1885" i="1"/>
  <c r="M2050" i="1"/>
  <c r="O1511" i="1"/>
  <c r="P1005" i="1"/>
  <c r="P1002" i="1" s="1"/>
  <c r="M1160" i="1"/>
  <c r="O2253" i="1"/>
  <c r="O2233" i="1" s="1"/>
  <c r="O1652" i="1"/>
  <c r="P738" i="1" a="1"/>
  <c r="P738" i="1" s="1"/>
  <c r="P736" i="1" a="1"/>
  <c r="P736" i="1" s="1"/>
  <c r="L1183" i="1"/>
  <c r="L1511" i="1"/>
  <c r="L644" i="1"/>
  <c r="N882" i="1"/>
  <c r="M1497" i="1"/>
  <c r="P1652" i="1"/>
  <c r="M1314" i="1"/>
  <c r="M1206" i="1"/>
  <c r="P1160" i="1"/>
  <c r="M1593" i="1"/>
  <c r="M2295" i="1"/>
  <c r="Q2234" i="1"/>
  <c r="P1047" i="1"/>
  <c r="O1740" i="1"/>
  <c r="Q200" i="1"/>
  <c r="M1070" i="1"/>
  <c r="M1824" i="1"/>
  <c r="M1823" i="1" s="1"/>
  <c r="Q1511" i="1"/>
  <c r="L634" i="1"/>
  <c r="L1005" i="1"/>
  <c r="L1002" i="1" s="1"/>
  <c r="Q1862" i="1"/>
  <c r="O440" i="1"/>
  <c r="M1414" i="1"/>
  <c r="L1414" i="1"/>
  <c r="L1428" i="1"/>
  <c r="N1759" i="1"/>
  <c r="Q63" i="1"/>
  <c r="M1602" i="1"/>
  <c r="M1428" i="1"/>
  <c r="O575" i="1"/>
  <c r="L1658" i="1"/>
  <c r="L1659" i="1" s="1"/>
  <c r="L1885" i="1"/>
  <c r="P1759" i="1"/>
  <c r="Q49" i="1"/>
  <c r="Q1738" i="1" s="1"/>
  <c r="O1602" i="1"/>
  <c r="L624" i="1"/>
  <c r="Q590" i="1"/>
  <c r="M1652" i="1"/>
  <c r="Q1555" i="1"/>
  <c r="L1862" i="1"/>
  <c r="O1014" i="1"/>
  <c r="O1011" i="1" s="1"/>
  <c r="O1013" i="1"/>
  <c r="O1664" i="1"/>
  <c r="O1759" i="1"/>
  <c r="Q210" i="1"/>
  <c r="Q182" i="1" s="1"/>
  <c r="M736" i="1" a="1"/>
  <c r="M736" i="1" s="1"/>
  <c r="M738" i="1" a="1"/>
  <c r="M738" i="1" s="1"/>
  <c r="O1555" i="1"/>
  <c r="M1047" i="1"/>
  <c r="Q1740" i="1"/>
  <c r="M38" i="1"/>
  <c r="M1658" i="1"/>
  <c r="M1659" i="1" s="1"/>
  <c r="L1593" i="1"/>
  <c r="M604" i="1"/>
  <c r="M1609" i="1"/>
  <c r="M2272" i="1"/>
  <c r="L1546" i="1"/>
  <c r="Q575" i="1"/>
  <c r="Q604" i="1"/>
  <c r="N1824" i="1"/>
  <c r="N1823" i="1" s="1"/>
  <c r="L1160" i="1"/>
  <c r="N2272" i="1"/>
  <c r="Q634" i="1"/>
  <c r="Q1098" i="1"/>
  <c r="Q1093" i="1" s="1"/>
  <c r="N1183" i="1"/>
  <c r="M1759" i="1"/>
  <c r="P1183" i="1"/>
  <c r="L2272" i="1"/>
  <c r="L1759" i="1"/>
  <c r="L441" i="1"/>
  <c r="M1097" i="1"/>
  <c r="O337" i="1"/>
  <c r="O1069" i="1"/>
  <c r="O1095" i="1"/>
  <c r="O1047" i="1"/>
  <c r="O1096" i="1"/>
  <c r="O1071" i="1"/>
  <c r="O1097" i="1"/>
  <c r="O1070" i="1"/>
  <c r="M273" i="1"/>
  <c r="M102" i="1"/>
  <c r="M330" i="1" s="1"/>
  <c r="O679" i="1"/>
  <c r="Q195" i="1"/>
  <c r="P604" i="1"/>
  <c r="Q469" i="1"/>
  <c r="Q468" i="1" s="1"/>
  <c r="Q1036" i="1"/>
  <c r="L1315" i="1"/>
  <c r="Q673" i="1"/>
  <c r="Q670" i="1" s="1"/>
  <c r="P2050" i="1"/>
  <c r="L1069" i="1"/>
  <c r="M549" i="1"/>
  <c r="Q204" i="1"/>
  <c r="Q203" i="1" s="1"/>
  <c r="Q397" i="1"/>
  <c r="Q280" i="1"/>
  <c r="Q279" i="1" s="1"/>
  <c r="Q273" i="1"/>
  <c r="Q989" i="1"/>
  <c r="Q988" i="1" s="1"/>
  <c r="Q984" i="1" s="1"/>
  <c r="Q40" i="1"/>
  <c r="Q1665" i="1" s="1"/>
  <c r="P540" i="1"/>
  <c r="L1097" i="1"/>
  <c r="O1731" i="1"/>
  <c r="L113" i="1"/>
  <c r="L341" i="1" s="1"/>
  <c r="L590" i="1"/>
  <c r="L1095" i="1"/>
  <c r="P1014" i="1"/>
  <c r="P1011" i="1" s="1"/>
  <c r="L1071" i="1"/>
  <c r="Q2272" i="1"/>
  <c r="Q330" i="1"/>
  <c r="Q346" i="1" s="1"/>
  <c r="N367" i="1"/>
  <c r="N374" i="1" s="1"/>
  <c r="M679" i="1"/>
  <c r="P338" i="1"/>
  <c r="P354" i="1" s="1"/>
  <c r="P499" i="1" s="1"/>
  <c r="P488" i="1" s="1"/>
  <c r="O112" i="1"/>
  <c r="O340" i="1" s="1"/>
  <c r="O356" i="1" s="1"/>
  <c r="M1083" i="1"/>
  <c r="L1047" i="1"/>
  <c r="M1096" i="1"/>
  <c r="P1070" i="1"/>
  <c r="M378" i="1"/>
  <c r="Q528" i="1"/>
  <c r="O34" i="1"/>
  <c r="O555" i="1"/>
  <c r="O195" i="1"/>
  <c r="O194" i="1" s="1"/>
  <c r="N556" i="1"/>
  <c r="O1004" i="1"/>
  <c r="O1001" i="1" s="1"/>
  <c r="O1000" i="1" s="1"/>
  <c r="O334" i="1"/>
  <c r="O350" i="1" s="1"/>
  <c r="O495" i="1" s="1"/>
  <c r="O484" i="1" s="1"/>
  <c r="P634" i="1"/>
  <c r="M340" i="1"/>
  <c r="M356" i="1" s="1"/>
  <c r="M501" i="1" s="1"/>
  <c r="M490" i="1" s="1"/>
  <c r="O39" i="1"/>
  <c r="N108" i="1"/>
  <c r="P1007" i="1"/>
  <c r="M1095" i="1"/>
  <c r="P1071" i="1"/>
  <c r="L2295" i="1"/>
  <c r="Q1546" i="1"/>
  <c r="L111" i="1"/>
  <c r="L339" i="1" s="1"/>
  <c r="L355" i="1" s="1"/>
  <c r="O469" i="1"/>
  <c r="O468" i="1" s="1"/>
  <c r="P535" i="1"/>
  <c r="M539" i="1"/>
  <c r="P40" i="1"/>
  <c r="P1664" i="1"/>
  <c r="O535" i="1"/>
  <c r="N541" i="1"/>
  <c r="Q1824" i="1"/>
  <c r="Q1823" i="1" s="1"/>
  <c r="Q1616" i="1"/>
  <c r="Q1615" i="1" s="1"/>
  <c r="O332" i="1"/>
  <c r="O348" i="1" s="1"/>
  <c r="P1546" i="1"/>
  <c r="P1497" i="1"/>
  <c r="Q338" i="1"/>
  <c r="Q354" i="1" s="1"/>
  <c r="Q499" i="1" s="1"/>
  <c r="Q488" i="1" s="1"/>
  <c r="Q566" i="1"/>
  <c r="Q1088" i="1"/>
  <c r="Q1593" i="1"/>
  <c r="Q1025" i="1"/>
  <c r="M1133" i="1"/>
  <c r="M1640" i="1"/>
  <c r="M797" i="1"/>
  <c r="N958" i="1"/>
  <c r="O1005" i="1"/>
  <c r="O1002" i="1" s="1"/>
  <c r="Q304" i="1"/>
  <c r="Q417" i="1"/>
  <c r="Q416" i="1" s="1"/>
  <c r="Q1083" i="1"/>
  <c r="Q1123" i="1"/>
  <c r="Q1714" i="1"/>
  <c r="Q539" i="1"/>
  <c r="Q2" i="1"/>
  <c r="Q1742" i="1"/>
  <c r="Q39" i="1"/>
  <c r="Q794" i="1"/>
  <c r="Q310" i="1"/>
  <c r="Q263" i="1"/>
  <c r="Q240" i="1"/>
  <c r="Q337" i="1"/>
  <c r="Q353" i="1" s="1"/>
  <c r="Q57" i="1"/>
  <c r="Q741" i="1"/>
  <c r="Q735" i="1" s="1"/>
  <c r="Q1736" i="1"/>
  <c r="Q1735" i="1"/>
  <c r="Q733" i="1"/>
  <c r="Q958" i="1"/>
  <c r="Q887" i="1"/>
  <c r="Q882" i="1" s="1"/>
  <c r="Q1136" i="1"/>
  <c r="Q785" i="1"/>
  <c r="Q369" i="1"/>
  <c r="Q553" i="1"/>
  <c r="Q532" i="1"/>
  <c r="Q347" i="1"/>
  <c r="Q533" i="1"/>
  <c r="Q535" i="1"/>
  <c r="Q368" i="1"/>
  <c r="Q365" i="1" s="1"/>
  <c r="Q556" i="1"/>
  <c r="Q379" i="1"/>
  <c r="Q436" i="1"/>
  <c r="Q374" i="1"/>
  <c r="Q237" i="1"/>
  <c r="Q236" i="1" s="1"/>
  <c r="Q238" i="1"/>
  <c r="Q485" i="1"/>
  <c r="Q266" i="1"/>
  <c r="Q255" i="1" s="1"/>
  <c r="Q282" i="1"/>
  <c r="Q799" i="1"/>
  <c r="Q1343" i="1"/>
  <c r="Q1342" i="1" s="1"/>
  <c r="Q731" i="1"/>
  <c r="Q144" i="1"/>
  <c r="Q333" i="1"/>
  <c r="Q349" i="1" s="1"/>
  <c r="Q690" i="1"/>
  <c r="Q692" i="1"/>
  <c r="Q689" i="1" s="1"/>
  <c r="Q540" i="1"/>
  <c r="Q98" i="1"/>
  <c r="Q512" i="1"/>
  <c r="Q265" i="1"/>
  <c r="Q254" i="1" s="1"/>
  <c r="Q106" i="1"/>
  <c r="Q334" i="1" s="1"/>
  <c r="Q350" i="1" s="1"/>
  <c r="Q495" i="1" s="1"/>
  <c r="Q484" i="1" s="1"/>
  <c r="Q1095" i="1"/>
  <c r="Q1097" i="1"/>
  <c r="Q1069" i="1"/>
  <c r="Q1070" i="1"/>
  <c r="Q1003" i="1"/>
  <c r="Q1071" i="1"/>
  <c r="Q29" i="1"/>
  <c r="Q1720" i="1" s="1"/>
  <c r="Q1721" i="1"/>
  <c r="Q34" i="1"/>
  <c r="Q1047" i="1"/>
  <c r="Q1001" i="1"/>
  <c r="Q1000" i="1" s="1"/>
  <c r="Q370" i="1"/>
  <c r="Q377" i="1"/>
  <c r="Q1497" i="1"/>
  <c r="Q714" i="1"/>
  <c r="Q536" i="1"/>
  <c r="Q1427" i="1"/>
  <c r="Q1426" i="1" s="1"/>
  <c r="Q1006" i="1"/>
  <c r="Q1013" i="1"/>
  <c r="Q1012" i="1" s="1"/>
  <c r="Q2253" i="1"/>
  <c r="Q2233" i="1" s="1"/>
  <c r="Q1205" i="1"/>
  <c r="Q1204" i="1" s="1"/>
  <c r="Q352" i="1"/>
  <c r="Q41" i="1"/>
  <c r="Q1730" i="1" s="1"/>
  <c r="Q1731" i="1"/>
  <c r="Q1399" i="1"/>
  <c r="Q371" i="1"/>
  <c r="Q378" i="1"/>
  <c r="Q373" i="1"/>
  <c r="Q113" i="1"/>
  <c r="Q341" i="1" s="1"/>
  <c r="Q357" i="1" s="1"/>
  <c r="Q502" i="1" s="1"/>
  <c r="Q491" i="1" s="1"/>
  <c r="Q1315" i="1"/>
  <c r="Q1569" i="1"/>
  <c r="Q1568" i="1" s="1"/>
  <c r="Q672" i="1"/>
  <c r="O1123" i="1"/>
  <c r="O1083" i="1"/>
  <c r="N105" i="1"/>
  <c r="N333" i="1" s="1"/>
  <c r="N349" i="1" s="1"/>
  <c r="O624" i="1"/>
  <c r="L1399" i="1"/>
  <c r="O2272" i="1"/>
  <c r="N989" i="1"/>
  <c r="N988" i="1" s="1"/>
  <c r="N984" i="1" s="1"/>
  <c r="N1004" i="1"/>
  <c r="N1001" i="1" s="1"/>
  <c r="N40" i="1"/>
  <c r="N1664" i="1"/>
  <c r="L556" i="1"/>
  <c r="P1125" i="1"/>
  <c r="P1086" i="1"/>
  <c r="P339" i="1"/>
  <c r="P355" i="1" s="1"/>
  <c r="N397" i="1"/>
  <c r="N673" i="1"/>
  <c r="N670" i="1" s="1"/>
  <c r="M63" i="1"/>
  <c r="N200" i="1"/>
  <c r="L1004" i="1"/>
  <c r="M109" i="1"/>
  <c r="M337" i="1" s="1"/>
  <c r="M353" i="1" s="1"/>
  <c r="M498" i="1" s="1"/>
  <c r="M487" i="1" s="1"/>
  <c r="M268" i="1"/>
  <c r="M257" i="1" s="1"/>
  <c r="N1125" i="1"/>
  <c r="N1086" i="1"/>
  <c r="P34" i="1"/>
  <c r="L496" i="1"/>
  <c r="L485" i="1" s="1"/>
  <c r="O108" i="1"/>
  <c r="O336" i="1" s="1"/>
  <c r="O352" i="1" s="1"/>
  <c r="O497" i="1" s="1"/>
  <c r="P527" i="1"/>
  <c r="O335" i="1"/>
  <c r="O351" i="1" s="1"/>
  <c r="L40" i="1"/>
  <c r="L1664" i="1"/>
  <c r="N63" i="1"/>
  <c r="N1123" i="1"/>
  <c r="N1083" i="1"/>
  <c r="O105" i="1"/>
  <c r="O333" i="1" s="1"/>
  <c r="O349" i="1" s="1"/>
  <c r="O494" i="1" s="1"/>
  <c r="O483" i="1" s="1"/>
  <c r="L438" i="1"/>
  <c r="N1047" i="1"/>
  <c r="N1069" i="1"/>
  <c r="M341" i="1"/>
  <c r="M357" i="1" s="1"/>
  <c r="O310" i="1"/>
  <c r="M989" i="1"/>
  <c r="M988" i="1" s="1"/>
  <c r="M984" i="1" s="1"/>
  <c r="O341" i="1"/>
  <c r="O357" i="1" s="1"/>
  <c r="O502" i="1" s="1"/>
  <c r="O491" i="1" s="1"/>
  <c r="O263" i="1"/>
  <c r="O252" i="1" s="1"/>
  <c r="O251" i="1" s="1"/>
  <c r="M210" i="1"/>
  <c r="P237" i="1"/>
  <c r="P236" i="1" s="1"/>
  <c r="N269" i="1"/>
  <c r="N258" i="1" s="1"/>
  <c r="L1640" i="1"/>
  <c r="P333" i="1"/>
  <c r="P349" i="1" s="1"/>
  <c r="P494" i="1" s="1"/>
  <c r="P483" i="1" s="1"/>
  <c r="N371" i="1"/>
  <c r="N378" i="1"/>
  <c r="L268" i="1"/>
  <c r="L257" i="1" s="1"/>
  <c r="M374" i="1"/>
  <c r="P1731" i="1"/>
  <c r="M40" i="1"/>
  <c r="M37" i="1" s="1"/>
  <c r="M1726" i="1" s="1"/>
  <c r="M1664" i="1"/>
  <c r="L147" i="1"/>
  <c r="L375" i="1" s="1"/>
  <c r="N549" i="1"/>
  <c r="N272" i="1"/>
  <c r="N261" i="1" s="1"/>
  <c r="N1005" i="1"/>
  <c r="N1002" i="1" s="1"/>
  <c r="O1086" i="1"/>
  <c r="O1125" i="1"/>
  <c r="M907" i="1"/>
  <c r="M939" i="1" s="1"/>
  <c r="M962" i="1" s="1"/>
  <c r="M940" i="1"/>
  <c r="M963" i="1" s="1"/>
  <c r="L1083" i="1"/>
  <c r="O1729" i="1"/>
  <c r="O1665" i="1"/>
  <c r="N590" i="1"/>
  <c r="P38" i="1"/>
  <c r="P1562" i="1" s="1"/>
  <c r="O958" i="1"/>
  <c r="N1014" i="1"/>
  <c r="N1011" i="1" s="1"/>
  <c r="P1399" i="1"/>
  <c r="M2253" i="1"/>
  <c r="M2233" i="1" s="1"/>
  <c r="L22" i="1"/>
  <c r="L1713" i="1" s="1"/>
  <c r="P624" i="1"/>
  <c r="P183" i="1"/>
  <c r="P182" i="1" s="1"/>
  <c r="P679" i="1"/>
  <c r="P102" i="1"/>
  <c r="L38" i="1"/>
  <c r="P1823" i="1"/>
  <c r="M39" i="1"/>
  <c r="M1003" i="1"/>
  <c r="P39" i="1"/>
  <c r="M194" i="1"/>
  <c r="O1119" i="1"/>
  <c r="P1136" i="1"/>
  <c r="M440" i="1"/>
  <c r="M1399" i="1"/>
  <c r="O882" i="1"/>
  <c r="N1546" i="1"/>
  <c r="P440" i="1"/>
  <c r="M144" i="1"/>
  <c r="N38" i="1"/>
  <c r="P266" i="1"/>
  <c r="P255" i="1" s="1"/>
  <c r="L63" i="1"/>
  <c r="M644" i="1"/>
  <c r="P368" i="1"/>
  <c r="P546" i="1"/>
  <c r="P358" i="1"/>
  <c r="P734" i="1"/>
  <c r="M734" i="1"/>
  <c r="P370" i="1"/>
  <c r="P377" i="1"/>
  <c r="P548" i="1"/>
  <c r="L431" i="1"/>
  <c r="L434" i="1" s="1"/>
  <c r="L1021" i="1"/>
  <c r="L1020" i="1" s="1"/>
  <c r="L1119" i="1"/>
  <c r="P108" i="1"/>
  <c r="P336" i="1" s="1"/>
  <c r="P352" i="1" s="1"/>
  <c r="P497" i="1" s="1"/>
  <c r="P486" i="1" s="1"/>
  <c r="P267" i="1"/>
  <c r="P256" i="1" s="1"/>
  <c r="L196" i="1"/>
  <c r="L193" i="1" s="1"/>
  <c r="N102" i="1"/>
  <c r="N330" i="1" s="1"/>
  <c r="N346" i="1" s="1"/>
  <c r="M370" i="1"/>
  <c r="M377" i="1"/>
  <c r="P423" i="1"/>
  <c r="N369" i="1"/>
  <c r="L540" i="1"/>
  <c r="L338" i="1"/>
  <c r="L354" i="1" s="1"/>
  <c r="L263" i="1"/>
  <c r="L252" i="1"/>
  <c r="L240" i="1"/>
  <c r="L233" i="1" s="1"/>
  <c r="L310" i="1"/>
  <c r="L794" i="1"/>
  <c r="M282" i="1"/>
  <c r="M799" i="1"/>
  <c r="N692" i="1"/>
  <c r="N689" i="1" s="1"/>
  <c r="N785" i="1"/>
  <c r="O1136" i="1"/>
  <c r="O1569" i="1"/>
  <c r="O1568" i="1" s="1"/>
  <c r="L46" i="1"/>
  <c r="L1735" i="1" s="1"/>
  <c r="L1736" i="1"/>
  <c r="N335" i="1"/>
  <c r="N351" i="1" s="1"/>
  <c r="N496" i="1" s="1"/>
  <c r="M369" i="1"/>
  <c r="P282" i="1"/>
  <c r="P799" i="1"/>
  <c r="O986" i="1"/>
  <c r="O989" i="1"/>
  <c r="O988" i="1" s="1"/>
  <c r="M137" i="1"/>
  <c r="N1099" i="1"/>
  <c r="N1132" i="1"/>
  <c r="N1343" i="1"/>
  <c r="N1342" i="1" s="1"/>
  <c r="N1640" i="1"/>
  <c r="N238" i="1"/>
  <c r="N237" i="1"/>
  <c r="N236" i="1" s="1"/>
  <c r="P33" i="1"/>
  <c r="P1723" i="1" s="1"/>
  <c r="P1724" i="1"/>
  <c r="N192" i="1"/>
  <c r="M202" i="1"/>
  <c r="M205" i="1" s="1"/>
  <c r="P469" i="1"/>
  <c r="P468" i="1" s="1"/>
  <c r="O201" i="1"/>
  <c r="O200" i="1" s="1"/>
  <c r="O197" i="1"/>
  <c r="P194" i="1"/>
  <c r="P192" i="1"/>
  <c r="P191" i="1" s="1"/>
  <c r="M98" i="1"/>
  <c r="L57" i="1"/>
  <c r="L1740" i="1"/>
  <c r="M105" i="1"/>
  <c r="M333" i="1" s="1"/>
  <c r="M349" i="1" s="1"/>
  <c r="N148" i="1"/>
  <c r="N144" i="1" s="1"/>
  <c r="N679" i="1"/>
  <c r="N1126" i="1"/>
  <c r="N1088" i="1"/>
  <c r="P1101" i="1"/>
  <c r="P1133" i="1"/>
  <c r="O1824" i="1"/>
  <c r="L369" i="1"/>
  <c r="L358" i="1"/>
  <c r="L538" i="1"/>
  <c r="N48" i="1"/>
  <c r="N1737" i="1" s="1"/>
  <c r="N1738" i="1"/>
  <c r="N336" i="1"/>
  <c r="N352" i="1" s="1"/>
  <c r="N497" i="1" s="1"/>
  <c r="P536" i="1"/>
  <c r="O673" i="1"/>
  <c r="O670" i="1" s="1"/>
  <c r="M1013" i="1"/>
  <c r="M1012" i="1" s="1"/>
  <c r="M1006" i="1"/>
  <c r="N2" i="1"/>
  <c r="N1742" i="1"/>
  <c r="L267" i="1"/>
  <c r="L256" i="1" s="1"/>
  <c r="L108" i="1"/>
  <c r="L336" i="1" s="1"/>
  <c r="L352" i="1" s="1"/>
  <c r="O547" i="1"/>
  <c r="O369" i="1"/>
  <c r="P495" i="1"/>
  <c r="P484" i="1" s="1"/>
  <c r="P498" i="1"/>
  <c r="O690" i="1"/>
  <c r="O692" i="1"/>
  <c r="O689" i="1" s="1"/>
  <c r="N575" i="1"/>
  <c r="N441" i="1"/>
  <c r="N440" i="1" s="1"/>
  <c r="N1021" i="1"/>
  <c r="N1020" i="1" s="1"/>
  <c r="N1119" i="1"/>
  <c r="L785" i="1"/>
  <c r="P1083" i="1"/>
  <c r="P1124" i="1"/>
  <c r="O1315" i="1"/>
  <c r="O1399" i="1"/>
  <c r="O1126" i="1"/>
  <c r="O1088" i="1"/>
  <c r="L733" i="1"/>
  <c r="L693" i="1"/>
  <c r="L673" i="1"/>
  <c r="L670" i="1" s="1"/>
  <c r="O1843" i="1"/>
  <c r="L379" i="1"/>
  <c r="L337" i="1"/>
  <c r="L353" i="1" s="1"/>
  <c r="M33" i="1"/>
  <c r="M1723" i="1" s="1"/>
  <c r="M1724" i="1"/>
  <c r="M346" i="1"/>
  <c r="P335" i="1"/>
  <c r="P351" i="1" s="1"/>
  <c r="O533" i="1"/>
  <c r="O347" i="1"/>
  <c r="L679" i="1"/>
  <c r="L1006" i="1"/>
  <c r="L1013" i="1"/>
  <c r="L1012" i="1" s="1"/>
  <c r="N1885" i="1"/>
  <c r="L137" i="1"/>
  <c r="L367" i="1"/>
  <c r="N341" i="1"/>
  <c r="N357" i="1" s="1"/>
  <c r="P575" i="1"/>
  <c r="O367" i="1"/>
  <c r="O374" i="1" s="1"/>
  <c r="P1315" i="1"/>
  <c r="M22" i="1"/>
  <c r="M1714" i="1"/>
  <c r="P63" i="1"/>
  <c r="L377" i="1"/>
  <c r="L370" i="1"/>
  <c r="L39" i="1"/>
  <c r="L1555" i="1" s="1"/>
  <c r="O63" i="1"/>
  <c r="N553" i="1"/>
  <c r="O512" i="1"/>
  <c r="L105" i="1"/>
  <c r="L333" i="1" s="1"/>
  <c r="L349" i="1" s="1"/>
  <c r="O907" i="1"/>
  <c r="O939" i="1" s="1"/>
  <c r="O962" i="1" s="1"/>
  <c r="P731" i="1"/>
  <c r="P733" i="1"/>
  <c r="P1126" i="1"/>
  <c r="P1088" i="1"/>
  <c r="P1003" i="1"/>
  <c r="M1728" i="1"/>
  <c r="P240" i="1"/>
  <c r="P263" i="1"/>
  <c r="P252" i="1" s="1"/>
  <c r="P310" i="1"/>
  <c r="P794" i="1"/>
  <c r="L102" i="1"/>
  <c r="L330" i="1" s="1"/>
  <c r="L346" i="1" s="1"/>
  <c r="L425" i="1" s="1"/>
  <c r="L989" i="1"/>
  <c r="L988" i="1" s="1"/>
  <c r="L984" i="1" s="1"/>
  <c r="N1205" i="1"/>
  <c r="N1204" i="1" s="1"/>
  <c r="O1020" i="1"/>
  <c r="N137" i="1"/>
  <c r="N366" i="1"/>
  <c r="N528" i="1"/>
  <c r="N566" i="1"/>
  <c r="O467" i="1"/>
  <c r="O466" i="1" s="1"/>
  <c r="L500" i="1"/>
  <c r="P397" i="1"/>
  <c r="M1727" i="1"/>
  <c r="L541" i="1"/>
  <c r="N182" i="1"/>
  <c r="P958" i="1"/>
  <c r="P887" i="1"/>
  <c r="P882" i="1" s="1"/>
  <c r="N22" i="1"/>
  <c r="N1714" i="1"/>
  <c r="O863" i="1"/>
  <c r="O784" i="1"/>
  <c r="N353" i="1"/>
  <c r="P369" i="1"/>
  <c r="P547" i="1"/>
  <c r="O48" i="1"/>
  <c r="O1737" i="1" s="1"/>
  <c r="O1738" i="1"/>
  <c r="O534" i="1"/>
  <c r="N338" i="1"/>
  <c r="N354" i="1" s="1"/>
  <c r="M553" i="1"/>
  <c r="O436" i="1"/>
  <c r="O550" i="1"/>
  <c r="P330" i="1"/>
  <c r="P346" i="1" s="1"/>
  <c r="P714" i="1"/>
  <c r="O1205" i="1"/>
  <c r="O1204" i="1" s="1"/>
  <c r="O1314" i="1"/>
  <c r="N1569" i="1"/>
  <c r="N1568" i="1" s="1"/>
  <c r="O741" i="1"/>
  <c r="O735" i="1" s="1"/>
  <c r="P371" i="1"/>
  <c r="P378" i="1"/>
  <c r="M785" i="1"/>
  <c r="M1105" i="1"/>
  <c r="M1135" i="1"/>
  <c r="N733" i="1"/>
  <c r="N731" i="1"/>
  <c r="N263" i="1"/>
  <c r="N240" i="1"/>
  <c r="N233" i="1" s="1"/>
  <c r="N794" i="1"/>
  <c r="L427" i="1"/>
  <c r="P98" i="1"/>
  <c r="P356" i="1"/>
  <c r="P542" i="1"/>
  <c r="O1099" i="1"/>
  <c r="O1132" i="1"/>
  <c r="N379" i="1"/>
  <c r="N436" i="1"/>
  <c r="L146" i="1"/>
  <c r="N412" i="1"/>
  <c r="M575" i="1"/>
  <c r="O539" i="1"/>
  <c r="O353" i="1"/>
  <c r="M99" i="1"/>
  <c r="M327" i="1" s="1"/>
  <c r="M343" i="1" s="1"/>
  <c r="O1427" i="1"/>
  <c r="O1426" i="1" s="1"/>
  <c r="O733" i="1"/>
  <c r="M1021" i="1"/>
  <c r="M1020" i="1" s="1"/>
  <c r="M1119" i="1"/>
  <c r="N1427" i="1"/>
  <c r="N1426" i="1" s="1"/>
  <c r="N1315" i="1"/>
  <c r="P22" i="1"/>
  <c r="P1714" i="1"/>
  <c r="L553" i="1"/>
  <c r="L192" i="1"/>
  <c r="P1000" i="1"/>
  <c r="P113" i="1"/>
  <c r="P341" i="1" s="1"/>
  <c r="P357" i="1" s="1"/>
  <c r="P502" i="1" s="1"/>
  <c r="P491" i="1" s="1"/>
  <c r="P272" i="1"/>
  <c r="P261" i="1" s="1"/>
  <c r="M2" i="1"/>
  <c r="M1742" i="1"/>
  <c r="L204" i="1"/>
  <c r="L203" i="1" s="1"/>
  <c r="O98" i="1"/>
  <c r="P785" i="1"/>
  <c r="L887" i="1"/>
  <c r="L882" i="1" s="1"/>
  <c r="L958" i="1"/>
  <c r="O540" i="1"/>
  <c r="O338" i="1"/>
  <c r="O354" i="1" s="1"/>
  <c r="O499" i="1" s="1"/>
  <c r="P1021" i="1"/>
  <c r="P1020" i="1" s="1"/>
  <c r="P1119" i="1"/>
  <c r="O1728" i="1"/>
  <c r="P2" i="1"/>
  <c r="P1742" i="1"/>
  <c r="M110" i="1"/>
  <c r="M338" i="1" s="1"/>
  <c r="M354" i="1" s="1"/>
  <c r="O99" i="1"/>
  <c r="O327" i="1" s="1"/>
  <c r="O343" i="1" s="1"/>
  <c r="N532" i="1"/>
  <c r="M201" i="1"/>
  <c r="M197" i="1"/>
  <c r="P464" i="1"/>
  <c r="N196" i="1"/>
  <c r="N193" i="1" s="1"/>
  <c r="N103" i="1"/>
  <c r="N331" i="1" s="1"/>
  <c r="N347" i="1" s="1"/>
  <c r="P57" i="1"/>
  <c r="P1740" i="1"/>
  <c r="P487" i="1"/>
  <c r="O22" i="1"/>
  <c r="O1714" i="1"/>
  <c r="L464" i="1"/>
  <c r="L528" i="1"/>
  <c r="L469" i="1"/>
  <c r="L468" i="1" s="1"/>
  <c r="M518" i="1"/>
  <c r="M111" i="1"/>
  <c r="M339" i="1" s="1"/>
  <c r="M355" i="1" s="1"/>
  <c r="N543" i="1"/>
  <c r="M263" i="1"/>
  <c r="M252" i="1" s="1"/>
  <c r="M310" i="1"/>
  <c r="M240" i="1"/>
  <c r="M794" i="1"/>
  <c r="M733" i="1"/>
  <c r="M731" i="1"/>
  <c r="M272" i="1"/>
  <c r="M261" i="1" s="1"/>
  <c r="P1097" i="1"/>
  <c r="P1093" i="1"/>
  <c r="P1095" i="1"/>
  <c r="P1096" i="1"/>
  <c r="O1593" i="1"/>
  <c r="L304" i="1"/>
  <c r="L417" i="1"/>
  <c r="L416" i="1" s="1"/>
  <c r="L298" i="1"/>
  <c r="L302" i="1" s="1"/>
  <c r="M690" i="1"/>
  <c r="M692" i="1"/>
  <c r="M689" i="1" s="1"/>
  <c r="M335" i="1"/>
  <c r="M351" i="1" s="1"/>
  <c r="P46" i="1"/>
  <c r="P1735" i="1" s="1"/>
  <c r="P49" i="1"/>
  <c r="P1427" i="1" s="1"/>
  <c r="P1426" i="1" s="1"/>
  <c r="P1736" i="1"/>
  <c r="N368" i="1"/>
  <c r="N546" i="1"/>
  <c r="L41" i="1"/>
  <c r="L1731" i="1"/>
  <c r="P201" i="1"/>
  <c r="P200" i="1" s="1"/>
  <c r="P197" i="1"/>
  <c r="M373" i="1"/>
  <c r="P273" i="1"/>
  <c r="P280" i="1"/>
  <c r="P279" i="1" s="1"/>
  <c r="P797" i="1"/>
  <c r="N203" i="1"/>
  <c r="L741" i="1"/>
  <c r="L735" i="1" s="1"/>
  <c r="P518" i="1"/>
  <c r="M882" i="1"/>
  <c r="N98" i="1"/>
  <c r="N555" i="1"/>
  <c r="M528" i="1"/>
  <c r="M464" i="1"/>
  <c r="M469" i="1"/>
  <c r="M468" i="1" s="1"/>
  <c r="M1136" i="1"/>
  <c r="N1006" i="1"/>
  <c r="N1013" i="1"/>
  <c r="N1616" i="1"/>
  <c r="N1615" i="1" s="1"/>
  <c r="N2253" i="1"/>
  <c r="N2233" i="1" s="1"/>
  <c r="O137" i="1"/>
  <c r="O366" i="1"/>
  <c r="N644" i="1"/>
  <c r="P673" i="1"/>
  <c r="P670" i="1" s="1"/>
  <c r="P694" i="1"/>
  <c r="L440" i="1"/>
  <c r="L731" i="1"/>
  <c r="O532" i="1"/>
  <c r="O2" i="1"/>
  <c r="O1742" i="1"/>
  <c r="L347" i="1"/>
  <c r="L533" i="1"/>
  <c r="L182" i="1"/>
  <c r="L564" i="1"/>
  <c r="N501" i="1"/>
  <c r="N490" i="1" s="1"/>
  <c r="N907" i="1"/>
  <c r="N939" i="1" s="1"/>
  <c r="N962" i="1" s="1"/>
  <c r="M1001" i="1"/>
  <c r="M1000" i="1" s="1"/>
  <c r="P1205" i="1"/>
  <c r="P1204" i="1" s="1"/>
  <c r="M1315" i="1"/>
  <c r="N1136" i="1"/>
  <c r="M46" i="1"/>
  <c r="M1735" i="1" s="1"/>
  <c r="M49" i="1"/>
  <c r="M1736" i="1"/>
  <c r="P907" i="1"/>
  <c r="P939" i="1" s="1"/>
  <c r="P962" i="1" s="1"/>
  <c r="O298" i="1"/>
  <c r="O302" i="1" s="1"/>
  <c r="O304" i="1"/>
  <c r="O417" i="1"/>
  <c r="O416" i="1" s="1"/>
  <c r="N512" i="1"/>
  <c r="L907" i="1"/>
  <c r="L939" i="1" s="1"/>
  <c r="L962" i="1" s="1"/>
  <c r="O1343" i="1"/>
  <c r="O1342" i="1" s="1"/>
  <c r="N538" i="1"/>
  <c r="O262" i="1"/>
  <c r="O145" i="1"/>
  <c r="O144" i="1" s="1"/>
  <c r="L2" i="1"/>
  <c r="L1742" i="1"/>
  <c r="L565" i="1"/>
  <c r="L539" i="1"/>
  <c r="M397" i="1"/>
  <c r="M438" i="1"/>
  <c r="M564" i="1"/>
  <c r="L357" i="1"/>
  <c r="N57" i="1"/>
  <c r="N1740" i="1"/>
  <c r="N467" i="1"/>
  <c r="N466" i="1" s="1"/>
  <c r="N464" i="1"/>
  <c r="P145" i="1"/>
  <c r="P144" i="1" s="1"/>
  <c r="P137" i="1"/>
  <c r="P366" i="1"/>
  <c r="O549" i="1"/>
  <c r="O371" i="1"/>
  <c r="O378" i="1"/>
  <c r="O330" i="1"/>
  <c r="O346" i="1" s="1"/>
  <c r="O425" i="1" s="1"/>
  <c r="O280" i="1"/>
  <c r="O279" i="1" s="1"/>
  <c r="O797" i="1"/>
  <c r="O273" i="1"/>
  <c r="O233" i="1" s="1"/>
  <c r="N542" i="1"/>
  <c r="P415" i="1"/>
  <c r="P414" i="1" s="1"/>
  <c r="P412" i="1"/>
  <c r="L98" i="1"/>
  <c r="M108" i="1"/>
  <c r="M336" i="1" s="1"/>
  <c r="M352" i="1" s="1"/>
  <c r="M497" i="1" s="1"/>
  <c r="M486" i="1" s="1"/>
  <c r="M267" i="1"/>
  <c r="M256" i="1" s="1"/>
  <c r="N33" i="1"/>
  <c r="N1723" i="1" s="1"/>
  <c r="N1724" i="1"/>
  <c r="O397" i="1"/>
  <c r="N417" i="1"/>
  <c r="N416" i="1" s="1"/>
  <c r="L99" i="1"/>
  <c r="L327" i="1" s="1"/>
  <c r="L343" i="1" s="1"/>
  <c r="M958" i="1"/>
  <c r="M1126" i="1"/>
  <c r="L1314" i="1"/>
  <c r="N1399" i="1"/>
  <c r="P2233" i="1"/>
  <c r="O2295" i="1"/>
  <c r="O1546" i="1"/>
  <c r="L237" i="1"/>
  <c r="L236" i="1" s="1"/>
  <c r="L238" i="1"/>
  <c r="P543" i="1"/>
  <c r="L33" i="1"/>
  <c r="L1723" i="1" s="1"/>
  <c r="L1724" i="1"/>
  <c r="O183" i="1"/>
  <c r="O182" i="1" s="1"/>
  <c r="M192" i="1"/>
  <c r="M191" i="1" s="1"/>
  <c r="O672" i="1"/>
  <c r="N552" i="1"/>
  <c r="M183" i="1"/>
  <c r="P986" i="1"/>
  <c r="P989" i="1"/>
  <c r="P988" i="1" s="1"/>
  <c r="O1105" i="1"/>
  <c r="O1135" i="1"/>
  <c r="O1010" i="1"/>
  <c r="O1009" i="1" s="1"/>
  <c r="N741" i="1"/>
  <c r="N735" i="1" s="1"/>
  <c r="M331" i="1"/>
  <c r="M347" i="1" s="1"/>
  <c r="N39" i="1"/>
  <c r="N1160" i="1" s="1"/>
  <c r="M540" i="1"/>
  <c r="P553" i="1"/>
  <c r="N1095" i="1"/>
  <c r="N1093" i="1"/>
  <c r="N1096" i="1"/>
  <c r="N1097" i="1"/>
  <c r="P1013" i="1"/>
  <c r="P1010" i="1"/>
  <c r="P1006" i="1"/>
  <c r="P1593" i="1"/>
  <c r="G1665" i="1"/>
  <c r="H1665" i="1"/>
  <c r="I1665" i="1"/>
  <c r="F1665" i="1"/>
  <c r="I37" i="1"/>
  <c r="H37" i="1"/>
  <c r="G37" i="1"/>
  <c r="F37" i="1"/>
  <c r="I1664" i="1"/>
  <c r="H1664" i="1"/>
  <c r="G1664" i="1"/>
  <c r="F1664" i="1"/>
  <c r="N738" i="1" l="1" a="1"/>
  <c r="N738" i="1" s="1"/>
  <c r="N736" i="1" a="1"/>
  <c r="N736" i="1" s="1"/>
  <c r="O38" i="1"/>
  <c r="O1658" i="1"/>
  <c r="O1659" i="1" s="1"/>
  <c r="O1414" i="1"/>
  <c r="M182" i="1"/>
  <c r="N1331" i="1"/>
  <c r="N1563" i="1"/>
  <c r="N1561" i="1" s="1"/>
  <c r="N1560" i="1" s="1"/>
  <c r="N1415" i="1"/>
  <c r="N1610" i="1"/>
  <c r="N1608" i="1" s="1"/>
  <c r="N1607" i="1" s="1"/>
  <c r="N1184" i="1"/>
  <c r="O1012" i="1"/>
  <c r="O1562" i="1"/>
  <c r="N1330" i="1"/>
  <c r="L1344" i="1"/>
  <c r="L1343" i="1" s="1"/>
  <c r="L1342" i="1" s="1"/>
  <c r="P1184" i="1"/>
  <c r="P1182" i="1" s="1"/>
  <c r="P1181" i="1" s="1"/>
  <c r="P1563" i="1"/>
  <c r="P1331" i="1"/>
  <c r="P1329" i="1" s="1"/>
  <c r="P1328" i="1" s="1"/>
  <c r="P1610" i="1"/>
  <c r="P1415" i="1"/>
  <c r="Q1512" i="1"/>
  <c r="Q1510" i="1" s="1"/>
  <c r="Q1509" i="1" s="1"/>
  <c r="Q1603" i="1"/>
  <c r="Q1653" i="1"/>
  <c r="Q1556" i="1"/>
  <c r="Q1161" i="1"/>
  <c r="Q1602" i="1"/>
  <c r="Q1601" i="1" s="1"/>
  <c r="Q1600" i="1" s="1"/>
  <c r="Q1022" i="1"/>
  <c r="Q1119" i="1" s="1"/>
  <c r="O1330" i="1"/>
  <c r="Q22" i="1"/>
  <c r="P1556" i="1"/>
  <c r="P1512" i="1"/>
  <c r="P1653" i="1"/>
  <c r="P1161" i="1"/>
  <c r="P1603" i="1"/>
  <c r="N1414" i="1"/>
  <c r="N1603" i="1"/>
  <c r="N1512" i="1"/>
  <c r="N1653" i="1"/>
  <c r="N1556" i="1"/>
  <c r="N1161" i="1"/>
  <c r="L1207" i="1"/>
  <c r="L1571" i="1"/>
  <c r="L1429" i="1"/>
  <c r="L1618" i="1"/>
  <c r="L1345" i="1"/>
  <c r="N1652" i="1"/>
  <c r="O33" i="1"/>
  <c r="O1723" i="1" s="1"/>
  <c r="P1012" i="1"/>
  <c r="L48" i="1"/>
  <c r="L1737" i="1" s="1"/>
  <c r="M1603" i="1"/>
  <c r="M1601" i="1" s="1"/>
  <c r="M1600" i="1" s="1"/>
  <c r="M1512" i="1"/>
  <c r="M1510" i="1" s="1"/>
  <c r="M1509" i="1" s="1"/>
  <c r="M1161" i="1"/>
  <c r="M1159" i="1" s="1"/>
  <c r="M1158" i="1" s="1"/>
  <c r="M1556" i="1"/>
  <c r="M1653" i="1"/>
  <c r="M1511" i="1"/>
  <c r="P1658" i="1"/>
  <c r="P1659" i="1" s="1"/>
  <c r="O1724" i="1"/>
  <c r="Q1160" i="1"/>
  <c r="N1562" i="1"/>
  <c r="P1609" i="1"/>
  <c r="P1414" i="1"/>
  <c r="P1413" i="1" s="1"/>
  <c r="P1412" i="1" s="1"/>
  <c r="N1511" i="1"/>
  <c r="L181" i="1"/>
  <c r="O192" i="1"/>
  <c r="O191" i="1" s="1"/>
  <c r="L1184" i="1"/>
  <c r="L1182" i="1" s="1"/>
  <c r="L1181" i="1" s="1"/>
  <c r="L1415" i="1"/>
  <c r="L1413" i="1" s="1"/>
  <c r="L1412" i="1" s="1"/>
  <c r="L1331" i="1"/>
  <c r="L1563" i="1"/>
  <c r="L1561" i="1" s="1"/>
  <c r="L1560" i="1" s="1"/>
  <c r="L1610" i="1"/>
  <c r="L1608" i="1" s="1"/>
  <c r="L1607" i="1" s="1"/>
  <c r="Q1652" i="1"/>
  <c r="P1602" i="1"/>
  <c r="N1012" i="1"/>
  <c r="M200" i="1"/>
  <c r="M1571" i="1"/>
  <c r="M1618" i="1"/>
  <c r="M1207" i="1"/>
  <c r="M1429" i="1"/>
  <c r="M1345" i="1"/>
  <c r="M1343" i="1" s="1"/>
  <c r="M1342" i="1" s="1"/>
  <c r="L1653" i="1"/>
  <c r="L1651" i="1" s="1"/>
  <c r="L1650" i="1" s="1"/>
  <c r="L1512" i="1"/>
  <c r="L1161" i="1"/>
  <c r="L1556" i="1"/>
  <c r="L1603" i="1"/>
  <c r="O738" i="1" a="1"/>
  <c r="O738" i="1" s="1"/>
  <c r="O736" i="1" a="1"/>
  <c r="O736" i="1" s="1"/>
  <c r="O737" i="1" s="1"/>
  <c r="P1009" i="1"/>
  <c r="L736" i="1" a="1"/>
  <c r="L736" i="1" s="1"/>
  <c r="L738" i="1" a="1"/>
  <c r="L738" i="1" s="1"/>
  <c r="L1738" i="1"/>
  <c r="L1602" i="1"/>
  <c r="O1556" i="1"/>
  <c r="O1512" i="1"/>
  <c r="O1603" i="1"/>
  <c r="O1601" i="1" s="1"/>
  <c r="O1600" i="1" s="1"/>
  <c r="O1161" i="1"/>
  <c r="O1653" i="1"/>
  <c r="O1651" i="1" s="1"/>
  <c r="O1650" i="1" s="1"/>
  <c r="M1555" i="1"/>
  <c r="M1554" i="1" s="1"/>
  <c r="M1553" i="1" s="1"/>
  <c r="M1331" i="1"/>
  <c r="M1415" i="1"/>
  <c r="M1413" i="1" s="1"/>
  <c r="M1412" i="1" s="1"/>
  <c r="M1563" i="1"/>
  <c r="M1610" i="1"/>
  <c r="M1184" i="1"/>
  <c r="N1658" i="1"/>
  <c r="N1659" i="1" s="1"/>
  <c r="M1562" i="1"/>
  <c r="M1561" i="1" s="1"/>
  <c r="M1560" i="1" s="1"/>
  <c r="L1570" i="1"/>
  <c r="Q738" i="1" a="1"/>
  <c r="Q738" i="1" s="1"/>
  <c r="Q736" i="1" a="1"/>
  <c r="Q736" i="1" s="1"/>
  <c r="Q737" i="1" s="1"/>
  <c r="N1555" i="1"/>
  <c r="N1554" i="1" s="1"/>
  <c r="N1553" i="1" s="1"/>
  <c r="L1652" i="1"/>
  <c r="L144" i="1"/>
  <c r="M1617" i="1"/>
  <c r="L1003" i="1"/>
  <c r="Q48" i="1"/>
  <c r="Q1737" i="1" s="1"/>
  <c r="N1602" i="1"/>
  <c r="M1330" i="1"/>
  <c r="M1329" i="1" s="1"/>
  <c r="M1328" i="1" s="1"/>
  <c r="M1344" i="1"/>
  <c r="L1617" i="1"/>
  <c r="L1616" i="1" s="1"/>
  <c r="L1615" i="1" s="1"/>
  <c r="Q233" i="1"/>
  <c r="Q181" i="1" s="1"/>
  <c r="M1183" i="1"/>
  <c r="M1570" i="1"/>
  <c r="Q1021" i="1"/>
  <c r="Q1020" i="1" s="1"/>
  <c r="Q552" i="1"/>
  <c r="O1003" i="1"/>
  <c r="Q426" i="1"/>
  <c r="M467" i="1"/>
  <c r="M466" i="1" s="1"/>
  <c r="L1001" i="1"/>
  <c r="L1000" i="1" s="1"/>
  <c r="O501" i="1"/>
  <c r="O490" i="1" s="1"/>
  <c r="Q192" i="1"/>
  <c r="Q191" i="1" s="1"/>
  <c r="Q194" i="1"/>
  <c r="P1729" i="1"/>
  <c r="P1665" i="1"/>
  <c r="Q467" i="1"/>
  <c r="Q466" i="1" s="1"/>
  <c r="Q494" i="1"/>
  <c r="Q483" i="1" s="1"/>
  <c r="O426" i="1"/>
  <c r="O424" i="1" s="1"/>
  <c r="Q1729" i="1"/>
  <c r="P332" i="1"/>
  <c r="P348" i="1" s="1"/>
  <c r="P342" i="1" s="1"/>
  <c r="P326" i="1" s="1"/>
  <c r="L494" i="1"/>
  <c r="L483" i="1" s="1"/>
  <c r="M426" i="1"/>
  <c r="M423" i="1" s="1"/>
  <c r="P1569" i="1"/>
  <c r="P1568" i="1" s="1"/>
  <c r="Q412" i="1"/>
  <c r="Q415" i="1"/>
  <c r="Q414" i="1" s="1"/>
  <c r="Q527" i="1"/>
  <c r="M496" i="1"/>
  <c r="Q734" i="1"/>
  <c r="Q1724" i="1"/>
  <c r="Q33" i="1"/>
  <c r="Q1723" i="1" s="1"/>
  <c r="Q376" i="1"/>
  <c r="Q432" i="1"/>
  <c r="Q435" i="1" s="1"/>
  <c r="Q262" i="1"/>
  <c r="Q1010" i="1"/>
  <c r="Q1009" i="1" s="1"/>
  <c r="Q252" i="1"/>
  <c r="Q251" i="1" s="1"/>
  <c r="Q1713" i="1"/>
  <c r="Q1711" i="1" s="1"/>
  <c r="Q20" i="1"/>
  <c r="Q38" i="1"/>
  <c r="Q425" i="1"/>
  <c r="Q424" i="1" s="1"/>
  <c r="Q497" i="1"/>
  <c r="Q486" i="1" s="1"/>
  <c r="Q792" i="1"/>
  <c r="Q835" i="1" s="1"/>
  <c r="Q868" i="1" s="1"/>
  <c r="Q1159" i="1"/>
  <c r="Q1158" i="1" s="1"/>
  <c r="Q1728" i="1"/>
  <c r="Q510" i="1"/>
  <c r="Q509" i="1" s="1"/>
  <c r="Q503" i="1"/>
  <c r="Q418" i="1"/>
  <c r="Q550" i="1"/>
  <c r="Q547" i="1"/>
  <c r="Q332" i="1"/>
  <c r="Q348" i="1" s="1"/>
  <c r="Q534" i="1"/>
  <c r="Q291" i="1"/>
  <c r="Q498" i="1"/>
  <c r="Q487" i="1" s="1"/>
  <c r="Q427" i="1"/>
  <c r="Q725" i="1"/>
  <c r="Q722" i="1" s="1"/>
  <c r="Q721" i="1" s="1"/>
  <c r="Q375" i="1"/>
  <c r="Q431" i="1"/>
  <c r="Q546" i="1"/>
  <c r="Q538" i="1"/>
  <c r="Q423" i="1"/>
  <c r="Q548" i="1"/>
  <c r="O1510" i="1"/>
  <c r="O1509" i="1" s="1"/>
  <c r="M1729" i="1"/>
  <c r="M1665" i="1"/>
  <c r="L1665" i="1"/>
  <c r="L1729" i="1"/>
  <c r="P496" i="1"/>
  <c r="P485" i="1" s="1"/>
  <c r="N1000" i="1"/>
  <c r="O542" i="1"/>
  <c r="N1727" i="1"/>
  <c r="P1727" i="1"/>
  <c r="M499" i="1"/>
  <c r="M488" i="1" s="1"/>
  <c r="L498" i="1"/>
  <c r="L487" i="1" s="1"/>
  <c r="L512" i="1"/>
  <c r="M251" i="1"/>
  <c r="L497" i="1"/>
  <c r="L486" i="1" s="1"/>
  <c r="P251" i="1"/>
  <c r="L251" i="1"/>
  <c r="O1823" i="1"/>
  <c r="L262" i="1"/>
  <c r="P425" i="1"/>
  <c r="P424" i="1" s="1"/>
  <c r="L499" i="1"/>
  <c r="L488" i="1" s="1"/>
  <c r="M1010" i="1"/>
  <c r="M1009" i="1" s="1"/>
  <c r="L502" i="1"/>
  <c r="L491" i="1" s="1"/>
  <c r="P1657" i="1"/>
  <c r="P1656" i="1" s="1"/>
  <c r="O984" i="1"/>
  <c r="L527" i="1"/>
  <c r="N1665" i="1"/>
  <c r="N1729" i="1"/>
  <c r="L291" i="1"/>
  <c r="N426" i="1"/>
  <c r="L1727" i="1"/>
  <c r="N1003" i="1"/>
  <c r="P467" i="1"/>
  <c r="P466" i="1" s="1"/>
  <c r="N262" i="1"/>
  <c r="P1616" i="1"/>
  <c r="P1615" i="1" s="1"/>
  <c r="O1727" i="1"/>
  <c r="P233" i="1"/>
  <c r="P181" i="1" s="1"/>
  <c r="L37" i="1"/>
  <c r="L1726" i="1" s="1"/>
  <c r="O37" i="1"/>
  <c r="O1726" i="1" s="1"/>
  <c r="N181" i="1"/>
  <c r="P1343" i="1"/>
  <c r="P1342" i="1" s="1"/>
  <c r="M1651" i="1"/>
  <c r="M1650" i="1" s="1"/>
  <c r="M204" i="1"/>
  <c r="M203" i="1" s="1"/>
  <c r="P37" i="1"/>
  <c r="P1726" i="1" s="1"/>
  <c r="P1728" i="1"/>
  <c r="N252" i="1"/>
  <c r="N251" i="1" s="1"/>
  <c r="P1554" i="1"/>
  <c r="P1553" i="1" s="1"/>
  <c r="N1182" i="1"/>
  <c r="N1181" i="1" s="1"/>
  <c r="P1510" i="1"/>
  <c r="P1509" i="1" s="1"/>
  <c r="M1608" i="1"/>
  <c r="M1607" i="1" s="1"/>
  <c r="L1205" i="1"/>
  <c r="L1204" i="1" s="1"/>
  <c r="L1569" i="1"/>
  <c r="L1568" i="1" s="1"/>
  <c r="N37" i="1"/>
  <c r="N1726" i="1" s="1"/>
  <c r="P1601" i="1"/>
  <c r="P1600" i="1" s="1"/>
  <c r="L1010" i="1"/>
  <c r="L1009" i="1" s="1"/>
  <c r="N734" i="1"/>
  <c r="L734" i="1"/>
  <c r="O734" i="1"/>
  <c r="M750" i="1"/>
  <c r="M745" i="1"/>
  <c r="M746" i="1"/>
  <c r="M747" i="1"/>
  <c r="M748" i="1"/>
  <c r="M749" i="1"/>
  <c r="O785" i="1"/>
  <c r="N373" i="1"/>
  <c r="N365" i="1"/>
  <c r="M761" i="1"/>
  <c r="M757" i="1"/>
  <c r="M758" i="1"/>
  <c r="M759" i="1"/>
  <c r="M760" i="1"/>
  <c r="M762" i="1"/>
  <c r="M425" i="1"/>
  <c r="M737" i="1"/>
  <c r="N499" i="1"/>
  <c r="N488" i="1" s="1"/>
  <c r="N502" i="1"/>
  <c r="N491" i="1" s="1"/>
  <c r="O725" i="1"/>
  <c r="O722" i="1" s="1"/>
  <c r="O721" i="1" s="1"/>
  <c r="P501" i="1"/>
  <c r="P490" i="1" s="1"/>
  <c r="M502" i="1"/>
  <c r="M491" i="1" s="1"/>
  <c r="N1713" i="1"/>
  <c r="N1711" i="1" s="1"/>
  <c r="N20" i="1"/>
  <c r="M485" i="1"/>
  <c r="M537" i="1"/>
  <c r="M565" i="1"/>
  <c r="L1159" i="1"/>
  <c r="L1158" i="1" s="1"/>
  <c r="L510" i="1"/>
  <c r="L509" i="1" s="1"/>
  <c r="L503" i="1"/>
  <c r="O370" i="1"/>
  <c r="O377" i="1"/>
  <c r="O548" i="1"/>
  <c r="L552" i="1"/>
  <c r="M494" i="1"/>
  <c r="M483" i="1" s="1"/>
  <c r="M512" i="1"/>
  <c r="M379" i="1"/>
  <c r="N425" i="1"/>
  <c r="N535" i="1"/>
  <c r="O373" i="1"/>
  <c r="L792" i="1"/>
  <c r="L835" i="1"/>
  <c r="L868" i="1" s="1"/>
  <c r="N422" i="1"/>
  <c r="N418" i="1"/>
  <c r="P984" i="1"/>
  <c r="P565" i="1"/>
  <c r="O181" i="1"/>
  <c r="L422" i="1"/>
  <c r="L418" i="1"/>
  <c r="L532" i="1"/>
  <c r="M1657" i="1"/>
  <c r="M1656" i="1" s="1"/>
  <c r="P725" i="1"/>
  <c r="P722" i="1" s="1"/>
  <c r="P721" i="1" s="1"/>
  <c r="O486" i="1"/>
  <c r="O538" i="1"/>
  <c r="P418" i="1"/>
  <c r="O1657" i="1"/>
  <c r="O1656" i="1" s="1"/>
  <c r="N332" i="1"/>
  <c r="N348" i="1" s="1"/>
  <c r="L534" i="1"/>
  <c r="L332" i="1"/>
  <c r="L348" i="1" s="1"/>
  <c r="L493" i="1" s="1"/>
  <c r="M1713" i="1"/>
  <c r="M1711" i="1" s="1"/>
  <c r="M20" i="1"/>
  <c r="O1713" i="1"/>
  <c r="O1711" i="1" s="1"/>
  <c r="O20" i="1"/>
  <c r="O470" i="1"/>
  <c r="L415" i="1"/>
  <c r="L414" i="1" s="1"/>
  <c r="L412" i="1"/>
  <c r="L467" i="1"/>
  <c r="L466" i="1" s="1"/>
  <c r="O493" i="1"/>
  <c r="O1159" i="1"/>
  <c r="O1158" i="1" s="1"/>
  <c r="P537" i="1"/>
  <c r="N423" i="1"/>
  <c r="M422" i="1"/>
  <c r="M418" i="1"/>
  <c r="M532" i="1"/>
  <c r="O342" i="1"/>
  <c r="O326" i="1" s="1"/>
  <c r="N486" i="1"/>
  <c r="P365" i="1"/>
  <c r="P373" i="1"/>
  <c r="N494" i="1"/>
  <c r="N483" i="1" s="1"/>
  <c r="N792" i="1"/>
  <c r="O537" i="1"/>
  <c r="O518" i="1"/>
  <c r="O565" i="1"/>
  <c r="O496" i="1"/>
  <c r="O485" i="1" s="1"/>
  <c r="M533" i="1"/>
  <c r="O498" i="1"/>
  <c r="O487" i="1" s="1"/>
  <c r="P512" i="1"/>
  <c r="P379" i="1"/>
  <c r="P291" i="1" s="1"/>
  <c r="P552" i="1"/>
  <c r="P762" i="1"/>
  <c r="P757" i="1"/>
  <c r="P758" i="1"/>
  <c r="P759" i="1"/>
  <c r="P761" i="1"/>
  <c r="P760" i="1"/>
  <c r="P749" i="1"/>
  <c r="P750" i="1"/>
  <c r="P745" i="1"/>
  <c r="P746" i="1"/>
  <c r="P747" i="1"/>
  <c r="P748" i="1"/>
  <c r="O422" i="1"/>
  <c r="O418" i="1"/>
  <c r="L692" i="1"/>
  <c r="L689" i="1" s="1"/>
  <c r="L690" i="1"/>
  <c r="P737" i="1"/>
  <c r="O368" i="1"/>
  <c r="O365" i="1" s="1"/>
  <c r="O546" i="1"/>
  <c r="O358" i="1"/>
  <c r="O291" i="1" s="1"/>
  <c r="N310" i="1"/>
  <c r="L374" i="1"/>
  <c r="L365" i="1"/>
  <c r="O432" i="1"/>
  <c r="O435" i="1" s="1"/>
  <c r="O376" i="1"/>
  <c r="M543" i="1"/>
  <c r="L1730" i="1"/>
  <c r="L1711" i="1" s="1"/>
  <c r="L20" i="1"/>
  <c r="O1554" i="1"/>
  <c r="O1553" i="1" s="1"/>
  <c r="L194" i="1"/>
  <c r="P792" i="1"/>
  <c r="P840" i="1" s="1"/>
  <c r="P873" i="1" s="1"/>
  <c r="O527" i="1"/>
  <c r="L426" i="1"/>
  <c r="L424" i="1" s="1"/>
  <c r="L191" i="1"/>
  <c r="P534" i="1"/>
  <c r="L725" i="1"/>
  <c r="L722" i="1" s="1"/>
  <c r="L721" i="1" s="1"/>
  <c r="O204" i="1"/>
  <c r="O203" i="1" s="1"/>
  <c r="N485" i="1"/>
  <c r="N537" i="1"/>
  <c r="N547" i="1"/>
  <c r="L543" i="1"/>
  <c r="P692" i="1"/>
  <c r="P689" i="1" s="1"/>
  <c r="P691" i="1"/>
  <c r="O792" i="1"/>
  <c r="O838" i="1" s="1"/>
  <c r="O871" i="1" s="1"/>
  <c r="N725" i="1"/>
  <c r="N722" i="1" s="1"/>
  <c r="N721" i="1" s="1"/>
  <c r="P204" i="1"/>
  <c r="P203" i="1" s="1"/>
  <c r="N1728" i="1"/>
  <c r="N1601" i="1"/>
  <c r="N1600" i="1" s="1"/>
  <c r="L1329" i="1"/>
  <c r="L1328" i="1" s="1"/>
  <c r="N427" i="1"/>
  <c r="M233" i="1"/>
  <c r="M181" i="1" s="1"/>
  <c r="N415" i="1"/>
  <c r="N414" i="1" s="1"/>
  <c r="N376" i="1"/>
  <c r="N432" i="1"/>
  <c r="N435" i="1" s="1"/>
  <c r="P503" i="1"/>
  <c r="P510" i="1"/>
  <c r="P509" i="1" s="1"/>
  <c r="M725" i="1"/>
  <c r="M722" i="1" s="1"/>
  <c r="M721" i="1" s="1"/>
  <c r="M376" i="1"/>
  <c r="M432" i="1"/>
  <c r="M435" i="1" s="1"/>
  <c r="L535" i="1"/>
  <c r="P438" i="1"/>
  <c r="P564" i="1"/>
  <c r="M792" i="1"/>
  <c r="M835" i="1"/>
  <c r="M868" i="1" s="1"/>
  <c r="N375" i="1"/>
  <c r="N431" i="1"/>
  <c r="N434" i="1" s="1"/>
  <c r="M534" i="1"/>
  <c r="M332" i="1"/>
  <c r="M348" i="1" s="1"/>
  <c r="P262" i="1"/>
  <c r="M48" i="1"/>
  <c r="M1737" i="1" s="1"/>
  <c r="M1738" i="1"/>
  <c r="L432" i="1"/>
  <c r="L430" i="1" s="1"/>
  <c r="L376" i="1"/>
  <c r="O552" i="1"/>
  <c r="O415" i="1"/>
  <c r="O414" i="1" s="1"/>
  <c r="O412" i="1"/>
  <c r="N1010" i="1"/>
  <c r="N1009" i="1" s="1"/>
  <c r="M262" i="1"/>
  <c r="M546" i="1"/>
  <c r="M368" i="1"/>
  <c r="M358" i="1"/>
  <c r="L1510" i="1"/>
  <c r="L1509" i="1" s="1"/>
  <c r="L1728" i="1"/>
  <c r="L1601" i="1"/>
  <c r="L1600" i="1" s="1"/>
  <c r="L1427" i="1"/>
  <c r="L1426" i="1" s="1"/>
  <c r="P48" i="1"/>
  <c r="P1737" i="1" s="1"/>
  <c r="P1738" i="1"/>
  <c r="P1713" i="1"/>
  <c r="P1711" i="1" s="1"/>
  <c r="P20" i="1"/>
  <c r="N550" i="1"/>
  <c r="P376" i="1"/>
  <c r="P432" i="1"/>
  <c r="P435" i="1" s="1"/>
  <c r="L548" i="1"/>
  <c r="N194" i="1"/>
  <c r="M510" i="1"/>
  <c r="M509" i="1" s="1"/>
  <c r="M503" i="1"/>
  <c r="M548" i="1"/>
  <c r="P427" i="1"/>
  <c r="N533" i="1"/>
  <c r="N540" i="1"/>
  <c r="O488" i="1"/>
  <c r="N498" i="1"/>
  <c r="N487" i="1" s="1"/>
  <c r="L1657" i="1"/>
  <c r="L1656" i="1" s="1"/>
  <c r="N191" i="1"/>
  <c r="P532" i="1"/>
  <c r="P375" i="1"/>
  <c r="P431" i="1"/>
  <c r="N539" i="1"/>
  <c r="L547" i="1"/>
  <c r="M1182" i="1"/>
  <c r="M1181" i="1" s="1"/>
  <c r="M535" i="1"/>
  <c r="K36" i="1"/>
  <c r="K40" i="1" s="1"/>
  <c r="K1665" i="1" s="1"/>
  <c r="J36" i="1"/>
  <c r="J40" i="1" s="1"/>
  <c r="J1665" i="1" s="1"/>
  <c r="K1664" i="1"/>
  <c r="Q1331" i="1" l="1"/>
  <c r="Q1610" i="1"/>
  <c r="Q1184" i="1"/>
  <c r="Q1415" i="1"/>
  <c r="Q1563" i="1"/>
  <c r="Q1183" i="1"/>
  <c r="Q1330" i="1"/>
  <c r="Q1329" i="1" s="1"/>
  <c r="Q1328" i="1" s="1"/>
  <c r="Q430" i="1"/>
  <c r="Q372" i="1"/>
  <c r="N1657" i="1"/>
  <c r="N1656" i="1" s="1"/>
  <c r="Q1658" i="1"/>
  <c r="Q1659" i="1" s="1"/>
  <c r="Q1562" i="1"/>
  <c r="O1184" i="1"/>
  <c r="O1331" i="1"/>
  <c r="O1329" i="1" s="1"/>
  <c r="O1328" i="1" s="1"/>
  <c r="O1610" i="1"/>
  <c r="O1415" i="1"/>
  <c r="O1413" i="1" s="1"/>
  <c r="O1412" i="1" s="1"/>
  <c r="O1563" i="1"/>
  <c r="O1561" i="1" s="1"/>
  <c r="O1560" i="1" s="1"/>
  <c r="O1609" i="1"/>
  <c r="O1183" i="1"/>
  <c r="P411" i="1"/>
  <c r="P410" i="1" s="1"/>
  <c r="Q1414" i="1"/>
  <c r="Q1609" i="1"/>
  <c r="P422" i="1"/>
  <c r="P421" i="1" s="1"/>
  <c r="O423" i="1"/>
  <c r="O421" i="1" s="1"/>
  <c r="N1159" i="1"/>
  <c r="N1158" i="1" s="1"/>
  <c r="O1608" i="1"/>
  <c r="O1607" i="1" s="1"/>
  <c r="N1510" i="1"/>
  <c r="N1509" i="1" s="1"/>
  <c r="N424" i="1"/>
  <c r="L1554" i="1"/>
  <c r="L1553" i="1" s="1"/>
  <c r="L492" i="1"/>
  <c r="M424" i="1"/>
  <c r="P1608" i="1"/>
  <c r="P1607" i="1" s="1"/>
  <c r="N1413" i="1"/>
  <c r="N1412" i="1" s="1"/>
  <c r="Q751" i="1"/>
  <c r="Q752" i="1"/>
  <c r="Q753" i="1"/>
  <c r="Q754" i="1"/>
  <c r="Q755" i="1"/>
  <c r="Q756" i="1"/>
  <c r="Q493" i="1"/>
  <c r="Q492" i="1" s="1"/>
  <c r="Q342" i="1"/>
  <c r="Q326" i="1" s="1"/>
  <c r="Q434" i="1"/>
  <c r="Q433" i="1" s="1"/>
  <c r="Q482" i="1"/>
  <c r="Q481" i="1" s="1"/>
  <c r="Q470" i="1"/>
  <c r="Q463" i="1" s="1"/>
  <c r="Q834" i="1"/>
  <c r="Q867" i="1" s="1"/>
  <c r="Q842" i="1"/>
  <c r="Q875" i="1" s="1"/>
  <c r="Q839" i="1"/>
  <c r="Q872" i="1" s="1"/>
  <c r="Q837" i="1"/>
  <c r="Q870" i="1" s="1"/>
  <c r="Q838" i="1"/>
  <c r="Q871" i="1" s="1"/>
  <c r="Q836" i="1"/>
  <c r="Q869" i="1" s="1"/>
  <c r="Q841" i="1"/>
  <c r="Q874" i="1" s="1"/>
  <c r="Q840" i="1"/>
  <c r="Q873" i="1" s="1"/>
  <c r="Q1561" i="1"/>
  <c r="Q1560" i="1" s="1"/>
  <c r="Q1413" i="1"/>
  <c r="Q1412" i="1" s="1"/>
  <c r="Q1727" i="1"/>
  <c r="Q37" i="1"/>
  <c r="Q1726" i="1" s="1"/>
  <c r="Q411" i="1"/>
  <c r="Q410" i="1" s="1"/>
  <c r="Q422" i="1"/>
  <c r="Q421" i="1" s="1"/>
  <c r="Q762" i="1"/>
  <c r="Q757" i="1"/>
  <c r="Q758" i="1"/>
  <c r="Q759" i="1"/>
  <c r="Q760" i="1"/>
  <c r="Q761" i="1"/>
  <c r="Q745" i="1"/>
  <c r="Q746" i="1"/>
  <c r="Q747" i="1"/>
  <c r="Q748" i="1"/>
  <c r="Q749" i="1"/>
  <c r="Q750" i="1"/>
  <c r="Q1554" i="1"/>
  <c r="Q1553" i="1" s="1"/>
  <c r="Q1651" i="1"/>
  <c r="Q1650" i="1" s="1"/>
  <c r="L435" i="1"/>
  <c r="L433" i="1" s="1"/>
  <c r="M1427" i="1"/>
  <c r="M1426" i="1" s="1"/>
  <c r="P1561" i="1"/>
  <c r="P1560" i="1" s="1"/>
  <c r="O1182" i="1"/>
  <c r="O1181" i="1" s="1"/>
  <c r="M421" i="1"/>
  <c r="L372" i="1"/>
  <c r="O492" i="1"/>
  <c r="L423" i="1"/>
  <c r="L421" i="1" s="1"/>
  <c r="N1651" i="1"/>
  <c r="N1650" i="1" s="1"/>
  <c r="N1329" i="1"/>
  <c r="N1328" i="1" s="1"/>
  <c r="P1651" i="1"/>
  <c r="P1650" i="1" s="1"/>
  <c r="P372" i="1"/>
  <c r="M1205" i="1"/>
  <c r="M1204" i="1" s="1"/>
  <c r="N421" i="1"/>
  <c r="M291" i="1"/>
  <c r="N411" i="1"/>
  <c r="N410" i="1" s="1"/>
  <c r="P1159" i="1"/>
  <c r="P1158" i="1" s="1"/>
  <c r="L411" i="1"/>
  <c r="L410" i="1" s="1"/>
  <c r="N493" i="1"/>
  <c r="N492" i="1" s="1"/>
  <c r="N342" i="1"/>
  <c r="N326" i="1" s="1"/>
  <c r="M493" i="1"/>
  <c r="M492" i="1" s="1"/>
  <c r="M342" i="1"/>
  <c r="M326" i="1" s="1"/>
  <c r="O756" i="1"/>
  <c r="O751" i="1"/>
  <c r="O752" i="1"/>
  <c r="O753" i="1"/>
  <c r="O755" i="1"/>
  <c r="O754" i="1"/>
  <c r="L470" i="1"/>
  <c r="L463" i="1" s="1"/>
  <c r="L482" i="1"/>
  <c r="L481" i="1" s="1"/>
  <c r="M839" i="1"/>
  <c r="M872" i="1" s="1"/>
  <c r="M834" i="1"/>
  <c r="M867" i="1" s="1"/>
  <c r="M837" i="1"/>
  <c r="M870" i="1" s="1"/>
  <c r="M842" i="1"/>
  <c r="M875" i="1" s="1"/>
  <c r="M836" i="1"/>
  <c r="M869" i="1" s="1"/>
  <c r="M838" i="1"/>
  <c r="M871" i="1" s="1"/>
  <c r="M841" i="1"/>
  <c r="M874" i="1" s="1"/>
  <c r="O761" i="1"/>
  <c r="O762" i="1"/>
  <c r="O757" i="1"/>
  <c r="O758" i="1"/>
  <c r="O759" i="1"/>
  <c r="O760" i="1"/>
  <c r="M427" i="1"/>
  <c r="M411" i="1" s="1"/>
  <c r="M410" i="1" s="1"/>
  <c r="L839" i="1"/>
  <c r="L872" i="1" s="1"/>
  <c r="L837" i="1"/>
  <c r="L870" i="1" s="1"/>
  <c r="L834" i="1"/>
  <c r="L867" i="1" s="1"/>
  <c r="L842" i="1"/>
  <c r="L875" i="1" s="1"/>
  <c r="L836" i="1"/>
  <c r="L869" i="1" s="1"/>
  <c r="L838" i="1"/>
  <c r="L871" i="1" s="1"/>
  <c r="L840" i="1"/>
  <c r="L873" i="1" s="1"/>
  <c r="L841" i="1"/>
  <c r="L874" i="1" s="1"/>
  <c r="P430" i="1"/>
  <c r="P756" i="1"/>
  <c r="P751" i="1"/>
  <c r="P752" i="1"/>
  <c r="P753" i="1"/>
  <c r="P754" i="1"/>
  <c r="P755" i="1"/>
  <c r="O749" i="1"/>
  <c r="O750" i="1"/>
  <c r="O745" i="1"/>
  <c r="O746" i="1"/>
  <c r="O747" i="1"/>
  <c r="O748" i="1"/>
  <c r="L750" i="1"/>
  <c r="L745" i="1"/>
  <c r="L746" i="1"/>
  <c r="L747" i="1"/>
  <c r="L749" i="1"/>
  <c r="L748" i="1"/>
  <c r="L762" i="1"/>
  <c r="L757" i="1"/>
  <c r="L758" i="1"/>
  <c r="L759" i="1"/>
  <c r="L760" i="1"/>
  <c r="L761" i="1"/>
  <c r="L737" i="1"/>
  <c r="M1569" i="1"/>
  <c r="M1568" i="1" s="1"/>
  <c r="O482" i="1"/>
  <c r="O481" i="1" s="1"/>
  <c r="L342" i="1"/>
  <c r="L326" i="1" s="1"/>
  <c r="P493" i="1"/>
  <c r="P492" i="1" s="1"/>
  <c r="O837" i="1"/>
  <c r="O870" i="1" s="1"/>
  <c r="O836" i="1"/>
  <c r="O869" i="1" s="1"/>
  <c r="O842" i="1"/>
  <c r="O875" i="1" s="1"/>
  <c r="O835" i="1"/>
  <c r="O868" i="1" s="1"/>
  <c r="O841" i="1"/>
  <c r="O874" i="1" s="1"/>
  <c r="O834" i="1"/>
  <c r="O867" i="1" s="1"/>
  <c r="O839" i="1"/>
  <c r="O872" i="1" s="1"/>
  <c r="O840" i="1"/>
  <c r="O873" i="1" s="1"/>
  <c r="N291" i="1"/>
  <c r="O427" i="1"/>
  <c r="O411" i="1" s="1"/>
  <c r="O410" i="1" s="1"/>
  <c r="O375" i="1"/>
  <c r="O372" i="1" s="1"/>
  <c r="O431" i="1"/>
  <c r="O430" i="1" s="1"/>
  <c r="N750" i="1"/>
  <c r="N745" i="1"/>
  <c r="N746" i="1"/>
  <c r="N747" i="1"/>
  <c r="N749" i="1"/>
  <c r="N748" i="1"/>
  <c r="P434" i="1"/>
  <c r="P433" i="1" s="1"/>
  <c r="N757" i="1"/>
  <c r="N758" i="1"/>
  <c r="N759" i="1"/>
  <c r="N761" i="1"/>
  <c r="N762" i="1"/>
  <c r="N760" i="1"/>
  <c r="N372" i="1"/>
  <c r="N470" i="1"/>
  <c r="N463" i="1" s="1"/>
  <c r="N534" i="1"/>
  <c r="M552" i="1"/>
  <c r="M840" i="1"/>
  <c r="M873" i="1" s="1"/>
  <c r="M1616" i="1"/>
  <c r="M1615" i="1" s="1"/>
  <c r="M756" i="1"/>
  <c r="M751" i="1"/>
  <c r="M752" i="1"/>
  <c r="M753" i="1"/>
  <c r="M755" i="1"/>
  <c r="M754" i="1"/>
  <c r="P470" i="1"/>
  <c r="P463" i="1" s="1"/>
  <c r="N433" i="1"/>
  <c r="N839" i="1"/>
  <c r="N872" i="1" s="1"/>
  <c r="N834" i="1"/>
  <c r="N867" i="1" s="1"/>
  <c r="N837" i="1"/>
  <c r="N870" i="1" s="1"/>
  <c r="N842" i="1"/>
  <c r="N875" i="1" s="1"/>
  <c r="N838" i="1"/>
  <c r="N871" i="1" s="1"/>
  <c r="N840" i="1"/>
  <c r="N873" i="1" s="1"/>
  <c r="N841" i="1"/>
  <c r="N874" i="1" s="1"/>
  <c r="N836" i="1"/>
  <c r="N869" i="1" s="1"/>
  <c r="O510" i="1"/>
  <c r="O509" i="1" s="1"/>
  <c r="O503" i="1"/>
  <c r="O463" i="1" s="1"/>
  <c r="P837" i="1"/>
  <c r="P870" i="1" s="1"/>
  <c r="P836" i="1"/>
  <c r="P869" i="1" s="1"/>
  <c r="P841" i="1"/>
  <c r="P874" i="1" s="1"/>
  <c r="P834" i="1"/>
  <c r="P867" i="1" s="1"/>
  <c r="P842" i="1"/>
  <c r="P875" i="1" s="1"/>
  <c r="P839" i="1"/>
  <c r="P872" i="1" s="1"/>
  <c r="N835" i="1"/>
  <c r="N868" i="1" s="1"/>
  <c r="M470" i="1"/>
  <c r="M463" i="1" s="1"/>
  <c r="P835" i="1"/>
  <c r="P868" i="1" s="1"/>
  <c r="P838" i="1"/>
  <c r="P871" i="1" s="1"/>
  <c r="M375" i="1"/>
  <c r="M372" i="1" s="1"/>
  <c r="M431" i="1"/>
  <c r="M430" i="1" s="1"/>
  <c r="M365" i="1"/>
  <c r="N430" i="1"/>
  <c r="N737" i="1"/>
  <c r="J1664" i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Q1657" i="1" l="1"/>
  <c r="Q1656" i="1" s="1"/>
  <c r="M409" i="1"/>
  <c r="P409" i="1"/>
  <c r="Q1182" i="1"/>
  <c r="Q1181" i="1" s="1"/>
  <c r="Q1608" i="1"/>
  <c r="Q1607" i="1" s="1"/>
  <c r="Q409" i="1"/>
  <c r="N409" i="1"/>
  <c r="N482" i="1"/>
  <c r="N481" i="1" s="1"/>
  <c r="O409" i="1"/>
  <c r="M482" i="1"/>
  <c r="M481" i="1" s="1"/>
  <c r="O434" i="1"/>
  <c r="O433" i="1" s="1"/>
  <c r="L409" i="1"/>
  <c r="P482" i="1"/>
  <c r="P481" i="1" s="1"/>
  <c r="L756" i="1"/>
  <c r="L751" i="1"/>
  <c r="L752" i="1"/>
  <c r="L753" i="1"/>
  <c r="L754" i="1"/>
  <c r="L755" i="1"/>
  <c r="N755" i="1"/>
  <c r="N756" i="1"/>
  <c r="N751" i="1"/>
  <c r="N752" i="1"/>
  <c r="N753" i="1"/>
  <c r="N754" i="1"/>
  <c r="M434" i="1"/>
  <c r="M433" i="1" s="1"/>
  <c r="G2315" i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J2240" i="1"/>
  <c r="F2254" i="1"/>
  <c r="I2254" i="1"/>
  <c r="H2259" i="1"/>
  <c r="K2259" i="1"/>
  <c r="F2273" i="1"/>
  <c r="K2273" i="1"/>
  <c r="J2276" i="1"/>
  <c r="J2301" i="1"/>
  <c r="I2240" i="1"/>
  <c r="K2240" i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K2295" i="1" l="1"/>
  <c r="K2234" i="1"/>
  <c r="K2253" i="1"/>
  <c r="G2234" i="1"/>
  <c r="I2253" i="1"/>
  <c r="G2253" i="1"/>
  <c r="G2233" i="1" s="1"/>
  <c r="I2234" i="1"/>
  <c r="I2233" i="1" s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J2253" i="1"/>
  <c r="I2272" i="1"/>
  <c r="G2272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H1653" i="1" l="1"/>
  <c r="I1653" i="1"/>
  <c r="G1653" i="1"/>
  <c r="F1653" i="1"/>
  <c r="E1658" i="1"/>
  <c r="E1663" i="1"/>
  <c r="E1659" i="1"/>
  <c r="E1660" i="1" s="1"/>
  <c r="E1661" i="1" s="1"/>
  <c r="E1662" i="1" s="1"/>
  <c r="E1664" i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G1618" i="1" l="1"/>
  <c r="H1618" i="1"/>
  <c r="I1618" i="1"/>
  <c r="G1571" i="1"/>
  <c r="I1571" i="1"/>
  <c r="F1571" i="1"/>
  <c r="H1571" i="1"/>
  <c r="F1618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H1556" i="1" l="1"/>
  <c r="I1603" i="1"/>
  <c r="F1603" i="1"/>
  <c r="F1563" i="1"/>
  <c r="H1603" i="1"/>
  <c r="I1610" i="1"/>
  <c r="G1610" i="1"/>
  <c r="F1610" i="1"/>
  <c r="F1556" i="1"/>
  <c r="I1556" i="1"/>
  <c r="H1563" i="1"/>
  <c r="G1563" i="1"/>
  <c r="I1563" i="1"/>
  <c r="G1603" i="1"/>
  <c r="H1610" i="1"/>
  <c r="G1556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I1512" i="1" l="1"/>
  <c r="F1512" i="1"/>
  <c r="G1429" i="1"/>
  <c r="I1429" i="1"/>
  <c r="I1415" i="1"/>
  <c r="F1415" i="1"/>
  <c r="F1429" i="1"/>
  <c r="H1512" i="1"/>
  <c r="H1429" i="1"/>
  <c r="G1512" i="1"/>
  <c r="G1415" i="1"/>
  <c r="H1415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G1331" i="1" l="1"/>
  <c r="I1331" i="1"/>
  <c r="F1331" i="1"/>
  <c r="H1345" i="1"/>
  <c r="H1331" i="1"/>
  <c r="F1345" i="1"/>
  <c r="I1345" i="1"/>
  <c r="G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F1184" i="1" l="1"/>
  <c r="F1207" i="1"/>
  <c r="H1184" i="1"/>
  <c r="H1207" i="1"/>
  <c r="G1184" i="1"/>
  <c r="G1207" i="1"/>
  <c r="I1207" i="1"/>
  <c r="I1184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H1161" i="1"/>
  <c r="G1161" i="1"/>
  <c r="F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36" i="1" s="1" a="1"/>
  <c r="H736" i="1" s="1"/>
  <c r="F741" i="1"/>
  <c r="F735" i="1" s="1"/>
  <c r="F736" i="1" s="1" a="1"/>
  <c r="F736" i="1" s="1"/>
  <c r="I741" i="1"/>
  <c r="I735" i="1" s="1"/>
  <c r="I736" i="1" s="1" a="1"/>
  <c r="I736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G736" i="1" s="1" a="1"/>
  <c r="G736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8" i="1" l="1" a="1"/>
  <c r="K738" i="1" s="1"/>
  <c r="K736" i="1" a="1"/>
  <c r="K736" i="1" s="1"/>
  <c r="J736" i="1" a="1"/>
  <c r="J736" i="1" s="1"/>
  <c r="J745" i="1" s="1"/>
  <c r="J738" i="1" a="1"/>
  <c r="J738" i="1" s="1"/>
  <c r="J758" i="1" s="1"/>
  <c r="I747" i="1"/>
  <c r="H752" i="1"/>
  <c r="H749" i="1"/>
  <c r="F734" i="1"/>
  <c r="F748" i="1"/>
  <c r="J734" i="1"/>
  <c r="H758" i="1"/>
  <c r="H734" i="1"/>
  <c r="H755" i="1"/>
  <c r="H751" i="1"/>
  <c r="H762" i="1"/>
  <c r="H754" i="1"/>
  <c r="H761" i="1"/>
  <c r="F755" i="1"/>
  <c r="I759" i="1"/>
  <c r="I757" i="1"/>
  <c r="I754" i="1"/>
  <c r="I755" i="1"/>
  <c r="I751" i="1"/>
  <c r="I761" i="1"/>
  <c r="H759" i="1"/>
  <c r="I758" i="1"/>
  <c r="I734" i="1"/>
  <c r="H756" i="1"/>
  <c r="H753" i="1"/>
  <c r="F756" i="1"/>
  <c r="F760" i="1"/>
  <c r="F753" i="1"/>
  <c r="F754" i="1"/>
  <c r="F757" i="1"/>
  <c r="F759" i="1"/>
  <c r="F751" i="1"/>
  <c r="F761" i="1"/>
  <c r="F758" i="1"/>
  <c r="F752" i="1"/>
  <c r="F762" i="1"/>
  <c r="H760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F746" i="1" l="1"/>
  <c r="H750" i="1"/>
  <c r="H746" i="1"/>
  <c r="F745" i="1"/>
  <c r="H748" i="1"/>
  <c r="H747" i="1"/>
  <c r="I748" i="1"/>
  <c r="F747" i="1"/>
  <c r="H745" i="1"/>
  <c r="F749" i="1"/>
  <c r="F750" i="1"/>
  <c r="I750" i="1"/>
  <c r="I749" i="1"/>
  <c r="I745" i="1"/>
  <c r="I746" i="1"/>
  <c r="J759" i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37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0" i="1" s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4" i="1"/>
  <c r="C1659" i="1"/>
  <c r="C1664" i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G1617" i="1" l="1"/>
  <c r="G1570" i="1"/>
  <c r="G1428" i="1"/>
  <c r="G1344" i="1"/>
  <c r="G1206" i="1"/>
  <c r="I1617" i="1"/>
  <c r="I1570" i="1"/>
  <c r="I1428" i="1"/>
  <c r="I1427" i="1" s="1"/>
  <c r="I1426" i="1" s="1"/>
  <c r="I1344" i="1"/>
  <c r="I1343" i="1" s="1"/>
  <c r="I1342" i="1" s="1"/>
  <c r="I1206" i="1"/>
  <c r="I1205" i="1" s="1"/>
  <c r="I1204" i="1" s="1"/>
  <c r="F1570" i="1"/>
  <c r="F1617" i="1"/>
  <c r="F1428" i="1"/>
  <c r="F1344" i="1"/>
  <c r="F1206" i="1"/>
  <c r="H1617" i="1"/>
  <c r="H1570" i="1"/>
  <c r="H1428" i="1"/>
  <c r="H1427" i="1" s="1"/>
  <c r="H1426" i="1" s="1"/>
  <c r="H1344" i="1"/>
  <c r="H1343" i="1" s="1"/>
  <c r="H1342" i="1" s="1"/>
  <c r="H1206" i="1"/>
  <c r="H1205" i="1" s="1"/>
  <c r="H1204" i="1" s="1"/>
  <c r="F1616" i="1"/>
  <c r="F1615" i="1" s="1"/>
  <c r="F1427" i="1"/>
  <c r="F1426" i="1" s="1"/>
  <c r="F1343" i="1"/>
  <c r="F1342" i="1" s="1"/>
  <c r="F1205" i="1"/>
  <c r="F1204" i="1" s="1"/>
  <c r="H1616" i="1"/>
  <c r="H1615" i="1" s="1"/>
  <c r="H1569" i="1"/>
  <c r="H1568" i="1" s="1"/>
  <c r="I1616" i="1"/>
  <c r="I1615" i="1" s="1"/>
  <c r="I1569" i="1"/>
  <c r="I1568" i="1" s="1"/>
  <c r="G1427" i="1"/>
  <c r="G1426" i="1" s="1"/>
  <c r="G1616" i="1"/>
  <c r="G1615" i="1" s="1"/>
  <c r="G1569" i="1"/>
  <c r="G1568" i="1" s="1"/>
  <c r="G1343" i="1"/>
  <c r="G1342" i="1" s="1"/>
  <c r="G1205" i="1"/>
  <c r="G1204" i="1" s="1"/>
  <c r="F1569" i="1"/>
  <c r="F1568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K1206" i="1" l="1"/>
  <c r="J1736" i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J49" i="1"/>
  <c r="J1617" i="1" s="1"/>
  <c r="K1207" i="1" l="1"/>
  <c r="K1345" i="1"/>
  <c r="K1571" i="1"/>
  <c r="K1618" i="1"/>
  <c r="K1429" i="1"/>
  <c r="J1206" i="1"/>
  <c r="K1344" i="1"/>
  <c r="K1617" i="1"/>
  <c r="J1429" i="1"/>
  <c r="J1207" i="1"/>
  <c r="J1345" i="1"/>
  <c r="J1571" i="1"/>
  <c r="J1618" i="1"/>
  <c r="K1428" i="1"/>
  <c r="K1570" i="1"/>
  <c r="J1344" i="1"/>
  <c r="J1428" i="1"/>
  <c r="J1570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F1658" i="1" l="1"/>
  <c r="F1659" i="1" s="1"/>
  <c r="F1562" i="1"/>
  <c r="F1609" i="1"/>
  <c r="F1414" i="1"/>
  <c r="F1330" i="1"/>
  <c r="F1183" i="1"/>
  <c r="G1658" i="1"/>
  <c r="G1659" i="1" s="1"/>
  <c r="G1609" i="1"/>
  <c r="G1562" i="1"/>
  <c r="G1414" i="1"/>
  <c r="G1330" i="1"/>
  <c r="G1183" i="1"/>
  <c r="I1658" i="1"/>
  <c r="I1659" i="1" s="1"/>
  <c r="I1562" i="1"/>
  <c r="I1561" i="1" s="1"/>
  <c r="I1560" i="1" s="1"/>
  <c r="I1609" i="1"/>
  <c r="I1608" i="1" s="1"/>
  <c r="I1607" i="1" s="1"/>
  <c r="I1414" i="1"/>
  <c r="I1413" i="1" s="1"/>
  <c r="I1412" i="1" s="1"/>
  <c r="I1330" i="1"/>
  <c r="I1329" i="1" s="1"/>
  <c r="I1328" i="1" s="1"/>
  <c r="I1183" i="1"/>
  <c r="I1182" i="1" s="1"/>
  <c r="I1181" i="1" s="1"/>
  <c r="H1652" i="1"/>
  <c r="H1651" i="1" s="1"/>
  <c r="H1555" i="1"/>
  <c r="H1554" i="1" s="1"/>
  <c r="H1553" i="1" s="1"/>
  <c r="H1602" i="1"/>
  <c r="H1601" i="1" s="1"/>
  <c r="H1600" i="1" s="1"/>
  <c r="H1511" i="1"/>
  <c r="H1510" i="1" s="1"/>
  <c r="H1509" i="1" s="1"/>
  <c r="H1160" i="1"/>
  <c r="H1159" i="1" s="1"/>
  <c r="H1158" i="1" s="1"/>
  <c r="F1652" i="1"/>
  <c r="F1651" i="1" s="1"/>
  <c r="F1602" i="1"/>
  <c r="F1601" i="1" s="1"/>
  <c r="F1600" i="1" s="1"/>
  <c r="F1555" i="1"/>
  <c r="F1554" i="1" s="1"/>
  <c r="F1553" i="1" s="1"/>
  <c r="F1511" i="1"/>
  <c r="F1510" i="1" s="1"/>
  <c r="F1509" i="1" s="1"/>
  <c r="F1160" i="1"/>
  <c r="F1159" i="1" s="1"/>
  <c r="F1158" i="1" s="1"/>
  <c r="H1658" i="1"/>
  <c r="H1659" i="1" s="1"/>
  <c r="H1609" i="1"/>
  <c r="H1562" i="1"/>
  <c r="H1414" i="1"/>
  <c r="H1330" i="1"/>
  <c r="H1329" i="1" s="1"/>
  <c r="H1328" i="1" s="1"/>
  <c r="H1183" i="1"/>
  <c r="H1182" i="1" s="1"/>
  <c r="H1181" i="1" s="1"/>
  <c r="G1652" i="1"/>
  <c r="G1555" i="1"/>
  <c r="G1602" i="1"/>
  <c r="G1511" i="1"/>
  <c r="G1160" i="1"/>
  <c r="G1159" i="1" s="1"/>
  <c r="G1158" i="1" s="1"/>
  <c r="I1652" i="1"/>
  <c r="I1602" i="1"/>
  <c r="I1555" i="1"/>
  <c r="I1554" i="1" s="1"/>
  <c r="I1553" i="1" s="1"/>
  <c r="I1511" i="1"/>
  <c r="I1160" i="1"/>
  <c r="I1159" i="1" s="1"/>
  <c r="I1158" i="1" s="1"/>
  <c r="G1561" i="1"/>
  <c r="G1560" i="1" s="1"/>
  <c r="G1608" i="1"/>
  <c r="G1607" i="1" s="1"/>
  <c r="G1413" i="1"/>
  <c r="G1412" i="1" s="1"/>
  <c r="G1329" i="1"/>
  <c r="G1328" i="1" s="1"/>
  <c r="G1182" i="1"/>
  <c r="G1181" i="1" s="1"/>
  <c r="I1510" i="1"/>
  <c r="I1509" i="1" s="1"/>
  <c r="F1608" i="1"/>
  <c r="F1607" i="1" s="1"/>
  <c r="F1561" i="1"/>
  <c r="F1560" i="1" s="1"/>
  <c r="F1413" i="1"/>
  <c r="F1412" i="1" s="1"/>
  <c r="F1329" i="1"/>
  <c r="F1328" i="1" s="1"/>
  <c r="F1182" i="1"/>
  <c r="F1181" i="1" s="1"/>
  <c r="H1608" i="1"/>
  <c r="H1607" i="1" s="1"/>
  <c r="I1651" i="1"/>
  <c r="I1601" i="1"/>
  <c r="I1600" i="1" s="1"/>
  <c r="H1561" i="1"/>
  <c r="H1560" i="1" s="1"/>
  <c r="H1413" i="1"/>
  <c r="H1412" i="1" s="1"/>
  <c r="G1651" i="1"/>
  <c r="G1554" i="1"/>
  <c r="G1553" i="1" s="1"/>
  <c r="G1601" i="1"/>
  <c r="G1600" i="1" s="1"/>
  <c r="G1510" i="1"/>
  <c r="G1509" i="1" s="1"/>
  <c r="F33" i="1"/>
  <c r="F1723" i="1" s="1"/>
  <c r="H33" i="1"/>
  <c r="H1723" i="1" s="1"/>
  <c r="G33" i="1"/>
  <c r="G1723" i="1" s="1"/>
  <c r="I33" i="1"/>
  <c r="I1723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F1740" i="1" l="1"/>
  <c r="J1652" i="1"/>
  <c r="J1555" i="1"/>
  <c r="J1602" i="1"/>
  <c r="J1511" i="1"/>
  <c r="J1160" i="1"/>
  <c r="K1652" i="1"/>
  <c r="K1555" i="1"/>
  <c r="K1602" i="1"/>
  <c r="K1511" i="1"/>
  <c r="K1160" i="1"/>
  <c r="G1657" i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K39" i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K38" i="1"/>
  <c r="K1658" i="1" s="1"/>
  <c r="K1659" i="1" s="1"/>
  <c r="K1183" i="1" l="1"/>
  <c r="K1331" i="1"/>
  <c r="K1415" i="1"/>
  <c r="K1563" i="1"/>
  <c r="K1184" i="1"/>
  <c r="K1610" i="1"/>
  <c r="J1331" i="1"/>
  <c r="J1415" i="1"/>
  <c r="J1563" i="1"/>
  <c r="J1184" i="1"/>
  <c r="J1610" i="1"/>
  <c r="J1609" i="1"/>
  <c r="J1330" i="1"/>
  <c r="K1653" i="1"/>
  <c r="K1512" i="1"/>
  <c r="K1161" i="1"/>
  <c r="K1603" i="1"/>
  <c r="K1556" i="1"/>
  <c r="J1414" i="1"/>
  <c r="J1562" i="1"/>
  <c r="K1330" i="1"/>
  <c r="K1562" i="1"/>
  <c r="J1603" i="1"/>
  <c r="J1512" i="1"/>
  <c r="J1653" i="1"/>
  <c r="J1556" i="1"/>
  <c r="J1161" i="1"/>
  <c r="J1658" i="1"/>
  <c r="J1659" i="1" s="1"/>
  <c r="K1414" i="1"/>
  <c r="K1609" i="1"/>
  <c r="J1183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331" i="1"/>
  <c r="H347" i="1" s="1"/>
  <c r="H426" i="1" s="1"/>
  <c r="H423" i="1" s="1"/>
  <c r="G196" i="1"/>
  <c r="G193" i="1" s="1"/>
  <c r="G331" i="1"/>
  <c r="G347" i="1" s="1"/>
  <c r="G426" i="1" s="1"/>
  <c r="G423" i="1" s="1"/>
  <c r="I196" i="1"/>
  <c r="I193" i="1" s="1"/>
  <c r="I331" i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338" i="1" l="1"/>
  <c r="G354" i="1" s="1"/>
  <c r="G499" i="1" s="1"/>
  <c r="G488" i="1" s="1"/>
  <c r="G336" i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336" i="1"/>
  <c r="I352" i="1" s="1"/>
  <c r="I497" i="1" s="1"/>
  <c r="I486" i="1" s="1"/>
  <c r="I267" i="1"/>
  <c r="I256" i="1" s="1"/>
  <c r="H338" i="1"/>
  <c r="H354" i="1" s="1"/>
  <c r="H499" i="1" s="1"/>
  <c r="H488" i="1" s="1"/>
  <c r="H269" i="1"/>
  <c r="H258" i="1" s="1"/>
  <c r="H336" i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338" i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148" i="1"/>
  <c r="F376" i="1" s="1"/>
  <c r="K202" i="1"/>
  <c r="K205" i="1" s="1"/>
  <c r="K148" i="1"/>
  <c r="K376" i="1" s="1"/>
  <c r="J202" i="1"/>
  <c r="J205" i="1" s="1"/>
  <c r="F205" i="1" l="1"/>
  <c r="K547" i="1"/>
  <c r="H432" i="1"/>
  <c r="H435" i="1" s="1"/>
  <c r="F432" i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F435" i="1" l="1"/>
  <c r="J546" i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368" i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431" i="1" l="1"/>
  <c r="F204" i="1"/>
  <c r="F200" i="1"/>
  <c r="F430" i="1"/>
  <c r="F434" i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F433" i="1" l="1"/>
  <c r="F203" i="1"/>
  <c r="K566" i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341" i="1"/>
  <c r="H357" i="1" s="1"/>
  <c r="H502" i="1" s="1"/>
  <c r="H491" i="1" s="1"/>
  <c r="H272" i="1"/>
  <c r="H261" i="1" s="1"/>
  <c r="I334" i="1"/>
  <c r="I350" i="1" s="1"/>
  <c r="I495" i="1" s="1"/>
  <c r="I484" i="1" s="1"/>
  <c r="G334" i="1"/>
  <c r="G350" i="1" s="1"/>
  <c r="G495" i="1" s="1"/>
  <c r="G484" i="1" s="1"/>
  <c r="H334" i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328" i="1"/>
  <c r="H344" i="1" s="1"/>
  <c r="J100" i="1"/>
  <c r="J328" i="1" s="1"/>
  <c r="J344" i="1" s="1"/>
  <c r="G328" i="1"/>
  <c r="G344" i="1" s="1"/>
  <c r="H329" i="1"/>
  <c r="H345" i="1" s="1"/>
  <c r="G270" i="1"/>
  <c r="G259" i="1" s="1"/>
  <c r="I328" i="1"/>
  <c r="I344" i="1" s="1"/>
  <c r="K100" i="1"/>
  <c r="K328" i="1" s="1"/>
  <c r="K344" i="1" s="1"/>
  <c r="G329" i="1"/>
  <c r="G345" i="1" s="1"/>
  <c r="I329" i="1"/>
  <c r="I345" i="1" s="1"/>
  <c r="J101" i="1"/>
  <c r="J329" i="1" s="1"/>
  <c r="J345" i="1" s="1"/>
  <c r="J102" i="1"/>
  <c r="K102" i="1"/>
  <c r="H74" i="1"/>
  <c r="I74" i="1"/>
  <c r="G74" i="1"/>
  <c r="K74" i="1"/>
  <c r="G151" i="1"/>
  <c r="I173" i="1"/>
  <c r="F66" i="1"/>
  <c r="H327" i="1"/>
  <c r="H343" i="1" s="1"/>
  <c r="H151" i="1"/>
  <c r="G327" i="1"/>
  <c r="G343" i="1" s="1"/>
  <c r="I327" i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I470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337" i="1"/>
  <c r="I353" i="1" s="1"/>
  <c r="I498" i="1" s="1"/>
  <c r="I487" i="1" s="1"/>
  <c r="I268" i="1"/>
  <c r="I257" i="1" s="1"/>
  <c r="I335" i="1"/>
  <c r="I351" i="1" s="1"/>
  <c r="I496" i="1" s="1"/>
  <c r="I485" i="1" s="1"/>
  <c r="I266" i="1"/>
  <c r="I255" i="1" s="1"/>
  <c r="G337" i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337" i="1"/>
  <c r="H353" i="1" s="1"/>
  <c r="H498" i="1" s="1"/>
  <c r="H487" i="1" s="1"/>
  <c r="H268" i="1"/>
  <c r="H257" i="1" s="1"/>
  <c r="H335" i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335" i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370" i="1" l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332" i="1"/>
  <c r="G348" i="1" s="1"/>
  <c r="G493" i="1" s="1"/>
  <c r="H332" i="1"/>
  <c r="H348" i="1" s="1"/>
  <c r="H493" i="1" s="1"/>
  <c r="H333" i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333" i="1"/>
  <c r="G349" i="1" s="1"/>
  <c r="G494" i="1" s="1"/>
  <c r="G483" i="1" s="1"/>
  <c r="I98" i="1"/>
  <c r="I332" i="1"/>
  <c r="I348" i="1" s="1"/>
  <c r="I493" i="1" s="1"/>
  <c r="K98" i="1"/>
  <c r="I333" i="1"/>
  <c r="I349" i="1" s="1"/>
  <c r="I494" i="1" s="1"/>
  <c r="I483" i="1" s="1"/>
  <c r="G98" i="1"/>
  <c r="F264" i="1"/>
  <c r="F253" i="1" s="1"/>
  <c r="J98" i="1"/>
  <c r="H98" i="1"/>
  <c r="K105" i="1"/>
  <c r="K333" i="1" s="1"/>
  <c r="K349" i="1" s="1"/>
  <c r="K494" i="1" s="1"/>
  <c r="K483" i="1" s="1"/>
  <c r="F82" i="1"/>
  <c r="F63" i="1" s="1"/>
  <c r="F339" i="1" l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I492" i="1"/>
  <c r="J482" i="1"/>
  <c r="J481" i="1" s="1"/>
  <c r="J492" i="1"/>
  <c r="G425" i="1"/>
  <c r="J469" i="1"/>
  <c r="G469" i="1"/>
  <c r="H469" i="1"/>
  <c r="K469" i="1"/>
  <c r="I469" i="1"/>
  <c r="F412" i="1"/>
  <c r="F411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I342" i="1"/>
  <c r="I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410" i="1" l="1"/>
  <c r="F9" i="4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<sst xmlns="http://schemas.openxmlformats.org/spreadsheetml/2006/main" count="5309" uniqueCount="2482">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</sst>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0.0"/>
    <numFmt numFmtId="165" formatCode="0.000"/>
    <numFmt numFmtId="166" formatCode="_-[$€-2]* #,##0.00_-;\-[$€-2]* #,##0.00_-;_-[$€-2]* &quot;-&quot;??_-"/>
    <numFmt numFmtId="167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10" fillId="22" borderId="11" applyNumberFormat="0" applyFont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22" borderId="11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5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9" fontId="0" fillId="0" borderId="0" xfId="1" applyFont="1"/>
    <xf numFmtId="0" fontId="4" fillId="0" borderId="0" xfId="0" applyFont="1"/>
    <xf numFmtId="164" fontId="4" fillId="0" borderId="0" xfId="0" quotePrefix="1" applyNumberFormat="1" applyFont="1"/>
    <xf numFmtId="2" fontId="0" fillId="0" borderId="0" xfId="0" applyNumberFormat="1"/>
    <xf numFmtId="165" fontId="0" fillId="0" borderId="0" xfId="0" applyNumberFormat="1"/>
    <xf numFmtId="0" fontId="5" fillId="0" borderId="0" xfId="0" applyFont="1"/>
    <xf numFmtId="164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4" fontId="1" fillId="0" borderId="0" xfId="1" applyNumberFormat="1" applyFont="1"/>
    <xf numFmtId="164" fontId="2" fillId="0" borderId="0" xfId="1" applyNumberFormat="1" applyFont="1"/>
    <xf numFmtId="0" fontId="0" fillId="0" borderId="0" xfId="0" quotePrefix="1"/>
    <xf numFmtId="164" fontId="0" fillId="0" borderId="0" xfId="0" quotePrefix="1" applyNumberFormat="1"/>
    <xf numFmtId="164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5"/>
      <tableStyleElement type="headerRow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5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_2050"/>
      <sheetName val="Elc_Dispatch_2070"/>
      <sheetName val="Elc_Dispatch_Seasonal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Nuclear"/>
      <sheetName val="TRA_FuelByFleet"/>
      <sheetName val="OUT_UC_FX"/>
    </sheetNames>
    <sheetDataSet>
      <sheetData sheetId="0">
        <row r="1">
          <cell r="B1"/>
          <cell r="C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9.7969420785317556E-4</v>
          </cell>
          <cell r="H4">
            <v>2.5467108639038772E-4</v>
          </cell>
          <cell r="I4">
            <v>1.0180783951871563E-2</v>
          </cell>
          <cell r="J4">
            <v>6.971299074794566E-4</v>
          </cell>
          <cell r="K4">
            <v>0.25767135493427012</v>
          </cell>
          <cell r="L4">
            <v>3.6365790988663598</v>
          </cell>
          <cell r="M4">
            <v>3.7724049769837671</v>
          </cell>
          <cell r="N4">
            <v>3.8942349845791111</v>
          </cell>
          <cell r="O4">
            <v>4.0446995546198945</v>
          </cell>
          <cell r="P4">
            <v>4.1728052967625739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2.8432348988214506E-4</v>
          </cell>
          <cell r="H5">
            <v>6.1816788541747611E-5</v>
          </cell>
          <cell r="I5">
            <v>8.2104809740384307E-3</v>
          </cell>
          <cell r="J5">
            <v>1.7513840462808356E-4</v>
          </cell>
          <cell r="K5">
            <v>0.24064904931727044</v>
          </cell>
          <cell r="L5">
            <v>2.0475975490349132</v>
          </cell>
          <cell r="M5">
            <v>1.9260652466780008</v>
          </cell>
          <cell r="N5">
            <v>1.7625526057828389</v>
          </cell>
          <cell r="O5">
            <v>1.6885334448128906</v>
          </cell>
          <cell r="P5">
            <v>1.232907779498509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1.3766055745608914E-4</v>
          </cell>
          <cell r="H6">
            <v>3.4674615317941389E-5</v>
          </cell>
          <cell r="I6">
            <v>3.8332131565167705E-4</v>
          </cell>
          <cell r="J6">
            <v>9.6601882411350565E-5</v>
          </cell>
          <cell r="K6">
            <v>3.2728961197729593E-3</v>
          </cell>
          <cell r="L6">
            <v>0.29360565440503922</v>
          </cell>
          <cell r="M6">
            <v>0.33981394343759064</v>
          </cell>
          <cell r="N6">
            <v>0.37597541060688588</v>
          </cell>
          <cell r="O6">
            <v>0.41294719080918912</v>
          </cell>
          <cell r="P6">
            <v>0.50701740798502093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3.9553083684633251E-5</v>
          </cell>
          <cell r="H7">
            <v>2.4083984907535594E-5</v>
          </cell>
          <cell r="I7">
            <v>5.2337796604524658E-5</v>
          </cell>
          <cell r="J7">
            <v>4.7178495796624521E-5</v>
          </cell>
          <cell r="K7">
            <v>5.7164939200145272E-5</v>
          </cell>
          <cell r="L7">
            <v>1.0278334725981125E-4</v>
          </cell>
          <cell r="M7">
            <v>9.5657285139051187E-5</v>
          </cell>
          <cell r="N7">
            <v>1.1470908982974644E-4</v>
          </cell>
          <cell r="O7">
            <v>1.2058910023265909E-4</v>
          </cell>
          <cell r="P7">
            <v>1.8554826829020833E-4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1.3910244341654491E-4</v>
          </cell>
          <cell r="H8">
            <v>3.4957336673330542E-5</v>
          </cell>
          <cell r="I8">
            <v>3.9004296689185586E-4</v>
          </cell>
          <cell r="J8">
            <v>9.7481453438136835E-5</v>
          </cell>
          <cell r="K8">
            <v>3.5991792836998619E-3</v>
          </cell>
          <cell r="L8">
            <v>0.39293813318174176</v>
          </cell>
          <cell r="M8">
            <v>0.46091233807707122</v>
          </cell>
          <cell r="N8">
            <v>0.51535000794579999</v>
          </cell>
          <cell r="O8">
            <v>0.58132125114799815</v>
          </cell>
          <cell r="P8">
            <v>0.72684975474985292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1.3987032480344711E-4</v>
          </cell>
          <cell r="H9">
            <v>3.4872300493008014E-5</v>
          </cell>
          <cell r="I9">
            <v>3.9000042041455239E-4</v>
          </cell>
          <cell r="J9">
            <v>9.6990952897584858E-5</v>
          </cell>
          <cell r="K9">
            <v>3.6061053905307012E-3</v>
          </cell>
          <cell r="L9">
            <v>0.40343149047721177</v>
          </cell>
          <cell r="M9">
            <v>0.45799332116673114</v>
          </cell>
          <cell r="N9">
            <v>0.52637782841212255</v>
          </cell>
          <cell r="O9">
            <v>0.59096409041679232</v>
          </cell>
          <cell r="P9">
            <v>0.74050785483042514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1.0167749482698652E-4</v>
          </cell>
          <cell r="H10">
            <v>2.9546555798534436E-5</v>
          </cell>
          <cell r="I10">
            <v>3.7123611728111629E-4</v>
          </cell>
          <cell r="J10">
            <v>8.708767616184574E-5</v>
          </cell>
          <cell r="K10">
            <v>3.214335097821311E-3</v>
          </cell>
          <cell r="L10">
            <v>0.20610804615841377</v>
          </cell>
          <cell r="M10">
            <v>0.24869595122198471</v>
          </cell>
          <cell r="N10">
            <v>0.33887949646552351</v>
          </cell>
          <cell r="O10">
            <v>0.35890974284009308</v>
          </cell>
          <cell r="P10">
            <v>0.45959892040408978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1.3748016851761557E-4</v>
          </cell>
          <cell r="H11">
            <v>3.467248966358735E-5</v>
          </cell>
          <cell r="I11">
            <v>3.8331977789674395E-4</v>
          </cell>
          <cell r="J11">
            <v>9.6609487656124692E-5</v>
          </cell>
          <cell r="K11">
            <v>3.2725819320036337E-3</v>
          </cell>
          <cell r="L11">
            <v>0.29279540796446563</v>
          </cell>
          <cell r="M11">
            <v>0.3388284945275104</v>
          </cell>
          <cell r="N11">
            <v>0.37498490011368996</v>
          </cell>
          <cell r="O11">
            <v>0.4119032384699296</v>
          </cell>
          <cell r="P11">
            <v>0.50573801991717793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1.569120154866419E-3</v>
          </cell>
          <cell r="G12">
            <v>1.8361973500799573E-3</v>
          </cell>
          <cell r="H12">
            <v>1.8774772485680474E-3</v>
          </cell>
          <cell r="I12">
            <v>9.8752913065082382E-2</v>
          </cell>
          <cell r="J12">
            <v>0.37046296983928756</v>
          </cell>
          <cell r="K12">
            <v>1.6242041829644902</v>
          </cell>
          <cell r="L12">
            <v>2.7089735805192947</v>
          </cell>
          <cell r="M12">
            <v>2.7089714883308851</v>
          </cell>
          <cell r="N12">
            <v>2.7089736611400945</v>
          </cell>
          <cell r="O12">
            <v>2.7089731154010761</v>
          </cell>
          <cell r="P12">
            <v>2.7089733358860171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1.569120154866419E-3</v>
          </cell>
          <cell r="G13">
            <v>1.8361973500799573E-3</v>
          </cell>
          <cell r="H13">
            <v>1.8774772485680474E-3</v>
          </cell>
          <cell r="I13">
            <v>9.8752913065082382E-2</v>
          </cell>
          <cell r="J13">
            <v>0.37046296983928756</v>
          </cell>
          <cell r="K13">
            <v>1.6242041829644902</v>
          </cell>
          <cell r="L13">
            <v>2.7089735805192947</v>
          </cell>
          <cell r="M13">
            <v>2.7089714883308851</v>
          </cell>
          <cell r="N13">
            <v>2.7089736611400945</v>
          </cell>
          <cell r="O13">
            <v>2.7089731154010761</v>
          </cell>
          <cell r="P13">
            <v>2.7089733358860171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1.96280741082826E-4</v>
          </cell>
          <cell r="G14">
            <v>1.2527171306171E-3</v>
          </cell>
          <cell r="H14">
            <v>3.5981683849307403E-2</v>
          </cell>
          <cell r="I14">
            <v>0.134595542627441</v>
          </cell>
          <cell r="J14">
            <v>0.101685791129785</v>
          </cell>
          <cell r="K14">
            <v>6.6974019715352095E-7</v>
          </cell>
          <cell r="L14">
            <v>2.9748040167985798E-7</v>
          </cell>
          <cell r="M14">
            <v>2.1021678371299699E-7</v>
          </cell>
          <cell r="N14">
            <v>3.13103937151648E-6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1.96280741082826E-4</v>
          </cell>
          <cell r="G15">
            <v>1.96280741082826E-4</v>
          </cell>
          <cell r="H15">
            <v>1.96280741082826E-4</v>
          </cell>
          <cell r="I15">
            <v>1.01140305480067E-2</v>
          </cell>
          <cell r="J15">
            <v>3.7430681721007303E-2</v>
          </cell>
          <cell r="K15">
            <v>0.16410531050206301</v>
          </cell>
          <cell r="L15">
            <v>0.27371201547823298</v>
          </cell>
          <cell r="M15">
            <v>0.27371258231011802</v>
          </cell>
          <cell r="N15">
            <v>0.27371303332279101</v>
          </cell>
          <cell r="O15">
            <v>0.27371319291561602</v>
          </cell>
          <cell r="P15">
            <v>0.27371632395498702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3.2682074554834686</v>
          </cell>
          <cell r="F16">
            <v>3.8319833054839307</v>
          </cell>
          <cell r="G16">
            <v>3.7299533796222089</v>
          </cell>
          <cell r="H16">
            <v>3.8828750306249038</v>
          </cell>
          <cell r="I16">
            <v>4.0211933446488013</v>
          </cell>
          <cell r="J16">
            <v>4.1339424408204453</v>
          </cell>
          <cell r="K16">
            <v>4.2258003987614892</v>
          </cell>
          <cell r="L16">
            <v>4.3124776805894101</v>
          </cell>
          <cell r="M16">
            <v>4.3751593911699311</v>
          </cell>
          <cell r="N16">
            <v>4.4464012006770446</v>
          </cell>
          <cell r="O16">
            <v>4.4466583444443346</v>
          </cell>
          <cell r="P16">
            <v>4.4466668900241162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3.2682074554834686</v>
          </cell>
          <cell r="F17">
            <v>3.8319833054839307</v>
          </cell>
          <cell r="G17">
            <v>3.7299533796222089</v>
          </cell>
          <cell r="H17">
            <v>3.8828750306249038</v>
          </cell>
          <cell r="I17">
            <v>4.0211933446488013</v>
          </cell>
          <cell r="J17">
            <v>4.1339424408204453</v>
          </cell>
          <cell r="K17">
            <v>4.2258003987614892</v>
          </cell>
          <cell r="L17">
            <v>4.3124776805894101</v>
          </cell>
          <cell r="M17">
            <v>4.3751593911699311</v>
          </cell>
          <cell r="N17">
            <v>4.4464012006770446</v>
          </cell>
          <cell r="O17">
            <v>4.4466583444443346</v>
          </cell>
          <cell r="P17">
            <v>4.4466668900241162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0.66996226482167398</v>
          </cell>
          <cell r="F18">
            <v>0.42845964760309846</v>
          </cell>
          <cell r="G18">
            <v>5.2089940926601415E-2</v>
          </cell>
          <cell r="H18">
            <v>0.36060566992919424</v>
          </cell>
          <cell r="I18">
            <v>0.21961923088574656</v>
          </cell>
          <cell r="J18">
            <v>0.66654665787829204</v>
          </cell>
          <cell r="K18">
            <v>0.42376004878009771</v>
          </cell>
          <cell r="L18">
            <v>0.42426738988633461</v>
          </cell>
          <cell r="M18">
            <v>0.42408244048330679</v>
          </cell>
          <cell r="N18">
            <v>0.31016057443253908</v>
          </cell>
          <cell r="O18">
            <v>0.42426856588701173</v>
          </cell>
          <cell r="P18">
            <v>0.42430087919535076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2.0850172206304518</v>
          </cell>
          <cell r="F19">
            <v>1.2486119472528869</v>
          </cell>
          <cell r="G19">
            <v>0.13633281380230131</v>
          </cell>
          <cell r="H19">
            <v>0.7653403464405284</v>
          </cell>
          <cell r="I19">
            <v>0.35742840795876329</v>
          </cell>
          <cell r="J19">
            <v>0.75493614170256929</v>
          </cell>
          <cell r="K19">
            <v>0.47416021605659237</v>
          </cell>
          <cell r="L19">
            <v>0.46892711513752916</v>
          </cell>
          <cell r="M19">
            <v>0.46872269737628847</v>
          </cell>
          <cell r="N19">
            <v>0.34280905595175493</v>
          </cell>
          <cell r="O19">
            <v>0.46892841492775111</v>
          </cell>
          <cell r="P19">
            <v>0.4689641296369686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108.06646522966901</v>
          </cell>
          <cell r="F20">
            <v>68.653931300804402</v>
          </cell>
          <cell r="G20">
            <v>8.3191990007591503</v>
          </cell>
          <cell r="H20">
            <v>56.496600773435901</v>
          </cell>
          <cell r="I20">
            <v>34.904372524009901</v>
          </cell>
          <cell r="J20">
            <v>104.753765958502</v>
          </cell>
          <cell r="K20">
            <v>67.084959923410494</v>
          </cell>
          <cell r="L20">
            <v>67.139891464868597</v>
          </cell>
          <cell r="M20">
            <v>67.114702908034502</v>
          </cell>
          <cell r="N20">
            <v>48.915600594731998</v>
          </cell>
          <cell r="O20">
            <v>67.174702345026702</v>
          </cell>
          <cell r="P20">
            <v>68.416497538845405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1.9160720785402261</v>
          </cell>
          <cell r="F21">
            <v>1.2172682854752561</v>
          </cell>
          <cell r="G21">
            <v>0.14750352838225442</v>
          </cell>
          <cell r="H21">
            <v>1.0017127796708485</v>
          </cell>
          <cell r="I21">
            <v>0.61887185326258698</v>
          </cell>
          <cell r="J21">
            <v>1.8573362758599579</v>
          </cell>
          <cell r="K21">
            <v>1.1894496440321018</v>
          </cell>
          <cell r="L21">
            <v>1.19042360753313</v>
          </cell>
          <cell r="M21">
            <v>1.1899770019155049</v>
          </cell>
          <cell r="N21">
            <v>0.86729788288531939</v>
          </cell>
          <cell r="O21">
            <v>1.1910408217203317</v>
          </cell>
          <cell r="P21">
            <v>1.2130584670008049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1.7844468290272001E-7</v>
          </cell>
          <cell r="G22">
            <v>7.5113476031704198E-7</v>
          </cell>
          <cell r="H22">
            <v>1.1776845887952201E-2</v>
          </cell>
          <cell r="I22">
            <v>3.4944538029515901E-2</v>
          </cell>
          <cell r="J22">
            <v>2.2111271924206501E-2</v>
          </cell>
          <cell r="K22">
            <v>1.2364982582048699E-6</v>
          </cell>
          <cell r="L22">
            <v>3.7196892509611199E-3</v>
          </cell>
          <cell r="M22">
            <v>2.7587476074729601E-2</v>
          </cell>
          <cell r="N22">
            <v>1.1943642864153199E-2</v>
          </cell>
          <cell r="O22">
            <v>1.7760084009270399E-2</v>
          </cell>
          <cell r="P22">
            <v>3.6883724455132102E-3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2.6334187352073907E-2</v>
          </cell>
          <cell r="F23">
            <v>1.9476876477775809E-2</v>
          </cell>
          <cell r="G23">
            <v>1.2389338873356623E-2</v>
          </cell>
          <cell r="H23">
            <v>1.5538276028703297E-2</v>
          </cell>
          <cell r="I23">
            <v>4.6722004123493303E-2</v>
          </cell>
          <cell r="J23">
            <v>6.8832843430291182E-2</v>
          </cell>
          <cell r="K23">
            <v>6.5099429417863064E-2</v>
          </cell>
          <cell r="L23">
            <v>6.0776058012930019E-2</v>
          </cell>
          <cell r="M23">
            <v>6.1097076820806062E-2</v>
          </cell>
          <cell r="N23">
            <v>4.3251205669566854E-2</v>
          </cell>
          <cell r="O23">
            <v>6.1010092312343861E-2</v>
          </cell>
          <cell r="P23">
            <v>6.0978473180983692E-2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6.7990982092499292</v>
          </cell>
          <cell r="F24">
            <v>1.3792026729326105E-4</v>
          </cell>
          <cell r="G24">
            <v>1.232463130911237E-4</v>
          </cell>
          <cell r="H24">
            <v>5.6853494315768676E-5</v>
          </cell>
          <cell r="I24">
            <v>7.6654773888581732E-5</v>
          </cell>
          <cell r="J24">
            <v>8.6254623241639779E-5</v>
          </cell>
          <cell r="K24">
            <v>9.1057648883786905E-5</v>
          </cell>
          <cell r="L24">
            <v>9.044343994168199E-5</v>
          </cell>
          <cell r="M24">
            <v>7.8330100957379301E-5</v>
          </cell>
          <cell r="N24">
            <v>9.0571566689543609E-5</v>
          </cell>
          <cell r="O24">
            <v>8.9508291497987204E-5</v>
          </cell>
          <cell r="P24">
            <v>1.5209276144664539E-4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6.7990982092499292</v>
          </cell>
          <cell r="F25">
            <v>1.3792026729326105E-4</v>
          </cell>
          <cell r="G25">
            <v>1.232463130911237E-4</v>
          </cell>
          <cell r="H25">
            <v>5.6853494315768676E-5</v>
          </cell>
          <cell r="I25">
            <v>7.6654773888581732E-5</v>
          </cell>
          <cell r="J25">
            <v>8.6254623241639779E-5</v>
          </cell>
          <cell r="K25">
            <v>9.1057648883786905E-5</v>
          </cell>
          <cell r="L25">
            <v>9.044343994168199E-5</v>
          </cell>
          <cell r="M25">
            <v>7.8330100957379301E-5</v>
          </cell>
          <cell r="N25">
            <v>9.0571566689543609E-5</v>
          </cell>
          <cell r="O25">
            <v>8.9508291497987204E-5</v>
          </cell>
          <cell r="P25">
            <v>1.5209276144664539E-4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5.6631732447026405E-7</v>
          </cell>
          <cell r="F26">
            <v>4.64180256700328E-7</v>
          </cell>
          <cell r="G26">
            <v>5.3578438535436398E-7</v>
          </cell>
          <cell r="H26">
            <v>5.7403457932202202E-7</v>
          </cell>
          <cell r="I26">
            <v>7.0158198263179897E-7</v>
          </cell>
          <cell r="J26">
            <v>8.9870681115795799E-7</v>
          </cell>
          <cell r="K26">
            <v>7.6577891462376702E-7</v>
          </cell>
          <cell r="L26">
            <v>2.95462687916458E-6</v>
          </cell>
          <cell r="M26">
            <v>2.0226835222561998E-6</v>
          </cell>
          <cell r="N26">
            <v>1.0993736074605099E-4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1.4617571794575213</v>
          </cell>
          <cell r="F27">
            <v>1.5498509806999294E-4</v>
          </cell>
          <cell r="G27">
            <v>1.5368302234008979E-4</v>
          </cell>
          <cell r="H27">
            <v>1.5314683932388107E-4</v>
          </cell>
          <cell r="I27">
            <v>1.5330378870470618E-4</v>
          </cell>
          <cell r="J27">
            <v>1.5302091207569646E-4</v>
          </cell>
          <cell r="K27">
            <v>1.5324198688260182E-4</v>
          </cell>
          <cell r="L27">
            <v>1.5348439071960485E-4</v>
          </cell>
          <cell r="M27">
            <v>1.5354508586118421E-4</v>
          </cell>
          <cell r="N27">
            <v>1.5650974577274823E-4</v>
          </cell>
          <cell r="O27">
            <v>1.5734870059569417E-4</v>
          </cell>
          <cell r="P27">
            <v>2.6681969183162124E-4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3.038240831806746E-4</v>
          </cell>
          <cell r="F28">
            <v>3.0362196464207955E-4</v>
          </cell>
          <cell r="G28">
            <v>3.0452804743120462E-4</v>
          </cell>
          <cell r="H28">
            <v>2.4588409333468116E-2</v>
          </cell>
          <cell r="I28">
            <v>8.011366636539137E-2</v>
          </cell>
          <cell r="J28">
            <v>5.5052962213828563E-2</v>
          </cell>
          <cell r="K28">
            <v>2.8335119720255535E-2</v>
          </cell>
          <cell r="L28">
            <v>0.13428699570876293</v>
          </cell>
          <cell r="M28">
            <v>0.1328460516733741</v>
          </cell>
          <cell r="N28">
            <v>9.6025853252111854E-2</v>
          </cell>
          <cell r="O28">
            <v>0.11573857157917383</v>
          </cell>
          <cell r="P28">
            <v>0.14763494211100869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3.0382408318067427E-4</v>
          </cell>
          <cell r="F29">
            <v>3.0362196464207928E-4</v>
          </cell>
          <cell r="G29">
            <v>3.0452804743120435E-4</v>
          </cell>
          <cell r="H29">
            <v>2.4588409333468095E-2</v>
          </cell>
          <cell r="I29">
            <v>8.0113666365391287E-2</v>
          </cell>
          <cell r="J29">
            <v>5.5052962213828494E-2</v>
          </cell>
          <cell r="K29">
            <v>2.8335119720255514E-2</v>
          </cell>
          <cell r="L29">
            <v>0.13428699570876287</v>
          </cell>
          <cell r="M29">
            <v>0.13284605167337393</v>
          </cell>
          <cell r="N29">
            <v>9.602585325211177E-2</v>
          </cell>
          <cell r="O29">
            <v>0.11573857157917368</v>
          </cell>
          <cell r="P29">
            <v>0.14763494211100861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3.361562951989046E-4</v>
          </cell>
          <cell r="F30">
            <v>3.3597607576333683E-4</v>
          </cell>
          <cell r="G30">
            <v>3.3689142162953567E-4</v>
          </cell>
          <cell r="H30">
            <v>2.7191550597393321E-2</v>
          </cell>
          <cell r="I30">
            <v>8.8594977468601177E-2</v>
          </cell>
          <cell r="J30">
            <v>6.0881162487435601E-2</v>
          </cell>
          <cell r="K30">
            <v>3.1334863464894613E-2</v>
          </cell>
          <cell r="L30">
            <v>0.14850352592354915</v>
          </cell>
          <cell r="M30">
            <v>0.14690990392733974</v>
          </cell>
          <cell r="N30">
            <v>0.10619186905294824</v>
          </cell>
          <cell r="O30">
            <v>0.12799141663932745</v>
          </cell>
          <cell r="P30">
            <v>0.16326468551314258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3.361562951989046E-4</v>
          </cell>
          <cell r="F31">
            <v>3.3597607576333683E-4</v>
          </cell>
          <cell r="G31">
            <v>3.3689142162953567E-4</v>
          </cell>
          <cell r="H31">
            <v>2.7191550597393321E-2</v>
          </cell>
          <cell r="I31">
            <v>8.8594977468601177E-2</v>
          </cell>
          <cell r="J31">
            <v>6.0881162487435601E-2</v>
          </cell>
          <cell r="K31">
            <v>3.1334863464894613E-2</v>
          </cell>
          <cell r="L31">
            <v>0.14850352592354915</v>
          </cell>
          <cell r="M31">
            <v>0.14690990392733974</v>
          </cell>
          <cell r="N31">
            <v>0.10619186905294824</v>
          </cell>
          <cell r="O31">
            <v>0.12799141663932745</v>
          </cell>
          <cell r="P31">
            <v>0.16326468551314258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1.21974374147498E-4</v>
          </cell>
          <cell r="F32">
            <v>1.96144761979917E-7</v>
          </cell>
          <cell r="G32">
            <v>5.3041185032661901E-7</v>
          </cell>
          <cell r="H32">
            <v>1.98359913715144E-2</v>
          </cell>
          <cell r="I32">
            <v>1.58810913976201E-2</v>
          </cell>
          <cell r="J32">
            <v>4.4689829908372098E-3</v>
          </cell>
          <cell r="K32">
            <v>8.5731875575156997E-4</v>
          </cell>
          <cell r="L32">
            <v>5.27903633111877E-2</v>
          </cell>
          <cell r="M32">
            <v>1.23854309996217E-3</v>
          </cell>
          <cell r="N32">
            <v>1.10517066323469E-2</v>
          </cell>
          <cell r="O32">
            <v>3.6138134164177299E-2</v>
          </cell>
          <cell r="P32">
            <v>1.6876618607021901E-2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1.2435907699599467E-4</v>
          </cell>
          <cell r="F33">
            <v>1.2449441424634223E-4</v>
          </cell>
          <cell r="G33">
            <v>1.2489700815579126E-4</v>
          </cell>
          <cell r="H33">
            <v>1.9925754549440705E-2</v>
          </cell>
          <cell r="I33">
            <v>3.5717250005236227E-2</v>
          </cell>
          <cell r="J33">
            <v>2.4515460157753386E-2</v>
          </cell>
          <cell r="K33">
            <v>1.3560694131826473E-2</v>
          </cell>
          <cell r="L33">
            <v>5.5174007574647278E-2</v>
          </cell>
          <cell r="M33">
            <v>5.4414365714361417E-2</v>
          </cell>
          <cell r="N33">
            <v>3.9336758574539984E-2</v>
          </cell>
          <cell r="O33">
            <v>4.74089875293515E-2</v>
          </cell>
          <cell r="P33">
            <v>6.0472684351401768E-2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7.3455859762532692E-6</v>
          </cell>
          <cell r="F34">
            <v>1.7777461610585012E-5</v>
          </cell>
          <cell r="G34">
            <v>5.6513052248637948E-3</v>
          </cell>
          <cell r="H34">
            <v>0.11307972023794818</v>
          </cell>
          <cell r="I34">
            <v>0.86403803643326738</v>
          </cell>
          <cell r="J34">
            <v>0.79355580597328701</v>
          </cell>
          <cell r="K34">
            <v>1.7411741594268185E-5</v>
          </cell>
          <cell r="L34">
            <v>3.591171702900313E-5</v>
          </cell>
          <cell r="M34">
            <v>4.1830497925340925E-3</v>
          </cell>
          <cell r="N34">
            <v>8.4002910471837888E-3</v>
          </cell>
          <cell r="O34">
            <v>8.6823679750441529E-3</v>
          </cell>
          <cell r="P34">
            <v>1.8322369498255647E-2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7.3455859762532573E-6</v>
          </cell>
          <cell r="F35">
            <v>1.7762942730192484E-5</v>
          </cell>
          <cell r="G35">
            <v>5.6440969273831004E-3</v>
          </cell>
          <cell r="H35">
            <v>0.11307972023794841</v>
          </cell>
          <cell r="I35">
            <v>0.86307799417056474</v>
          </cell>
          <cell r="J35">
            <v>0.79355580597328779</v>
          </cell>
          <cell r="K35">
            <v>1.7394737940367527E-5</v>
          </cell>
          <cell r="L35">
            <v>3.5911717029003144E-5</v>
          </cell>
          <cell r="M35">
            <v>4.1830497925340934E-3</v>
          </cell>
          <cell r="N35">
            <v>8.4002910471837888E-3</v>
          </cell>
          <cell r="O35">
            <v>8.6823679750441529E-3</v>
          </cell>
          <cell r="P35">
            <v>1.8322369498255654E-2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6.045752852619571E-6</v>
          </cell>
          <cell r="F36">
            <v>2.1585097659678397E-5</v>
          </cell>
          <cell r="G36">
            <v>6.7274871612895311E-3</v>
          </cell>
          <cell r="H36">
            <v>0.12997667943260019</v>
          </cell>
          <cell r="I36">
            <v>0.96004219447909478</v>
          </cell>
          <cell r="J36">
            <v>0.85328581287450378</v>
          </cell>
          <cell r="K36">
            <v>1.7411741594268185E-5</v>
          </cell>
          <cell r="L36">
            <v>3.591171702900313E-5</v>
          </cell>
          <cell r="M36">
            <v>4.2252608364113367E-3</v>
          </cell>
          <cell r="N36">
            <v>8.4857724855744859E-3</v>
          </cell>
          <cell r="O36">
            <v>8.7700529175399299E-3</v>
          </cell>
          <cell r="P36">
            <v>1.8508168182068057E-2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6.045752852619571E-6</v>
          </cell>
          <cell r="F37">
            <v>2.1585097659678397E-5</v>
          </cell>
          <cell r="G37">
            <v>6.7274871612895311E-3</v>
          </cell>
          <cell r="H37">
            <v>0.12997667943260019</v>
          </cell>
          <cell r="I37">
            <v>0.96004219447909478</v>
          </cell>
          <cell r="J37">
            <v>0.85328581287450378</v>
          </cell>
          <cell r="K37">
            <v>1.7411741594268185E-5</v>
          </cell>
          <cell r="L37">
            <v>3.591171702900313E-5</v>
          </cell>
          <cell r="M37">
            <v>4.2252608364113367E-3</v>
          </cell>
          <cell r="N37">
            <v>8.4857724855744859E-3</v>
          </cell>
          <cell r="O37">
            <v>8.7700529175399299E-3</v>
          </cell>
          <cell r="P37">
            <v>1.8508168182068057E-2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7.4736491981732304E-4</v>
          </cell>
          <cell r="F38">
            <v>9.1204601879826496E-6</v>
          </cell>
          <cell r="G38">
            <v>3.6738820968190002E-5</v>
          </cell>
          <cell r="H38">
            <v>2.7520845120311301E-2</v>
          </cell>
          <cell r="I38">
            <v>2.6285639665602E-2</v>
          </cell>
          <cell r="J38">
            <v>9.4202550263076999E-4</v>
          </cell>
          <cell r="K38">
            <v>4.7787046322075997E-6</v>
          </cell>
          <cell r="L38">
            <v>5.3760689659032601E-5</v>
          </cell>
          <cell r="M38">
            <v>4.0474791249807602E-4</v>
          </cell>
          <cell r="N38">
            <v>6.2255825526683702E-4</v>
          </cell>
          <cell r="O38">
            <v>3.9922776379608499E-5</v>
          </cell>
          <cell r="P38">
            <v>1.28982232731352E-3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7.4736491981732304E-4</v>
          </cell>
          <cell r="F39">
            <v>7.5559525106403725E-4</v>
          </cell>
          <cell r="G39">
            <v>7.9021416371296519E-4</v>
          </cell>
          <cell r="H39">
            <v>2.8305080168526311E-2</v>
          </cell>
          <cell r="I39">
            <v>5.4025674157242021E-2</v>
          </cell>
          <cell r="J39">
            <v>4.9516169205294405E-2</v>
          </cell>
          <cell r="K39">
            <v>8.9512719611880079E-4</v>
          </cell>
          <cell r="L39">
            <v>9.0253610002135676E-4</v>
          </cell>
          <cell r="M39">
            <v>5.8668596903446865E-4</v>
          </cell>
          <cell r="N39">
            <v>1.0731890687992567E-3</v>
          </cell>
          <cell r="O39">
            <v>9.3535884935397979E-4</v>
          </cell>
          <cell r="P39">
            <v>1.9433582233422399E-3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3.0287897389236998E-4</v>
          </cell>
          <cell r="H40">
            <v>1.1757442566343589E-4</v>
          </cell>
          <cell r="I40">
            <v>2.4680823494436133E-4</v>
          </cell>
          <cell r="J40">
            <v>2.1217577578135264E-4</v>
          </cell>
          <cell r="K40">
            <v>2.1762411537493801E-4</v>
          </cell>
          <cell r="L40">
            <v>5.4592242511303929E-4</v>
          </cell>
          <cell r="M40">
            <v>3.5976815097930946E-4</v>
          </cell>
          <cell r="N40">
            <v>6.803084845929192E-4</v>
          </cell>
          <cell r="O40">
            <v>5.5628488563289633E-4</v>
          </cell>
          <cell r="P40">
            <v>1.3849414667809884E-3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8.5578420005676491E-5</v>
          </cell>
          <cell r="H41">
            <v>3.0663781624140304E-5</v>
          </cell>
          <cell r="I41">
            <v>6.1723518110649156E-5</v>
          </cell>
          <cell r="J41">
            <v>5.2540012981801996E-5</v>
          </cell>
          <cell r="K41">
            <v>5.3886113940427377E-5</v>
          </cell>
          <cell r="L41">
            <v>1.4102064751135625E-4</v>
          </cell>
          <cell r="M41">
            <v>9.594365353627604E-5</v>
          </cell>
          <cell r="N41">
            <v>1.802637670216174E-4</v>
          </cell>
          <cell r="O41">
            <v>1.460008088027152E-4</v>
          </cell>
          <cell r="P41">
            <v>3.7709406466107821E-4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3.5785722027783208E-5</v>
          </cell>
          <cell r="H42">
            <v>1.4030487957443768E-5</v>
          </cell>
          <cell r="I42">
            <v>2.8976896104220526E-5</v>
          </cell>
          <cell r="J42">
            <v>2.5016110868440875E-5</v>
          </cell>
          <cell r="K42">
            <v>2.4663187173176898E-5</v>
          </cell>
          <cell r="L42">
            <v>6.0564431070340398E-5</v>
          </cell>
          <cell r="M42">
            <v>3.6491473632325071E-5</v>
          </cell>
          <cell r="N42">
            <v>7.1440852150417335E-5</v>
          </cell>
          <cell r="O42">
            <v>5.8136023345640756E-5</v>
          </cell>
          <cell r="P42">
            <v>1.3426338197768982E-4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1.9448503838272787E-5</v>
          </cell>
          <cell r="H43">
            <v>1.1283653818306258E-5</v>
          </cell>
          <cell r="I43">
            <v>2.0789661587363876E-5</v>
          </cell>
          <cell r="J43">
            <v>1.8678700486532216E-5</v>
          </cell>
          <cell r="K43">
            <v>1.8674829193814808E-5</v>
          </cell>
          <cell r="L43">
            <v>3.7187459371597708E-5</v>
          </cell>
          <cell r="M43">
            <v>2.596514911810444E-5</v>
          </cell>
          <cell r="N43">
            <v>4.3405027405375294E-5</v>
          </cell>
          <cell r="O43">
            <v>3.8751565527593947E-5</v>
          </cell>
          <cell r="P43">
            <v>7.6759837797350688E-5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3.6086285434445177E-5</v>
          </cell>
          <cell r="H44">
            <v>1.4092823103861308E-5</v>
          </cell>
          <cell r="I44">
            <v>2.9855018962248626E-5</v>
          </cell>
          <cell r="J44">
            <v>2.5783973439579249E-5</v>
          </cell>
          <cell r="K44">
            <v>2.6422009147480728E-5</v>
          </cell>
          <cell r="L44">
            <v>6.6985183832321161E-5</v>
          </cell>
          <cell r="M44">
            <v>4.0697754799759133E-5</v>
          </cell>
          <cell r="N44">
            <v>8.0512524328516441E-5</v>
          </cell>
          <cell r="O44">
            <v>6.6549082577973623E-5</v>
          </cell>
          <cell r="P44">
            <v>1.4988907746838658E-4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4.7356409094721354E-5</v>
          </cell>
          <cell r="H45">
            <v>1.7424591077100132E-5</v>
          </cell>
          <cell r="I45">
            <v>3.9734322110690764E-5</v>
          </cell>
          <cell r="J45">
            <v>3.3931687826955912E-5</v>
          </cell>
          <cell r="K45">
            <v>3.6183290198896647E-5</v>
          </cell>
          <cell r="L45">
            <v>9.5239929111841907E-5</v>
          </cell>
          <cell r="M45">
            <v>6.5645807837264028E-5</v>
          </cell>
          <cell r="N45">
            <v>1.230786470206449E-4</v>
          </cell>
          <cell r="O45">
            <v>9.9805016697580775E-5</v>
          </cell>
          <cell r="P45">
            <v>2.7155447442015021E-4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4.2794491901193623E-5</v>
          </cell>
          <cell r="H46">
            <v>1.6004416242477936E-5</v>
          </cell>
          <cell r="I46">
            <v>3.6698796929985775E-5</v>
          </cell>
          <cell r="J46">
            <v>3.1159749092807543E-5</v>
          </cell>
          <cell r="K46">
            <v>3.3071936861864734E-5</v>
          </cell>
          <cell r="L46">
            <v>8.4274817672648421E-5</v>
          </cell>
          <cell r="M46">
            <v>5.848566032228415E-5</v>
          </cell>
          <cell r="N46">
            <v>1.1010140234781976E-4</v>
          </cell>
          <cell r="O46">
            <v>8.8899707737435189E-5</v>
          </cell>
          <cell r="P46">
            <v>2.4114937736445061E-4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3.5802777583888948E-5</v>
          </cell>
          <cell r="H47">
            <v>1.4029928178458916E-5</v>
          </cell>
          <cell r="I47">
            <v>2.898648433628727E-5</v>
          </cell>
          <cell r="J47">
            <v>2.5024919066663418E-5</v>
          </cell>
          <cell r="K47">
            <v>2.4680995745336321E-5</v>
          </cell>
          <cell r="L47">
            <v>6.0606060498471991E-5</v>
          </cell>
          <cell r="M47">
            <v>3.6504569070407403E-5</v>
          </cell>
          <cell r="N47">
            <v>7.1480345653072679E-5</v>
          </cell>
          <cell r="O47">
            <v>5.8135686907850748E-5</v>
          </cell>
          <cell r="P47">
            <v>1.342201640235062E-4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0.59675274984737403</v>
          </cell>
          <cell r="K48">
            <v>1.6283379371422595</v>
          </cell>
          <cell r="L48">
            <v>2.4874114235703106</v>
          </cell>
          <cell r="M48">
            <v>2.6489122857306322</v>
          </cell>
          <cell r="N48">
            <v>2.6564561820158463</v>
          </cell>
          <cell r="O48">
            <v>2.6578798369811278</v>
          </cell>
          <cell r="P48">
            <v>2.6575247255420238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0.60278055540138786</v>
          </cell>
          <cell r="K49">
            <v>1.6447857950931908</v>
          </cell>
          <cell r="L49">
            <v>2.5125367914851617</v>
          </cell>
          <cell r="M49">
            <v>2.6756689754854865</v>
          </cell>
          <cell r="N49">
            <v>2.6832890727432774</v>
          </cell>
          <cell r="O49">
            <v>2.6847271080617445</v>
          </cell>
          <cell r="P49">
            <v>2.684368409638406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2.03355188293058E-7</v>
          </cell>
          <cell r="I50">
            <v>5.0473535668292195E-7</v>
          </cell>
          <cell r="J50">
            <v>3.9112914977213399E-2</v>
          </cell>
          <cell r="K50">
            <v>9.52466482258775E-2</v>
          </cell>
          <cell r="L50">
            <v>3.05529408725108E-2</v>
          </cell>
          <cell r="M50">
            <v>2.8363404643953999E-4</v>
          </cell>
          <cell r="N50">
            <v>2.6412391537578499E-2</v>
          </cell>
          <cell r="O50">
            <v>1.5390755664127E-6</v>
          </cell>
          <cell r="P50">
            <v>1.0146404575192E-5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2.03355188293058E-7</v>
          </cell>
          <cell r="I51">
            <v>7.0809054497598095E-7</v>
          </cell>
          <cell r="J51">
            <v>3.9113623067758403E-2</v>
          </cell>
          <cell r="K51">
            <v>0.13436027129363601</v>
          </cell>
          <cell r="L51">
            <v>0.16491321216614699</v>
          </cell>
          <cell r="M51">
            <v>0.16519684621258601</v>
          </cell>
          <cell r="N51">
            <v>0.191609237750165</v>
          </cell>
          <cell r="O51">
            <v>0.19161071235935201</v>
          </cell>
          <cell r="P51">
            <v>0.191620719875118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E52">
            <v>3.0265920242216989E-4</v>
          </cell>
          <cell r="F52">
            <v>3.0245531761112081E-4</v>
          </cell>
          <cell r="G52">
            <v>3.0340396600480159E-4</v>
          </cell>
          <cell r="H52">
            <v>7.6771122307751488E-2</v>
          </cell>
          <cell r="I52">
            <v>0.20619285648349919</v>
          </cell>
          <cell r="J52">
            <v>0.3346863099811605</v>
          </cell>
          <cell r="K52">
            <v>0.36784099512709134</v>
          </cell>
          <cell r="L52">
            <v>0.28521232695389404</v>
          </cell>
          <cell r="M52">
            <v>0.42325574147540562</v>
          </cell>
          <cell r="N52">
            <v>0.47700929720892593</v>
          </cell>
          <cell r="O52">
            <v>0.44925984359674703</v>
          </cell>
          <cell r="P52">
            <v>0.40293265726838356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E53">
            <v>3.0265920242216951E-4</v>
          </cell>
          <cell r="F53">
            <v>3.0245531761112049E-4</v>
          </cell>
          <cell r="G53">
            <v>3.0340396600480137E-4</v>
          </cell>
          <cell r="H53">
            <v>7.6771122307751433E-2</v>
          </cell>
          <cell r="I53">
            <v>0.20619285648349897</v>
          </cell>
          <cell r="J53">
            <v>0.33468630998116028</v>
          </cell>
          <cell r="K53">
            <v>0.36784099512709095</v>
          </cell>
          <cell r="L53">
            <v>0.28521232695389376</v>
          </cell>
          <cell r="M53">
            <v>0.42325574147540512</v>
          </cell>
          <cell r="N53">
            <v>0.47700929720892549</v>
          </cell>
          <cell r="O53">
            <v>0.44925984359674653</v>
          </cell>
          <cell r="P53">
            <v>0.40293265726838307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E54">
            <v>3.3486809457612481E-4</v>
          </cell>
          <cell r="F54">
            <v>3.3468592188201955E-4</v>
          </cell>
          <cell r="G54">
            <v>3.3564833955183562E-4</v>
          </cell>
          <cell r="H54">
            <v>8.4898575896696277E-2</v>
          </cell>
          <cell r="I54">
            <v>0.22802151537497747</v>
          </cell>
          <cell r="J54">
            <v>0.3701178373418394</v>
          </cell>
          <cell r="K54">
            <v>0.40678245843203159</v>
          </cell>
          <cell r="L54">
            <v>0.31540653662677198</v>
          </cell>
          <cell r="M54">
            <v>0.46806375633320801</v>
          </cell>
          <cell r="N54">
            <v>0.52750805062326855</v>
          </cell>
          <cell r="O54">
            <v>0.4968208499980008</v>
          </cell>
          <cell r="P54">
            <v>0.44558944129727651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E55">
            <v>3.3486809457612481E-4</v>
          </cell>
          <cell r="F55">
            <v>3.3468592188201955E-4</v>
          </cell>
          <cell r="G55">
            <v>3.3564833955183562E-4</v>
          </cell>
          <cell r="H55">
            <v>8.4898575896696277E-2</v>
          </cell>
          <cell r="I55">
            <v>0.22802151537497747</v>
          </cell>
          <cell r="J55">
            <v>0.3701178373418394</v>
          </cell>
          <cell r="K55">
            <v>0.40678245843203159</v>
          </cell>
          <cell r="L55">
            <v>0.31540653662677198</v>
          </cell>
          <cell r="M55">
            <v>0.46806375633320801</v>
          </cell>
          <cell r="N55">
            <v>0.52750805062326855</v>
          </cell>
          <cell r="O55">
            <v>0.4968208499980008</v>
          </cell>
          <cell r="P55">
            <v>0.44558944129727651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E56">
            <v>1.21761892172486E-4</v>
          </cell>
          <cell r="F56">
            <v>1.9581393886383299E-7</v>
          </cell>
          <cell r="G56">
            <v>5.2954277746016402E-7</v>
          </cell>
          <cell r="H56">
            <v>7.2231586084656504E-2</v>
          </cell>
          <cell r="I56">
            <v>5.1921008766830201E-2</v>
          </cell>
          <cell r="J56">
            <v>0.104771857739292</v>
          </cell>
          <cell r="K56">
            <v>7.0130770364948705E-2</v>
          </cell>
          <cell r="L56">
            <v>4.0952250799417299E-2</v>
          </cell>
          <cell r="M56">
            <v>0.100882214688876</v>
          </cell>
          <cell r="N56">
            <v>7.3963721981418803E-2</v>
          </cell>
          <cell r="O56">
            <v>0.108060710978315</v>
          </cell>
          <cell r="P56">
            <v>7.0801655638267798E-3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E57">
            <v>1.2388805100912306E-4</v>
          </cell>
          <cell r="F57">
            <v>1.2402354114844104E-4</v>
          </cell>
          <cell r="G57">
            <v>1.2442613048572009E-4</v>
          </cell>
          <cell r="H57">
            <v>7.2321192628780354E-2</v>
          </cell>
          <cell r="I57">
            <v>0.12415276166889183</v>
          </cell>
          <cell r="J57">
            <v>0.17186116668618484</v>
          </cell>
          <cell r="K57">
            <v>0.20182411415027338</v>
          </cell>
          <cell r="L57">
            <v>0.14687253132167086</v>
          </cell>
          <cell r="M57">
            <v>0.17337986264908375</v>
          </cell>
          <cell r="N57">
            <v>0.19582726150244689</v>
          </cell>
          <cell r="O57">
            <v>0.19989265105831763</v>
          </cell>
          <cell r="P57">
            <v>0.16505578925455988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  <cell r="J58">
            <v>2.2028358988153127</v>
          </cell>
          <cell r="K58">
            <v>4.2715865685887904</v>
          </cell>
          <cell r="L58">
            <v>4.4441166576250479</v>
          </cell>
          <cell r="M58">
            <v>4.4441160597285521</v>
          </cell>
          <cell r="N58">
            <v>4.4441160604728847</v>
          </cell>
          <cell r="O58">
            <v>4.4441158511268553</v>
          </cell>
          <cell r="P58">
            <v>4.4441159964733385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  <cell r="J59">
            <v>565.52768301850097</v>
          </cell>
          <cell r="K59">
            <v>1096.6320533663595</v>
          </cell>
          <cell r="L59">
            <v>1140.9252036442006</v>
          </cell>
          <cell r="M59">
            <v>1140.9250501479653</v>
          </cell>
          <cell r="N59">
            <v>1140.9250503390538</v>
          </cell>
          <cell r="O59">
            <v>1140.9249965942543</v>
          </cell>
          <cell r="P59">
            <v>1140.9250339086364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  <cell r="J60">
            <v>-565.52768301850006</v>
          </cell>
          <cell r="K60">
            <v>-1096.63205336636</v>
          </cell>
          <cell r="L60">
            <v>-1140.9252036442001</v>
          </cell>
          <cell r="M60">
            <v>-1140.9250501479701</v>
          </cell>
          <cell r="N60">
            <v>-1140.9250503390499</v>
          </cell>
          <cell r="O60">
            <v>-1140.9249965942499</v>
          </cell>
          <cell r="P60">
            <v>-1140.92503390864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  <cell r="J61">
            <v>610.75006049801596</v>
          </cell>
          <cell r="K61">
            <v>1172.5981690962899</v>
          </cell>
          <cell r="L61">
            <v>1207.99921510288</v>
          </cell>
          <cell r="M61">
            <v>1207.99905258274</v>
          </cell>
          <cell r="N61">
            <v>1207.99905278506</v>
          </cell>
          <cell r="O61">
            <v>1207.99899588065</v>
          </cell>
          <cell r="P61">
            <v>1207.9990353887099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  <cell r="J62">
            <v>6.5813584105389653</v>
          </cell>
          <cell r="K62">
            <v>12.635756132503102</v>
          </cell>
          <cell r="L62">
            <v>13.01723292136729</v>
          </cell>
          <cell r="M62">
            <v>13.017231170072609</v>
          </cell>
          <cell r="N62">
            <v>13.017231172252796</v>
          </cell>
          <cell r="O62">
            <v>13.017230559058728</v>
          </cell>
          <cell r="P62">
            <v>13.017230984792162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  <cell r="J63">
            <v>0.110175787185489</v>
          </cell>
          <cell r="K63">
            <v>8.6381093194042496E-2</v>
          </cell>
          <cell r="L63">
            <v>2.0034486832402399E-7</v>
          </cell>
          <cell r="M63">
            <v>5.9623546820197103E-8</v>
          </cell>
          <cell r="N63">
            <v>3.8741187123092501E-7</v>
          </cell>
          <cell r="O63">
            <v>7.9775806334528401E-7</v>
          </cell>
          <cell r="P63">
            <v>8.5192688339901304E-2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  <cell r="J64">
            <v>0.110175787185489</v>
          </cell>
          <cell r="K64">
            <v>0.19655686803269462</v>
          </cell>
          <cell r="L64">
            <v>0.19655704271528898</v>
          </cell>
          <cell r="M64">
            <v>0.19655703111836992</v>
          </cell>
          <cell r="N64">
            <v>0.19655729862374474</v>
          </cell>
          <cell r="O64">
            <v>0.17930995664573393</v>
          </cell>
          <cell r="P64">
            <v>0.17157490123259961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F65">
            <v>5.4452834954075741E-2</v>
          </cell>
          <cell r="G65">
            <v>7.0512158611154549E-2</v>
          </cell>
          <cell r="H65">
            <v>0.11352669453006085</v>
          </cell>
          <cell r="I65">
            <v>0.17685053679562937</v>
          </cell>
          <cell r="J65">
            <v>0.25171794024198396</v>
          </cell>
          <cell r="K65">
            <v>0.34418041908552244</v>
          </cell>
          <cell r="L65">
            <v>0.45636787433953313</v>
          </cell>
          <cell r="M65">
            <v>0.4796472238558091</v>
          </cell>
          <cell r="N65">
            <v>0.50411436702589585</v>
          </cell>
          <cell r="O65">
            <v>0.52982987213982258</v>
          </cell>
          <cell r="P65">
            <v>0.5568580869805434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E66">
            <v>2.054038207589286</v>
          </cell>
          <cell r="F66">
            <v>3.8269937228217654</v>
          </cell>
          <cell r="G66">
            <v>4.055981701871664</v>
          </cell>
          <cell r="H66">
            <v>3.1970927047002267</v>
          </cell>
          <cell r="I66">
            <v>3.1103552770886425</v>
          </cell>
          <cell r="J66">
            <v>3.8140249424450809</v>
          </cell>
          <cell r="K66">
            <v>2.7985547645473883</v>
          </cell>
          <cell r="L66">
            <v>3.6409107562130778</v>
          </cell>
          <cell r="M66">
            <v>3.5030546102200613</v>
          </cell>
          <cell r="N66">
            <v>3.3651033973121542</v>
          </cell>
          <cell r="O66">
            <v>3.3663691057088299</v>
          </cell>
          <cell r="P66">
            <v>2.7032667943098878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E67">
            <v>1.9026340445569223</v>
          </cell>
          <cell r="F67">
            <v>3.5391862222305153</v>
          </cell>
          <cell r="G67">
            <v>3.53393700982061</v>
          </cell>
          <cell r="H67">
            <v>1.7557651239501983</v>
          </cell>
          <cell r="I67">
            <v>1.8656882159938193</v>
          </cell>
          <cell r="J67">
            <v>2.8341702974512599</v>
          </cell>
          <cell r="K67">
            <v>1.8026366730773349</v>
          </cell>
          <cell r="L67">
            <v>2.579410326246498</v>
          </cell>
          <cell r="M67">
            <v>2.4125211596846552</v>
          </cell>
          <cell r="N67">
            <v>2.2793408481212056</v>
          </cell>
          <cell r="O67">
            <v>2.2802415144711006</v>
          </cell>
          <cell r="P67">
            <v>2.1245484307462483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E68">
            <v>4.3833291610656557</v>
          </cell>
          <cell r="F68">
            <v>1.8326231570343867</v>
          </cell>
          <cell r="G68">
            <v>1.832623206589189</v>
          </cell>
          <cell r="H68">
            <v>1.832623253512744</v>
          </cell>
          <cell r="I68">
            <v>1.832623320756964</v>
          </cell>
          <cell r="J68">
            <v>1.8326234179320242</v>
          </cell>
          <cell r="K68">
            <v>1.8326233771054998</v>
          </cell>
          <cell r="L68">
            <v>1.8326233724638348</v>
          </cell>
          <cell r="M68">
            <v>1.8326236040942721</v>
          </cell>
          <cell r="N68">
            <v>1.8326240006847685</v>
          </cell>
          <cell r="O68">
            <v>1.8326247385223238</v>
          </cell>
          <cell r="P68">
            <v>1.8326263385617623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F69">
            <v>0.3500815173565926</v>
          </cell>
          <cell r="G69">
            <v>0.38254341006493703</v>
          </cell>
          <cell r="H69">
            <v>0.44347241872871568</v>
          </cell>
          <cell r="I69">
            <v>0.51410613429894592</v>
          </cell>
          <cell r="J69">
            <v>0.59598999895775995</v>
          </cell>
          <cell r="K69">
            <v>0.69091502838055641</v>
          </cell>
          <cell r="L69">
            <v>0.80095869955296484</v>
          </cell>
          <cell r="M69">
            <v>0.92852960900536119</v>
          </cell>
          <cell r="N69">
            <v>1.0764202590603158</v>
          </cell>
          <cell r="O69">
            <v>1.2478658815343673</v>
          </cell>
          <cell r="P69">
            <v>1.4466200353811447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E70">
            <v>9.2187296114714954</v>
          </cell>
          <cell r="F70">
            <v>10.615174623299186</v>
          </cell>
          <cell r="G70">
            <v>10.891864958305698</v>
          </cell>
          <cell r="H70">
            <v>8.0681928370093186</v>
          </cell>
          <cell r="I70">
            <v>8.2105731943251836</v>
          </cell>
          <cell r="J70">
            <v>10.175446391488446</v>
          </cell>
          <cell r="K70">
            <v>8.1172679832206978</v>
          </cell>
          <cell r="L70">
            <v>10.081681568422599</v>
          </cell>
          <cell r="M70">
            <v>9.9150356582031307</v>
          </cell>
          <cell r="N70">
            <v>9.8080783736762793</v>
          </cell>
          <cell r="O70">
            <v>10.023922127181361</v>
          </cell>
          <cell r="P70">
            <v>9.3817762273611276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E71">
            <v>0.62767201012468798</v>
          </cell>
          <cell r="F71">
            <v>3.3054508335503503E-2</v>
          </cell>
          <cell r="G71">
            <v>3.5829374278430301E-3</v>
          </cell>
          <cell r="H71">
            <v>5.7388088034384804E-3</v>
          </cell>
          <cell r="I71">
            <v>1.41768432057485E-2</v>
          </cell>
          <cell r="J71">
            <v>1.2877569650681899E-2</v>
          </cell>
          <cell r="K71">
            <v>1.2012780924183401E-2</v>
          </cell>
          <cell r="L71">
            <v>1.8228275646449601E-2</v>
          </cell>
          <cell r="M71">
            <v>1.10314090998064E-2</v>
          </cell>
          <cell r="N71">
            <v>1.4356424615115E-2</v>
          </cell>
          <cell r="O71">
            <v>9.5459546217455098E-3</v>
          </cell>
          <cell r="P71">
            <v>1.6982394880767498E-2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E72">
            <v>0.62767201012468798</v>
          </cell>
          <cell r="F72">
            <v>0.66072651846019204</v>
          </cell>
          <cell r="G72">
            <v>0.66430945588803503</v>
          </cell>
          <cell r="H72">
            <v>0.67004826469147305</v>
          </cell>
          <cell r="I72">
            <v>0.68422510789722102</v>
          </cell>
          <cell r="J72">
            <v>0.697102677547903</v>
          </cell>
          <cell r="K72">
            <v>0.70911545847208701</v>
          </cell>
          <cell r="L72">
            <v>0.72734373411853603</v>
          </cell>
          <cell r="M72">
            <v>0.73837514321834297</v>
          </cell>
          <cell r="N72">
            <v>0.75273156783345796</v>
          </cell>
          <cell r="O72">
            <v>0.76227752245520297</v>
          </cell>
          <cell r="P72">
            <v>0.779259917335971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E73">
            <v>3.1588049162081353E-3</v>
          </cell>
          <cell r="F73">
            <v>2.2445636355188348E-5</v>
          </cell>
          <cell r="G73">
            <v>1.2786169932891462E-3</v>
          </cell>
          <cell r="H73">
            <v>1.9594710556279133E-3</v>
          </cell>
          <cell r="I73">
            <v>2.3181701892537564E-3</v>
          </cell>
          <cell r="J73">
            <v>9.2625393130766882E-4</v>
          </cell>
          <cell r="K73">
            <v>7.9330546348749365E-5</v>
          </cell>
          <cell r="L73">
            <v>9.9708013342545481E-5</v>
          </cell>
          <cell r="M73">
            <v>5.3573477839754884E-4</v>
          </cell>
          <cell r="N73">
            <v>8.9648161126741697E-4</v>
          </cell>
          <cell r="O73">
            <v>7.9459602102001706E-4</v>
          </cell>
          <cell r="P73">
            <v>1.8415105949858112E-3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E74">
            <v>3.1588049162081435E-3</v>
          </cell>
          <cell r="F74">
            <v>2.24306825668105E-5</v>
          </cell>
          <cell r="G74">
            <v>1.2772864865323442E-3</v>
          </cell>
          <cell r="H74">
            <v>1.9594710556279133E-3</v>
          </cell>
          <cell r="I74">
            <v>2.3160414746630775E-3</v>
          </cell>
          <cell r="J74">
            <v>9.2625393130767175E-4</v>
          </cell>
          <cell r="K74">
            <v>7.9265786719077099E-5</v>
          </cell>
          <cell r="L74">
            <v>9.9708013342545576E-5</v>
          </cell>
          <cell r="M74">
            <v>5.3573477839754949E-4</v>
          </cell>
          <cell r="N74">
            <v>8.9648161126741784E-4</v>
          </cell>
          <cell r="O74">
            <v>7.9459602102001804E-4</v>
          </cell>
          <cell r="P74">
            <v>1.8415105949858134E-3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E75">
            <v>4.2147627600800834E-3</v>
          </cell>
          <cell r="F75">
            <v>2.9208353488113505E-5</v>
          </cell>
          <cell r="G75">
            <v>1.6495607283373139E-3</v>
          </cell>
          <cell r="H75">
            <v>2.4492063645690188E-3</v>
          </cell>
          <cell r="I75">
            <v>2.8096089931529053E-3</v>
          </cell>
          <cell r="J75">
            <v>1.0897044875176434E-3</v>
          </cell>
          <cell r="K75">
            <v>6.5473383181973566E-5</v>
          </cell>
          <cell r="L75">
            <v>8.5139818243999736E-5</v>
          </cell>
          <cell r="M75">
            <v>5.9526086488562234E-4</v>
          </cell>
          <cell r="N75">
            <v>9.965944776007356E-4</v>
          </cell>
          <cell r="O75">
            <v>8.8294522716207116E-4</v>
          </cell>
          <cell r="P75">
            <v>2.0469119137151003E-3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E76">
            <v>4.2147627600800834E-3</v>
          </cell>
          <cell r="F76">
            <v>2.9208353488113505E-5</v>
          </cell>
          <cell r="G76">
            <v>1.6495607283373139E-3</v>
          </cell>
          <cell r="H76">
            <v>2.4492063645690188E-3</v>
          </cell>
          <cell r="I76">
            <v>2.8096089931529053E-3</v>
          </cell>
          <cell r="J76">
            <v>1.0897044875176434E-3</v>
          </cell>
          <cell r="K76">
            <v>6.5473383181973566E-5</v>
          </cell>
          <cell r="L76">
            <v>8.5139818243999736E-5</v>
          </cell>
          <cell r="M76">
            <v>5.9526086488562234E-4</v>
          </cell>
          <cell r="N76">
            <v>9.965944776007356E-4</v>
          </cell>
          <cell r="O76">
            <v>8.8294522716207116E-4</v>
          </cell>
          <cell r="P76">
            <v>2.0469119137151003E-3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E77">
            <v>1.90884880500346E-3</v>
          </cell>
          <cell r="F77">
            <v>5.8663635698056204E-6</v>
          </cell>
          <cell r="G77">
            <v>5.7391272705229097E-6</v>
          </cell>
          <cell r="H77">
            <v>4.9297014372240296E-6</v>
          </cell>
          <cell r="I77">
            <v>3.74833986110112E-4</v>
          </cell>
          <cell r="J77">
            <v>6.8362435517396907E-5</v>
          </cell>
          <cell r="K77">
            <v>9.1006312590668992E-6</v>
          </cell>
          <cell r="L77">
            <v>5.2652129324190998E-4</v>
          </cell>
          <cell r="M77">
            <v>6.3766399362009905E-5</v>
          </cell>
          <cell r="N77">
            <v>5.7463234412044996E-4</v>
          </cell>
          <cell r="O77">
            <v>1.82051134469882E-4</v>
          </cell>
          <cell r="P77">
            <v>1.1918699534364801E-3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E78">
            <v>1.90884880500346E-3</v>
          </cell>
          <cell r="F78">
            <v>1.472032943124505E-3</v>
          </cell>
          <cell r="G78">
            <v>1.332722335637339E-3</v>
          </cell>
          <cell r="H78">
            <v>8.9076932213363012E-4</v>
          </cell>
          <cell r="I78">
            <v>6.0844306718565804E-4</v>
          </cell>
          <cell r="J78">
            <v>4.444138791727718E-4</v>
          </cell>
          <cell r="K78">
            <v>4.4297485188359394E-4</v>
          </cell>
          <cell r="L78">
            <v>5.9582087727580923E-4</v>
          </cell>
          <cell r="M78">
            <v>6.0008880920173376E-4</v>
          </cell>
          <cell r="N78">
            <v>1.1557539255871623E-3</v>
          </cell>
          <cell r="O78">
            <v>8.7898275808738816E-4</v>
          </cell>
          <cell r="P78">
            <v>1.9396301087724508E-3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H79">
            <v>3.2911296158515032E-4</v>
          </cell>
          <cell r="I79">
            <v>5.4310084867956914E-4</v>
          </cell>
          <cell r="J79">
            <v>2.0436730295676575E-3</v>
          </cell>
          <cell r="K79">
            <v>1.7595208029019421E-3</v>
          </cell>
          <cell r="L79">
            <v>2.5193120501912467E-3</v>
          </cell>
          <cell r="M79">
            <v>1.2235879446169137E-3</v>
          </cell>
          <cell r="N79">
            <v>8.404761397229841E-4</v>
          </cell>
          <cell r="O79">
            <v>6.9136405008501966E-4</v>
          </cell>
          <cell r="P79">
            <v>1.6008317931120084E-3</v>
          </cell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H80">
            <v>1.219132036172356E-4</v>
          </cell>
          <cell r="I80">
            <v>2.0542498244832216E-4</v>
          </cell>
          <cell r="J80">
            <v>7.8966802269900542E-4</v>
          </cell>
          <cell r="K80">
            <v>6.9363521180713537E-4</v>
          </cell>
          <cell r="L80">
            <v>1.0136785973630194E-3</v>
          </cell>
          <cell r="M80">
            <v>4.9232682841151621E-4</v>
          </cell>
          <cell r="N80">
            <v>3.3817671549135966E-4</v>
          </cell>
          <cell r="O80">
            <v>2.7817948971593142E-4</v>
          </cell>
          <cell r="P80">
            <v>6.4411589129370487E-4</v>
          </cell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H81">
            <v>6.7722654399836844E-4</v>
          </cell>
          <cell r="I81">
            <v>1.1157182860373177E-3</v>
          </cell>
          <cell r="J81">
            <v>3.3512106170392728E-3</v>
          </cell>
          <cell r="K81">
            <v>2.8026086531430542E-3</v>
          </cell>
          <cell r="L81">
            <v>3.9877569972899575E-3</v>
          </cell>
          <cell r="M81">
            <v>1.9237014185858078E-3</v>
          </cell>
          <cell r="N81">
            <v>1.4570987369148867E-3</v>
          </cell>
          <cell r="O81">
            <v>1.1600995733183641E-3</v>
          </cell>
          <cell r="P81">
            <v>2.8711130837557578E-3</v>
          </cell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H82">
            <v>1.08805361786226E-5</v>
          </cell>
          <cell r="I82">
            <v>7.44651353970759E-6</v>
          </cell>
          <cell r="J82">
            <v>5.3973515148983997E-5</v>
          </cell>
          <cell r="K82">
            <v>2.8803059477641401E-7</v>
          </cell>
          <cell r="L82">
            <v>3.5885891091435699E-5</v>
          </cell>
          <cell r="M82">
            <v>6.9432699674952795E-8</v>
          </cell>
          <cell r="N82">
            <v>3.8673879953707799E-7</v>
          </cell>
          <cell r="O82">
            <v>1.82082206110566E-5</v>
          </cell>
          <cell r="P82">
            <v>3.97606065096885E-5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H83">
            <v>1.08805361786226E-5</v>
          </cell>
          <cell r="I83">
            <v>1.8327049718330201E-5</v>
          </cell>
          <cell r="J83">
            <v>7.0204485209721991E-5</v>
          </cell>
          <cell r="K83">
            <v>6.1679433872907698E-5</v>
          </cell>
          <cell r="L83">
            <v>9.0129208106563697E-5</v>
          </cell>
          <cell r="M83">
            <v>4.4022918582029322E-5</v>
          </cell>
          <cell r="N83">
            <v>3.6263469180334275E-5</v>
          </cell>
          <cell r="O83">
            <v>2.4935652820168651E-5</v>
          </cell>
          <cell r="P83">
            <v>5.8308523001261166E-5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E84">
            <v>3.560002271776098</v>
          </cell>
          <cell r="F84">
            <v>3.4647169717969843</v>
          </cell>
          <cell r="G84">
            <v>0.41950452244440467</v>
          </cell>
          <cell r="H84">
            <v>1.038073848035891E-4</v>
          </cell>
          <cell r="I84">
            <v>6.1388193239692167E-5</v>
          </cell>
          <cell r="J84">
            <v>4.4756187060252667E-4</v>
          </cell>
          <cell r="K84">
            <v>2.4833471305746454E-4</v>
          </cell>
          <cell r="L84">
            <v>1.3539546899122407E-4</v>
          </cell>
          <cell r="M84">
            <v>1.7459226397307631E-4</v>
          </cell>
          <cell r="N84">
            <v>1.0812452154167788E-4</v>
          </cell>
          <cell r="O84">
            <v>1.2081901141235386E-4</v>
          </cell>
          <cell r="P84">
            <v>5.439723489651046E-5</v>
          </cell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E85">
            <v>330.01221059364502</v>
          </cell>
          <cell r="F85">
            <v>321.17926328558099</v>
          </cell>
          <cell r="G85">
            <v>38.888069230596301</v>
          </cell>
          <cell r="H85">
            <v>9.6229445712927193E-3</v>
          </cell>
          <cell r="I85">
            <v>5.6906855133194599E-3</v>
          </cell>
          <cell r="J85">
            <v>4.1488985404854198E-2</v>
          </cell>
          <cell r="K85">
            <v>2.3020627900426999E-2</v>
          </cell>
          <cell r="L85">
            <v>1.25511599754865E-2</v>
          </cell>
          <cell r="M85">
            <v>1.6184702870304199E-2</v>
          </cell>
          <cell r="N85">
            <v>1.00231431469135E-2</v>
          </cell>
          <cell r="O85">
            <v>1.1199922357925199E-2</v>
          </cell>
          <cell r="P85">
            <v>5.04262367490652E-3</v>
          </cell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E86">
            <v>3.560002271776098</v>
          </cell>
          <cell r="F86">
            <v>3.4647169717969843</v>
          </cell>
          <cell r="G86">
            <v>0.41950452244440467</v>
          </cell>
          <cell r="H86">
            <v>1.038073848035891E-4</v>
          </cell>
          <cell r="I86">
            <v>6.1388193239692167E-5</v>
          </cell>
          <cell r="J86">
            <v>4.4756187060252667E-4</v>
          </cell>
          <cell r="K86">
            <v>2.4833471305746454E-4</v>
          </cell>
          <cell r="L86">
            <v>1.3539546899122407E-4</v>
          </cell>
          <cell r="M86">
            <v>1.7459226397307631E-4</v>
          </cell>
          <cell r="N86">
            <v>1.0812452154167788E-4</v>
          </cell>
          <cell r="O86">
            <v>1.2081901141235386E-4</v>
          </cell>
          <cell r="P86">
            <v>5.439723489651046E-5</v>
          </cell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E87">
            <v>3.8825483461227E-5</v>
          </cell>
          <cell r="F87">
            <v>2.6540183016411376E-5</v>
          </cell>
          <cell r="G87">
            <v>4.2181695125127349E-5</v>
          </cell>
          <cell r="H87">
            <v>2.6028282550092453E-4</v>
          </cell>
          <cell r="I87">
            <v>3.0924966587980756E-4</v>
          </cell>
          <cell r="J87">
            <v>1.2357549185041041E-3</v>
          </cell>
          <cell r="K87">
            <v>1.0498423520974693E-3</v>
          </cell>
          <cell r="L87">
            <v>1.0087363385165758E-3</v>
          </cell>
          <cell r="M87">
            <v>5.7374408849761684E-4</v>
          </cell>
          <cell r="N87">
            <v>9.8855427637188609E-4</v>
          </cell>
          <cell r="O87">
            <v>1.1400740784070016E-3</v>
          </cell>
          <cell r="P87">
            <v>2.3217909443653943E-3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E88">
            <v>3.8825483461227102E-5</v>
          </cell>
          <cell r="F88">
            <v>2.6522501348845534E-5</v>
          </cell>
          <cell r="G88">
            <v>4.2137801581813058E-5</v>
          </cell>
          <cell r="H88">
            <v>2.6028282550092453E-4</v>
          </cell>
          <cell r="I88">
            <v>3.0896569006173678E-4</v>
          </cell>
          <cell r="J88">
            <v>1.2357549185041086E-3</v>
          </cell>
          <cell r="K88">
            <v>1.0489853379324935E-3</v>
          </cell>
          <cell r="L88">
            <v>1.0087363385165768E-3</v>
          </cell>
          <cell r="M88">
            <v>5.7374408849761749E-4</v>
          </cell>
          <cell r="N88">
            <v>9.8855427637188674E-4</v>
          </cell>
          <cell r="O88">
            <v>1.1400740784070031E-3</v>
          </cell>
          <cell r="P88">
            <v>2.3217909443653964E-3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E89">
            <v>3.0775145968549675E-5</v>
          </cell>
          <cell r="F89">
            <v>1.2958482168721137E-5</v>
          </cell>
          <cell r="G89">
            <v>3.3465623728303488E-5</v>
          </cell>
          <cell r="H89">
            <v>3.2535112314627501E-4</v>
          </cell>
          <cell r="I89">
            <v>3.7487726612994487E-4</v>
          </cell>
          <cell r="J89">
            <v>1.4538836783193495E-3</v>
          </cell>
          <cell r="K89">
            <v>1.2002405588812323E-3</v>
          </cell>
          <cell r="L89">
            <v>1.1216405789905991E-3</v>
          </cell>
          <cell r="M89">
            <v>6.3753778575862438E-4</v>
          </cell>
          <cell r="N89">
            <v>1.0993178530119057E-3</v>
          </cell>
          <cell r="O89">
            <v>1.2668334013153171E-3</v>
          </cell>
          <cell r="P89">
            <v>2.5808278477187662E-3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E90">
            <v>3.0775145968549675E-5</v>
          </cell>
          <cell r="F90">
            <v>1.2958482168721137E-5</v>
          </cell>
          <cell r="G90">
            <v>3.3465623728303488E-5</v>
          </cell>
          <cell r="H90">
            <v>3.2535112314627501E-4</v>
          </cell>
          <cell r="I90">
            <v>3.7487726612994487E-4</v>
          </cell>
          <cell r="J90">
            <v>1.4538836783193495E-3</v>
          </cell>
          <cell r="K90">
            <v>1.2002405588812323E-3</v>
          </cell>
          <cell r="L90">
            <v>1.1216405789905991E-3</v>
          </cell>
          <cell r="M90">
            <v>6.3753778575862438E-4</v>
          </cell>
          <cell r="N90">
            <v>1.0993178530119057E-3</v>
          </cell>
          <cell r="O90">
            <v>1.2668334013153171E-3</v>
          </cell>
          <cell r="P90">
            <v>2.5808278477187662E-3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E91">
            <v>5.7072555204268403E-4</v>
          </cell>
          <cell r="F91">
            <v>1.3380300729298799E-5</v>
          </cell>
          <cell r="G91">
            <v>2.3849109587035899E-5</v>
          </cell>
          <cell r="H91">
            <v>2.0427192001862302E-5</v>
          </cell>
          <cell r="I91">
            <v>6.5106707686281003E-4</v>
          </cell>
          <cell r="J91">
            <v>2.7437490227042799E-4</v>
          </cell>
          <cell r="K91">
            <v>5.04920707633366E-5</v>
          </cell>
          <cell r="L91">
            <v>1.0476804563493999E-3</v>
          </cell>
          <cell r="M91">
            <v>2.4662601235400999E-5</v>
          </cell>
          <cell r="N91">
            <v>7.9148757490234904E-4</v>
          </cell>
          <cell r="O91">
            <v>4.2490405516090198E-4</v>
          </cell>
          <cell r="P91">
            <v>1.90434135896586E-3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E92">
            <v>5.7072555204268403E-4</v>
          </cell>
          <cell r="F92">
            <v>5.8262775120197861E-4</v>
          </cell>
          <cell r="G92">
            <v>6.0258874995705721E-4</v>
          </cell>
          <cell r="H92">
            <v>6.1668987535621732E-4</v>
          </cell>
          <cell r="I92">
            <v>8.3450475735651097E-4</v>
          </cell>
          <cell r="J92">
            <v>9.3658835311751399E-4</v>
          </cell>
          <cell r="K92">
            <v>9.6654289100657606E-4</v>
          </cell>
          <cell r="L92">
            <v>1.362352625055641E-3</v>
          </cell>
          <cell r="M92">
            <v>1.1364742876363325E-3</v>
          </cell>
          <cell r="N92">
            <v>1.8491373856345937E-3</v>
          </cell>
          <cell r="O92">
            <v>1.3985204904263619E-3</v>
          </cell>
          <cell r="P92">
            <v>3.1071628387949837E-3</v>
          </cell>
        </row>
        <row r="93">
          <cell r="B93" t="str">
            <v>ENGA-CCS</v>
          </cell>
          <cell r="C93" t="str">
            <v>VAR_fout</v>
          </cell>
          <cell r="D93" t="str">
            <v>CO2_O</v>
          </cell>
          <cell r="J93"/>
          <cell r="K93">
            <v>1.9191964776832057E-4</v>
          </cell>
          <cell r="L93">
            <v>4.5770620573001288E-3</v>
          </cell>
          <cell r="M93">
            <v>240.63139163303251</v>
          </cell>
          <cell r="N93">
            <v>265.34743323053988</v>
          </cell>
          <cell r="O93">
            <v>270.35731393953705</v>
          </cell>
          <cell r="P93">
            <v>275.20979384360976</v>
          </cell>
        </row>
        <row r="94">
          <cell r="B94" t="str">
            <v>ENGA-CCS</v>
          </cell>
          <cell r="C94" t="str">
            <v>VAR_fout</v>
          </cell>
          <cell r="D94" t="str">
            <v>CO2</v>
          </cell>
          <cell r="J94"/>
          <cell r="K94">
            <v>-1.91919647768321E-4</v>
          </cell>
          <cell r="L94">
            <v>-4.5770620573001297E-3</v>
          </cell>
          <cell r="M94">
            <v>-240.631391633032</v>
          </cell>
          <cell r="N94">
            <v>-265.34743323053999</v>
          </cell>
          <cell r="O94">
            <v>-270.35731393953699</v>
          </cell>
          <cell r="P94">
            <v>-275.20979384360999</v>
          </cell>
        </row>
        <row r="95">
          <cell r="B95" t="str">
            <v>ENGA-CCS</v>
          </cell>
          <cell r="C95" t="str">
            <v>VAR_fout</v>
          </cell>
          <cell r="D95" t="str">
            <v>ELC13</v>
          </cell>
          <cell r="J95"/>
          <cell r="K95">
            <v>2.0932707046297821E-6</v>
          </cell>
          <cell r="L95">
            <v>5.0151090356105473E-5</v>
          </cell>
          <cell r="M95">
            <v>2.6366097975569325</v>
          </cell>
          <cell r="N95">
            <v>2.9074246608653462</v>
          </cell>
          <cell r="O95">
            <v>2.9623181661237066</v>
          </cell>
          <cell r="P95">
            <v>3.0154870231489657</v>
          </cell>
        </row>
        <row r="96">
          <cell r="B96" t="str">
            <v>ENGA-CCS</v>
          </cell>
          <cell r="C96" t="str">
            <v>VAR_fout</v>
          </cell>
          <cell r="D96" t="str">
            <v>CO2_E</v>
          </cell>
          <cell r="J96"/>
          <cell r="K96">
            <v>4.4819225105506599E-4</v>
          </cell>
          <cell r="L96">
            <v>1.22661066382737E-2</v>
          </cell>
          <cell r="M96">
            <v>272.03301404686903</v>
          </cell>
          <cell r="N96">
            <v>308.50906697400598</v>
          </cell>
          <cell r="O96">
            <v>313.30057804917499</v>
          </cell>
          <cell r="P96">
            <v>318.00672775958998</v>
          </cell>
        </row>
        <row r="97">
          <cell r="B97" t="str">
            <v>ENGA-CCS</v>
          </cell>
          <cell r="C97" t="str">
            <v>VAR_fin</v>
          </cell>
          <cell r="D97" t="str">
            <v>ENGA</v>
          </cell>
          <cell r="J97"/>
          <cell r="K97">
            <v>7.9466711179976242E-6</v>
          </cell>
          <cell r="L97">
            <v>2.1748416025307903E-4</v>
          </cell>
          <cell r="M97">
            <v>4.8232803909019291</v>
          </cell>
          <cell r="N97">
            <v>5.4700189179788303</v>
          </cell>
          <cell r="O97">
            <v>5.554974788105949</v>
          </cell>
          <cell r="P97">
            <v>5.638417158857985</v>
          </cell>
        </row>
        <row r="98">
          <cell r="B98" t="str">
            <v>ENGA-CCS</v>
          </cell>
          <cell r="C98" t="str">
            <v>VAR_fin</v>
          </cell>
          <cell r="D98" t="str">
            <v>GTC</v>
          </cell>
          <cell r="J98"/>
          <cell r="K98">
            <v>1.44102495743651E-6</v>
          </cell>
          <cell r="L98">
            <v>2.9928512294744301E-6</v>
          </cell>
          <cell r="M98">
            <v>0.19195932377143565</v>
          </cell>
          <cell r="N98">
            <v>0.34889325171454177</v>
          </cell>
          <cell r="O98">
            <v>0.34889329999172436</v>
          </cell>
          <cell r="P98">
            <v>0.34889211711270601</v>
          </cell>
        </row>
        <row r="99">
          <cell r="B99" t="str">
            <v>ENGA-CCS</v>
          </cell>
          <cell r="C99" t="str">
            <v>VAR_ncap</v>
          </cell>
          <cell r="D99" t="str">
            <v>-</v>
          </cell>
          <cell r="J99"/>
          <cell r="K99">
            <v>2.9928512294744301E-6</v>
          </cell>
          <cell r="L99"/>
          <cell r="M99">
            <v>0.34889147491480599</v>
          </cell>
          <cell r="N99">
            <v>3.1065255811470299E-7</v>
          </cell>
          <cell r="O99">
            <v>5.0979690947886699E-7</v>
          </cell>
        </row>
        <row r="100">
          <cell r="B100" t="str">
            <v>ENGA-CCS</v>
          </cell>
          <cell r="C100" t="str">
            <v>VAR_cap</v>
          </cell>
          <cell r="D100" t="str">
            <v>-</v>
          </cell>
          <cell r="J100"/>
          <cell r="K100">
            <v>1.44102495743651E-6</v>
          </cell>
          <cell r="L100">
            <v>2.9928512294744301E-6</v>
          </cell>
          <cell r="M100">
            <v>0.19195932377143521</v>
          </cell>
          <cell r="N100">
            <v>0.34889325171454244</v>
          </cell>
          <cell r="O100">
            <v>0.34889329999172458</v>
          </cell>
          <cell r="P100">
            <v>0.3488921171127059</v>
          </cell>
        </row>
        <row r="101">
          <cell r="B101" t="str">
            <v>CHPWSTCCS</v>
          </cell>
          <cell r="C101" t="str">
            <v>VAR_fout</v>
          </cell>
          <cell r="D101" t="str">
            <v>ELC35</v>
          </cell>
          <cell r="J101">
            <v>0.36847685376865158</v>
          </cell>
          <cell r="K101">
            <v>0.69932276139691674</v>
          </cell>
          <cell r="L101">
            <v>0.71175178662670202</v>
          </cell>
          <cell r="M101">
            <v>0.71175164152503045</v>
          </cell>
          <cell r="N101">
            <v>0.71175167846824239</v>
          </cell>
          <cell r="O101">
            <v>0.71175161911593943</v>
          </cell>
          <cell r="P101">
            <v>0.71175168205312189</v>
          </cell>
        </row>
        <row r="102">
          <cell r="B102" t="str">
            <v>CHPWSTCCS</v>
          </cell>
          <cell r="C102" t="str">
            <v>VAR_fout</v>
          </cell>
          <cell r="D102" t="str">
            <v>CO2_O</v>
          </cell>
          <cell r="J102">
            <v>630.83421439902372</v>
          </cell>
          <cell r="K102">
            <v>1132.529793253306</v>
          </cell>
          <cell r="L102">
            <v>1088.6111770569003</v>
          </cell>
          <cell r="M102">
            <v>1088.6109551265793</v>
          </cell>
          <cell r="N102">
            <v>1088.6110116305379</v>
          </cell>
          <cell r="O102">
            <v>1088.6109208522896</v>
          </cell>
          <cell r="P102">
            <v>1088.6110171135451</v>
          </cell>
        </row>
        <row r="103">
          <cell r="B103" t="str">
            <v>CHPWSTCCS</v>
          </cell>
          <cell r="C103" t="str">
            <v>VAR_fout</v>
          </cell>
          <cell r="D103" t="str">
            <v>CO2</v>
          </cell>
          <cell r="J103">
            <v>-630.83421439902304</v>
          </cell>
          <cell r="K103">
            <v>-1132.5297932533099</v>
          </cell>
          <cell r="L103">
            <v>-1088.6111770569</v>
          </cell>
          <cell r="M103">
            <v>-1088.6109551265799</v>
          </cell>
          <cell r="N103">
            <v>-1088.6110116305399</v>
          </cell>
          <cell r="O103">
            <v>-1088.6109208522901</v>
          </cell>
          <cell r="P103">
            <v>-1088.6110171135499</v>
          </cell>
        </row>
        <row r="104">
          <cell r="B104" t="str">
            <v>CHPWSTCCS</v>
          </cell>
          <cell r="C104" t="str">
            <v>VAR_fout</v>
          </cell>
          <cell r="D104" t="str">
            <v>LTH</v>
          </cell>
          <cell r="J104">
            <v>3.4572965624564564</v>
          </cell>
          <cell r="K104">
            <v>6.3787570288570254</v>
          </cell>
          <cell r="L104">
            <v>6.3061208295125839</v>
          </cell>
          <cell r="M104">
            <v>6.3061195439117697</v>
          </cell>
          <cell r="N104">
            <v>6.3061198712286322</v>
          </cell>
          <cell r="O104">
            <v>6.3061193453672191</v>
          </cell>
          <cell r="P104">
            <v>6.3061199029906572</v>
          </cell>
        </row>
        <row r="105">
          <cell r="B105" t="str">
            <v>CHPWSTCCS</v>
          </cell>
          <cell r="C105" t="str">
            <v>VAR_fout</v>
          </cell>
          <cell r="D105" t="str">
            <v>CO2_E</v>
          </cell>
          <cell r="J105">
            <v>708.80248808879105</v>
          </cell>
          <cell r="K105">
            <v>1269.4707225346101</v>
          </cell>
          <cell r="L105">
            <v>1223.15862590663</v>
          </cell>
          <cell r="M105">
            <v>1223.1583765467201</v>
          </cell>
          <cell r="N105">
            <v>1223.1584400343099</v>
          </cell>
          <cell r="O105">
            <v>1223.1583380362799</v>
          </cell>
          <cell r="P105">
            <v>1223.1584461949899</v>
          </cell>
        </row>
        <row r="106">
          <cell r="B106" t="str">
            <v>CHPWSTCCS</v>
          </cell>
          <cell r="C106" t="str">
            <v>VAR_fin</v>
          </cell>
          <cell r="D106" t="str">
            <v>EWST</v>
          </cell>
          <cell r="J106">
            <v>7.6379578457843875</v>
          </cell>
          <cell r="K106">
            <v>13.679641406622943</v>
          </cell>
          <cell r="L106">
            <v>13.180588641235218</v>
          </cell>
          <cell r="M106">
            <v>13.180585954167238</v>
          </cell>
          <cell r="N106">
            <v>13.180586638300783</v>
          </cell>
          <cell r="O106">
            <v>13.180585539184062</v>
          </cell>
          <cell r="P106">
            <v>13.18058670468745</v>
          </cell>
        </row>
        <row r="107">
          <cell r="B107" t="str">
            <v>CHPWSTCCS</v>
          </cell>
          <cell r="C107" t="str">
            <v>VAR_ncap</v>
          </cell>
          <cell r="D107" t="str">
            <v>-</v>
          </cell>
          <cell r="J107">
            <v>2.0132120406629501E-2</v>
          </cell>
          <cell r="K107">
            <v>1.8075904247919099E-2</v>
          </cell>
          <cell r="L107">
            <v>6.7909236500185595E-4</v>
          </cell>
          <cell r="M107">
            <v>9.0730155846644701E-8</v>
          </cell>
          <cell r="N107">
            <v>4.0755225389293697E-3</v>
          </cell>
          <cell r="O107">
            <v>1.0510591642692401E-2</v>
          </cell>
          <cell r="P107">
            <v>5.5465045966695903E-3</v>
          </cell>
        </row>
        <row r="108">
          <cell r="B108" t="str">
            <v>CHPWSTCCS</v>
          </cell>
          <cell r="C108" t="str">
            <v>VAR_cap</v>
          </cell>
          <cell r="D108" t="str">
            <v>-</v>
          </cell>
          <cell r="J108">
            <v>2.0132120406629501E-2</v>
          </cell>
          <cell r="K108">
            <v>3.8208011490142767E-2</v>
          </cell>
          <cell r="L108">
            <v>3.8887082028636347E-2</v>
          </cell>
          <cell r="M108">
            <v>3.888710180367895E-2</v>
          </cell>
          <cell r="N108">
            <v>4.2962536659629222E-2</v>
          </cell>
          <cell r="O108">
            <v>5.0321334656779466E-2</v>
          </cell>
          <cell r="P108">
            <v>3.8887372676498347E-2</v>
          </cell>
        </row>
        <row r="109">
          <cell r="B109" t="str">
            <v>RHNS-CHPGFC</v>
          </cell>
          <cell r="C109" t="str">
            <v>VAR_fout</v>
          </cell>
          <cell r="D109" t="str">
            <v>CO2_R</v>
          </cell>
          <cell r="J109"/>
          <cell r="K109"/>
          <cell r="L109"/>
          <cell r="M109">
            <v>2.2606610409701199E-2</v>
          </cell>
          <cell r="N109">
            <v>3.4209817361587097E-2</v>
          </cell>
          <cell r="O109">
            <v>3.4285678116984797E-2</v>
          </cell>
          <cell r="P109">
            <v>6.8203322817907197E-2</v>
          </cell>
        </row>
        <row r="110">
          <cell r="B110" t="str">
            <v>RHNS-CHPGFC</v>
          </cell>
          <cell r="C110" t="str">
            <v>VAR_fout</v>
          </cell>
          <cell r="D110" t="str">
            <v>RHNS_LTH_CHPNGA</v>
          </cell>
          <cell r="J110"/>
          <cell r="K110"/>
          <cell r="L110"/>
          <cell r="M110">
            <v>1.8037189156676472E-4</v>
          </cell>
          <cell r="N110">
            <v>2.7295067043819508E-4</v>
          </cell>
          <cell r="O110">
            <v>2.7355594242275066E-4</v>
          </cell>
          <cell r="P110">
            <v>5.4417544801521655E-4</v>
          </cell>
        </row>
        <row r="111">
          <cell r="B111" t="str">
            <v>RHNS-CHPGFC</v>
          </cell>
          <cell r="C111" t="str">
            <v>VAR_fout</v>
          </cell>
          <cell r="D111" t="str">
            <v>RHNS_NKEV_GAS_ELC_CHP</v>
          </cell>
          <cell r="J111"/>
          <cell r="K111"/>
          <cell r="L111"/>
          <cell r="M111">
            <v>1.8037189156676472E-4</v>
          </cell>
          <cell r="N111">
            <v>2.7295067043819508E-4</v>
          </cell>
          <cell r="O111">
            <v>2.7355594242275066E-4</v>
          </cell>
          <cell r="P111">
            <v>5.4417544801521655E-4</v>
          </cell>
        </row>
        <row r="112">
          <cell r="B112" t="str">
            <v>RHNS-CHPGFC</v>
          </cell>
          <cell r="C112" t="str">
            <v>VAR_fin</v>
          </cell>
          <cell r="D112" t="str">
            <v>RNGA</v>
          </cell>
          <cell r="J112"/>
          <cell r="K112"/>
          <cell r="L112"/>
          <cell r="M112">
            <v>4.0082642570392146E-4</v>
          </cell>
          <cell r="N112">
            <v>6.0655704541821192E-4</v>
          </cell>
          <cell r="O112">
            <v>6.0790209427277959E-4</v>
          </cell>
          <cell r="P112">
            <v>1.2092787733671475E-3</v>
          </cell>
        </row>
        <row r="113">
          <cell r="B113" t="str">
            <v>RHNS-CHPGFC</v>
          </cell>
          <cell r="C113" t="str">
            <v>VAR_ncap</v>
          </cell>
          <cell r="D113" t="str">
            <v>-</v>
          </cell>
          <cell r="J113"/>
          <cell r="K113"/>
          <cell r="L113"/>
          <cell r="M113">
            <v>1.6031420231738699E-5</v>
          </cell>
          <cell r="N113">
            <v>8.3026575738934803E-6</v>
          </cell>
          <cell r="O113">
            <v>1.0802977605842801E-7</v>
          </cell>
          <cell r="P113">
            <v>2.4268647094500402E-5</v>
          </cell>
        </row>
        <row r="114">
          <cell r="B114" t="str">
            <v>RHNS-CHPGFC</v>
          </cell>
          <cell r="C114" t="str">
            <v>VAR_cap</v>
          </cell>
          <cell r="D114" t="str">
            <v>-</v>
          </cell>
          <cell r="J114"/>
          <cell r="K114"/>
          <cell r="L114"/>
          <cell r="M114">
            <v>1.6031420231738699E-5</v>
          </cell>
          <cell r="N114">
            <v>2.43340778056321E-5</v>
          </cell>
          <cell r="O114">
            <v>2.4420126461334724E-5</v>
          </cell>
          <cell r="P114">
            <v>4.8627237645396187E-5</v>
          </cell>
        </row>
        <row r="115">
          <cell r="B115" t="str">
            <v>D-ENGA</v>
          </cell>
          <cell r="C115" t="str">
            <v>VAR_fout</v>
          </cell>
          <cell r="D115" t="str">
            <v>CO2</v>
          </cell>
          <cell r="E115">
            <v>310.77821986763797</v>
          </cell>
          <cell r="F115">
            <v>98.643503663181903</v>
          </cell>
          <cell r="G115">
            <v>78.2965647073149</v>
          </cell>
          <cell r="J115"/>
          <cell r="K115"/>
          <cell r="L115"/>
        </row>
        <row r="116">
          <cell r="B116" t="str">
            <v>D-ENGA</v>
          </cell>
          <cell r="C116" t="str">
            <v>VAR_fout</v>
          </cell>
          <cell r="D116" t="str">
            <v>ENGA</v>
          </cell>
          <cell r="E116">
            <v>5.6974516799024233</v>
          </cell>
          <cell r="F116">
            <v>1.7434397837725903</v>
          </cell>
          <cell r="G116">
            <v>1.7283695785370206</v>
          </cell>
          <cell r="J116">
            <v>6.7467167646926006E-6</v>
          </cell>
          <cell r="K116">
            <v>8.6683804424672724E-6</v>
          </cell>
          <cell r="L116">
            <v>3.9893132009347311E-3</v>
          </cell>
          <cell r="M116">
            <v>4.8260011268691798</v>
          </cell>
          <cell r="N116">
            <v>5.4722155106530534</v>
          </cell>
          <cell r="O116">
            <v>5.5573428261996529</v>
          </cell>
          <cell r="P116">
            <v>5.6426451802342825</v>
          </cell>
        </row>
        <row r="117">
          <cell r="B117" t="str">
            <v>D-ENGA</v>
          </cell>
          <cell r="C117" t="str">
            <v>VAR_fout</v>
          </cell>
          <cell r="D117" t="str">
            <v>EH2</v>
          </cell>
          <cell r="J117">
            <v>3.8256751961862988E-6</v>
          </cell>
          <cell r="K117">
            <v>1.8459994264784557E-6</v>
          </cell>
          <cell r="L117">
            <v>8.9038510857615986E-5</v>
          </cell>
          <cell r="M117">
            <v>2.2536371041543171E-2</v>
          </cell>
          <cell r="N117">
            <v>3.802677115118322E-2</v>
          </cell>
          <cell r="O117">
            <v>3.7869803414501406E-2</v>
          </cell>
          <cell r="P117">
            <v>3.4954858474979172E-2</v>
          </cell>
        </row>
        <row r="118">
          <cell r="B118" t="str">
            <v>D-ENGA</v>
          </cell>
          <cell r="C118" t="str">
            <v>VAR_fin</v>
          </cell>
          <cell r="D118" t="str">
            <v>NGA</v>
          </cell>
          <cell r="E118">
            <v>5.5102521253127312</v>
          </cell>
          <cell r="F118">
            <v>1.7489982919003886</v>
          </cell>
          <cell r="G118">
            <v>1.3882369628956546</v>
          </cell>
          <cell r="J118"/>
          <cell r="K118"/>
          <cell r="L118"/>
        </row>
        <row r="119">
          <cell r="B119" t="str">
            <v>D-ENGA</v>
          </cell>
          <cell r="C119" t="str">
            <v>VAR_fin</v>
          </cell>
          <cell r="D119" t="str">
            <v>BNGA</v>
          </cell>
          <cell r="E119">
            <v>0.20540074532834329</v>
          </cell>
          <cell r="F119">
            <v>1.9182614540549234E-5</v>
          </cell>
          <cell r="G119">
            <v>0.34565542042652098</v>
          </cell>
          <cell r="J119">
            <v>7.1607604491606628E-6</v>
          </cell>
          <cell r="K119">
            <v>9.5075230615187625E-6</v>
          </cell>
          <cell r="L119">
            <v>4.0034886956980594E-3</v>
          </cell>
          <cell r="M119">
            <v>4.8414902093588967</v>
          </cell>
          <cell r="N119">
            <v>5.4898195026163252</v>
          </cell>
          <cell r="O119">
            <v>5.5752178823530674</v>
          </cell>
          <cell r="P119">
            <v>5.6607834512336161</v>
          </cell>
        </row>
        <row r="120">
          <cell r="B120" t="str">
            <v>D-ENGA</v>
          </cell>
          <cell r="C120" t="str">
            <v>VAR_fin</v>
          </cell>
          <cell r="D120" t="str">
            <v>H2</v>
          </cell>
          <cell r="J120">
            <v>2.5658634562501981E-7</v>
          </cell>
          <cell r="K120">
            <v>4.1118040244765196E-8</v>
          </cell>
          <cell r="L120">
            <v>8.7543855877485609E-5</v>
          </cell>
          <cell r="M120">
            <v>2.2535225589520202E-2</v>
          </cell>
          <cell r="N120">
            <v>3.8026613963166339E-2</v>
          </cell>
          <cell r="O120">
            <v>3.7869537474969156E-2</v>
          </cell>
          <cell r="P120">
            <v>3.495359859996798E-2</v>
          </cell>
        </row>
        <row r="121">
          <cell r="B121" t="str">
            <v>D-ENGA</v>
          </cell>
          <cell r="C121" t="str">
            <v>VAR_ncap</v>
          </cell>
          <cell r="D121" t="str">
            <v>-</v>
          </cell>
          <cell r="E121">
            <v>1.34857584612358E-7</v>
          </cell>
          <cell r="F121">
            <v>7.0783044015255997E-8</v>
          </cell>
          <cell r="G121">
            <v>8.2011391378143997E-8</v>
          </cell>
          <cell r="H121">
            <v>1.00795645413787E-7</v>
          </cell>
          <cell r="I121">
            <v>1.9738018341608401E-7</v>
          </cell>
          <cell r="J121">
            <v>3.8636584405745498E-7</v>
          </cell>
          <cell r="K121">
            <v>6.7511703688649502E-7</v>
          </cell>
          <cell r="L121">
            <v>2.92568365474566E-6</v>
          </cell>
          <cell r="M121">
            <v>9.4916134552399098E-2</v>
          </cell>
          <cell r="N121">
            <v>0.54555332647122301</v>
          </cell>
          <cell r="O121">
            <v>3.0578935069520002E-6</v>
          </cell>
          <cell r="P121">
            <v>3.0213368183196801E-5</v>
          </cell>
        </row>
        <row r="122">
          <cell r="B122" t="str">
            <v>D-ENGA</v>
          </cell>
          <cell r="C122" t="str">
            <v>VAR_cap</v>
          </cell>
          <cell r="D122" t="str">
            <v>-</v>
          </cell>
          <cell r="E122">
            <v>1.0275121293985647</v>
          </cell>
          <cell r="F122">
            <v>1.0275122001816086</v>
          </cell>
          <cell r="G122">
            <v>1.0275122821930001</v>
          </cell>
          <cell r="H122">
            <v>1.0275123829886454</v>
          </cell>
          <cell r="I122">
            <v>1.027512580368829</v>
          </cell>
          <cell r="J122">
            <v>1.027512966734673</v>
          </cell>
          <cell r="K122">
            <v>1.0275136418517099</v>
          </cell>
          <cell r="L122">
            <v>0.72893966811801847</v>
          </cell>
          <cell r="M122">
            <v>0.3531234011355156</v>
          </cell>
          <cell r="N122">
            <v>0.64047389961585799</v>
          </cell>
          <cell r="O122">
            <v>0.64047678683191001</v>
          </cell>
          <cell r="P122">
            <v>0.64050691683203098</v>
          </cell>
        </row>
        <row r="123">
          <cell r="B123" t="str">
            <v>D-ILFO</v>
          </cell>
          <cell r="C123" t="str">
            <v>VAR_fout</v>
          </cell>
          <cell r="D123" t="str">
            <v>CO2</v>
          </cell>
          <cell r="E123">
            <v>688.800578015062</v>
          </cell>
          <cell r="F123">
            <v>659.57567850091402</v>
          </cell>
          <cell r="G123">
            <v>602.32294676413301</v>
          </cell>
          <cell r="H123">
            <v>426.82870191748498</v>
          </cell>
          <cell r="I123">
            <v>304.69368556673498</v>
          </cell>
          <cell r="J123">
            <v>160.07376534478999</v>
          </cell>
          <cell r="K123">
            <v>27.089267574446598</v>
          </cell>
          <cell r="L123"/>
          <cell r="M123">
            <v>1.5716629759370399E-2</v>
          </cell>
          <cell r="N123">
            <v>3.930546594212E-3</v>
          </cell>
          <cell r="O123">
            <v>3.8509605060701398E-3</v>
          </cell>
          <cell r="P123">
            <v>2.0064697920899998E-3</v>
          </cell>
        </row>
        <row r="124">
          <cell r="B124" t="str">
            <v>D-ILFO</v>
          </cell>
          <cell r="C124" t="str">
            <v>VAR_fout</v>
          </cell>
          <cell r="D124" t="str">
            <v>ILFO</v>
          </cell>
          <cell r="E124">
            <v>9.1899159516577651</v>
          </cell>
          <cell r="F124">
            <v>8.7999999457731146</v>
          </cell>
          <cell r="G124">
            <v>8.0361615318662807</v>
          </cell>
          <cell r="H124">
            <v>7.1182795961633021</v>
          </cell>
          <cell r="I124">
            <v>5.4887658211176511</v>
          </cell>
          <cell r="J124">
            <v>3.5592555436738813</v>
          </cell>
          <cell r="K124">
            <v>1.7849884613434388</v>
          </cell>
          <cell r="L124">
            <v>1.4235669954486938</v>
          </cell>
          <cell r="M124">
            <v>1.4237797899312832</v>
          </cell>
          <cell r="N124">
            <v>1.4236230550811981</v>
          </cell>
          <cell r="O124">
            <v>1.4236220721501558</v>
          </cell>
          <cell r="P124">
            <v>1.4235992761483247</v>
          </cell>
        </row>
        <row r="125">
          <cell r="B125" t="str">
            <v>D-ILFO</v>
          </cell>
          <cell r="C125" t="str">
            <v>VAR_fin</v>
          </cell>
          <cell r="D125" t="str">
            <v>LFO</v>
          </cell>
          <cell r="E125">
            <v>9.3460051291053308</v>
          </cell>
          <cell r="F125">
            <v>8.9494664654126748</v>
          </cell>
          <cell r="G125">
            <v>8.1726315707480648</v>
          </cell>
          <cell r="H125">
            <v>5.791434218690438</v>
          </cell>
          <cell r="I125">
            <v>4.1342426806884056</v>
          </cell>
          <cell r="J125">
            <v>2.1719642516253708</v>
          </cell>
          <cell r="K125">
            <v>0.36756129680388866</v>
          </cell>
          <cell r="L125"/>
          <cell r="M125">
            <v>2.1325142142972035E-4</v>
          </cell>
          <cell r="N125">
            <v>5.3331704127706955E-5</v>
          </cell>
          <cell r="O125">
            <v>5.2251838616962628E-5</v>
          </cell>
          <cell r="P125">
            <v>2.7224827572455892E-5</v>
          </cell>
        </row>
        <row r="126">
          <cell r="B126" t="str">
            <v>D-ILFO</v>
          </cell>
          <cell r="C126" t="str">
            <v>VAR_fin</v>
          </cell>
          <cell r="D126" t="str">
            <v>BDS</v>
          </cell>
          <cell r="G126">
            <v>2.2813712632877401E-5</v>
          </cell>
          <cell r="H126">
            <v>1.4477481597020092</v>
          </cell>
          <cell r="I126">
            <v>1.4477489051399661</v>
          </cell>
          <cell r="J126">
            <v>1.4477489631645872</v>
          </cell>
          <cell r="K126">
            <v>1.4477491382711074</v>
          </cell>
          <cell r="L126">
            <v>1.4477492255449924</v>
          </cell>
          <cell r="M126">
            <v>1.4477491988786608</v>
          </cell>
          <cell r="N126">
            <v>1.4477497216308002</v>
          </cell>
          <cell r="O126">
            <v>1.4477498018703483</v>
          </cell>
          <cell r="P126">
            <v>1.4477513377255986</v>
          </cell>
        </row>
        <row r="127">
          <cell r="B127" t="str">
            <v>HPLNGA</v>
          </cell>
          <cell r="C127" t="str">
            <v>VAR_fout</v>
          </cell>
          <cell r="D127" t="str">
            <v>LTH</v>
          </cell>
          <cell r="E127">
            <v>1.7328995569212777</v>
          </cell>
          <cell r="F127">
            <v>1.4893295948494873</v>
          </cell>
          <cell r="G127">
            <v>1.4749765943912718</v>
          </cell>
          <cell r="J127"/>
          <cell r="K127"/>
          <cell r="L127"/>
        </row>
        <row r="128">
          <cell r="B128" t="str">
            <v>HPLNGA</v>
          </cell>
          <cell r="C128" t="str">
            <v>VAR_fout</v>
          </cell>
          <cell r="D128" t="str">
            <v>CO2_E</v>
          </cell>
          <cell r="E128">
            <v>114.383476882233</v>
          </cell>
          <cell r="F128">
            <v>98.306157793212506</v>
          </cell>
          <cell r="G128">
            <v>97.358759492170904</v>
          </cell>
          <cell r="J128"/>
          <cell r="K128"/>
          <cell r="L128"/>
        </row>
        <row r="129">
          <cell r="B129" t="str">
            <v>HPLNGA</v>
          </cell>
          <cell r="C129" t="str">
            <v>VAR_fin</v>
          </cell>
          <cell r="D129" t="str">
            <v>ENGA</v>
          </cell>
          <cell r="E129">
            <v>2.0280758312452618</v>
          </cell>
          <cell r="F129">
            <v>1.7430169821491588</v>
          </cell>
          <cell r="G129">
            <v>1.7262191399321081</v>
          </cell>
          <cell r="J129"/>
          <cell r="K129"/>
        </row>
        <row r="130">
          <cell r="B130" t="str">
            <v>HPLNGA</v>
          </cell>
          <cell r="C130" t="str">
            <v>VAR_ncap</v>
          </cell>
          <cell r="D130" t="str">
            <v>-</v>
          </cell>
          <cell r="E130">
            <v>6.9265831845598997E-7</v>
          </cell>
          <cell r="F130">
            <v>5.7034933509252595E-7</v>
          </cell>
          <cell r="G130">
            <v>5.2078579489453295E-7</v>
          </cell>
          <cell r="H130">
            <v>5.4997495709213403E-7</v>
          </cell>
          <cell r="I130">
            <v>9.6689717832417003E-7</v>
          </cell>
          <cell r="J130">
            <v>8.6898680589532701E-7</v>
          </cell>
          <cell r="K130">
            <v>1.0545188449356E-6</v>
          </cell>
          <cell r="L130">
            <v>1.31840112719492E-6</v>
          </cell>
          <cell r="M130">
            <v>1.1489303925570301E-6</v>
          </cell>
          <cell r="N130">
            <v>1.02570741344836E-6</v>
          </cell>
          <cell r="O130">
            <v>6.65039691931356E-7</v>
          </cell>
          <cell r="P130">
            <v>3.2173340525764998E-7</v>
          </cell>
        </row>
        <row r="131">
          <cell r="B131" t="str">
            <v>HPLNGA</v>
          </cell>
          <cell r="C131" t="str">
            <v>VAR_cap</v>
          </cell>
          <cell r="D131" t="str">
            <v>-</v>
          </cell>
          <cell r="E131">
            <v>0.21984273540361249</v>
          </cell>
          <cell r="F131">
            <v>0.18891364374153852</v>
          </cell>
          <cell r="G131">
            <v>0.18709588334603233</v>
          </cell>
          <cell r="H131">
            <v>4.7290564525459544E-6</v>
          </cell>
          <cell r="I131">
            <v>1.3105563492921266E-6</v>
          </cell>
          <cell r="J131">
            <v>1.5542074470103701E-6</v>
          </cell>
          <cell r="K131">
            <v>2.0867842946169797E-6</v>
          </cell>
          <cell r="L131">
            <v>2.6226447287898402E-6</v>
          </cell>
          <cell r="M131">
            <v>2.57954562675379E-6</v>
          </cell>
          <cell r="N131">
            <v>2.59447054490478E-6</v>
          </cell>
          <cell r="O131">
            <v>1.9562072522482404E-6</v>
          </cell>
          <cell r="P131">
            <v>6.7865066375798038E-7</v>
          </cell>
        </row>
        <row r="132">
          <cell r="B132" t="str">
            <v>G-INTC-IMP00-AT</v>
          </cell>
          <cell r="C132" t="str">
            <v>VAR_fout</v>
          </cell>
          <cell r="D132" t="str">
            <v>ELC</v>
          </cell>
          <cell r="E132">
            <v>15.013806189854497</v>
          </cell>
          <cell r="F132">
            <v>3.885661375543538E-3</v>
          </cell>
          <cell r="G132">
            <v>2.3685546107507891E-3</v>
          </cell>
          <cell r="H132">
            <v>3.2564453160636004E-3</v>
          </cell>
          <cell r="I132">
            <v>1.0160737308297959E-3</v>
          </cell>
          <cell r="J132">
            <v>1.4283240461735009E-3</v>
          </cell>
          <cell r="K132">
            <v>2.2767531916576679E-3</v>
          </cell>
          <cell r="L132">
            <v>2.438835850196352E-3</v>
          </cell>
          <cell r="M132">
            <v>2.5881582163336399E-3</v>
          </cell>
          <cell r="N132">
            <v>8.2920030715564135</v>
          </cell>
          <cell r="O132">
            <v>9.5101646384004912</v>
          </cell>
          <cell r="P132">
            <v>9.3718312372540318</v>
          </cell>
        </row>
        <row r="133">
          <cell r="B133" t="str">
            <v>G-INTC-IMP00-AT</v>
          </cell>
          <cell r="C133" t="str">
            <v>VAR_fin</v>
          </cell>
          <cell r="D133" t="str">
            <v>ELC_I-AT</v>
          </cell>
          <cell r="E133">
            <v>15.013806189854497</v>
          </cell>
          <cell r="F133">
            <v>3.885661375543538E-3</v>
          </cell>
          <cell r="G133">
            <v>2.3685546107507891E-3</v>
          </cell>
          <cell r="H133">
            <v>3.2564453160636004E-3</v>
          </cell>
          <cell r="I133">
            <v>1.0160737308297959E-3</v>
          </cell>
          <cell r="J133">
            <v>1.4283240461735009E-3</v>
          </cell>
          <cell r="K133">
            <v>2.2767531916576679E-3</v>
          </cell>
          <cell r="L133">
            <v>2.438835850196352E-3</v>
          </cell>
          <cell r="M133">
            <v>2.5881582163336399E-3</v>
          </cell>
          <cell r="N133">
            <v>8.2920030715564135</v>
          </cell>
          <cell r="O133">
            <v>9.5101646384004912</v>
          </cell>
          <cell r="P133">
            <v>9.3718312372540318</v>
          </cell>
        </row>
        <row r="134">
          <cell r="B134" t="str">
            <v>G-INTC-IMP00-AT</v>
          </cell>
          <cell r="C134" t="str">
            <v>VAR_ncap</v>
          </cell>
          <cell r="D134" t="str">
            <v>-</v>
          </cell>
          <cell r="E134">
            <v>6.4102074030958699E-7</v>
          </cell>
          <cell r="F134">
            <v>5.8489037422437704E-7</v>
          </cell>
          <cell r="G134">
            <v>6.6570219968768103E-7</v>
          </cell>
          <cell r="H134">
            <v>8.0077978662185005E-7</v>
          </cell>
          <cell r="I134">
            <v>1.0918069157809799E-6</v>
          </cell>
          <cell r="J134">
            <v>1.1216692660570399E-6</v>
          </cell>
          <cell r="K134">
            <v>1.4612656684683301E-6</v>
          </cell>
          <cell r="L134">
            <v>0.77990960695299905</v>
          </cell>
          <cell r="M134">
            <v>0.14430046900217999</v>
          </cell>
          <cell r="N134">
            <v>1.6652554097506999E-5</v>
          </cell>
        </row>
        <row r="135">
          <cell r="B135" t="str">
            <v>G-INTC-IMP00-AT</v>
          </cell>
          <cell r="C135" t="str">
            <v>VAR_cap</v>
          </cell>
          <cell r="D135" t="str">
            <v>-</v>
          </cell>
          <cell r="E135">
            <v>0.54940470760710591</v>
          </cell>
          <cell r="F135">
            <v>3.7000321243985113E-4</v>
          </cell>
          <cell r="G135">
            <v>3.6859539975986344E-4</v>
          </cell>
          <cell r="H135">
            <v>3.6851341819477135E-4</v>
          </cell>
          <cell r="I135">
            <v>3.6919726255146834E-4</v>
          </cell>
          <cell r="J135">
            <v>3.6910211277096927E-4</v>
          </cell>
          <cell r="K135">
            <v>3.6967084854544474E-4</v>
          </cell>
          <cell r="L135">
            <v>3.699308026026138E-4</v>
          </cell>
          <cell r="M135">
            <v>3.7043091136212958E-4</v>
          </cell>
          <cell r="N135">
            <v>0.81502952647907789</v>
          </cell>
          <cell r="O135">
            <v>0.92457878576228003</v>
          </cell>
          <cell r="P135">
            <v>0.92459436382983706</v>
          </cell>
        </row>
        <row r="136">
          <cell r="B136" t="str">
            <v>CHPWST</v>
          </cell>
          <cell r="C136" t="str">
            <v>VAR_fout</v>
          </cell>
          <cell r="D136" t="str">
            <v>ELC35</v>
          </cell>
          <cell r="E136">
            <v>1.4349601466846542</v>
          </cell>
          <cell r="F136">
            <v>1.2995353614065577</v>
          </cell>
          <cell r="G136">
            <v>1.317752171908575</v>
          </cell>
          <cell r="H136">
            <v>1.290176314523791</v>
          </cell>
          <cell r="I136">
            <v>1.2798570005134431</v>
          </cell>
          <cell r="J136">
            <v>0.90921433759970638</v>
          </cell>
          <cell r="K136">
            <v>0.49420002229946586</v>
          </cell>
          <cell r="L136">
            <v>0.50243705087666313</v>
          </cell>
          <cell r="M136">
            <v>0.50243700006451864</v>
          </cell>
          <cell r="N136">
            <v>0.50243690346816294</v>
          </cell>
          <cell r="O136">
            <v>0.50243693317294424</v>
          </cell>
          <cell r="P136">
            <v>0.50243701000675278</v>
          </cell>
        </row>
        <row r="137">
          <cell r="B137" t="str">
            <v>CHPWST</v>
          </cell>
          <cell r="C137" t="str">
            <v>VAR_fout</v>
          </cell>
          <cell r="D137" t="str">
            <v>LTH</v>
          </cell>
          <cell r="E137">
            <v>14.461260745686962</v>
          </cell>
          <cell r="F137">
            <v>13.051647707454439</v>
          </cell>
          <cell r="G137">
            <v>13.166421397581127</v>
          </cell>
          <cell r="H137">
            <v>12.779633941215595</v>
          </cell>
          <cell r="I137">
            <v>12.342946483352721</v>
          </cell>
          <cell r="J137">
            <v>8.5308576964055032</v>
          </cell>
          <cell r="K137">
            <v>4.507763853713338</v>
          </cell>
          <cell r="L137">
            <v>4.4515922707672368</v>
          </cell>
          <cell r="M137">
            <v>4.4515918205716352</v>
          </cell>
          <cell r="N137">
            <v>4.4515909647279273</v>
          </cell>
          <cell r="O137">
            <v>4.4515912279122842</v>
          </cell>
          <cell r="P137">
            <v>4.4515919086598288</v>
          </cell>
        </row>
        <row r="138">
          <cell r="B138" t="str">
            <v>CHPWST</v>
          </cell>
          <cell r="C138" t="str">
            <v>VAR_fout</v>
          </cell>
          <cell r="D138" t="str">
            <v>CO2_E</v>
          </cell>
          <cell r="E138">
            <v>2843.2556716316599</v>
          </cell>
          <cell r="F138">
            <v>2574.9225825831099</v>
          </cell>
          <cell r="G138">
            <v>2611.0176963732501</v>
          </cell>
          <cell r="H138">
            <v>2556.3783998809099</v>
          </cell>
          <cell r="I138">
            <v>2535.9315267359998</v>
          </cell>
          <cell r="J138">
            <v>1801.53353253879</v>
          </cell>
          <cell r="K138">
            <v>979.21675355924594</v>
          </cell>
          <cell r="L138">
            <v>995.53774914481596</v>
          </cell>
          <cell r="M138">
            <v>995.53764846472495</v>
          </cell>
          <cell r="N138">
            <v>995.53745706698101</v>
          </cell>
          <cell r="O138">
            <v>995.53751592456399</v>
          </cell>
          <cell r="P138">
            <v>995.53766816444499</v>
          </cell>
        </row>
        <row r="139">
          <cell r="B139" t="str">
            <v>CHPWST</v>
          </cell>
          <cell r="C139" t="str">
            <v>VAR_fin</v>
          </cell>
          <cell r="D139" t="str">
            <v>EWST</v>
          </cell>
          <cell r="E139">
            <v>30.63853094430662</v>
          </cell>
          <cell r="F139">
            <v>27.747010588180075</v>
          </cell>
          <cell r="G139">
            <v>28.135966555746265</v>
          </cell>
          <cell r="H139">
            <v>27.547181033199486</v>
          </cell>
          <cell r="I139">
            <v>27.326848348448255</v>
          </cell>
          <cell r="J139">
            <v>19.413076859254186</v>
          </cell>
          <cell r="K139">
            <v>10.551904671974631</v>
          </cell>
          <cell r="L139">
            <v>10.727777469232933</v>
          </cell>
          <cell r="M139">
            <v>10.727776384318155</v>
          </cell>
          <cell r="N139">
            <v>10.727774321842457</v>
          </cell>
          <cell r="O139">
            <v>10.727774956083662</v>
          </cell>
          <cell r="P139">
            <v>10.727776596599632</v>
          </cell>
        </row>
        <row r="140">
          <cell r="B140" t="str">
            <v>CHPWST</v>
          </cell>
          <cell r="C140" t="str">
            <v>VAR_ncap</v>
          </cell>
          <cell r="D140" t="str">
            <v>-</v>
          </cell>
          <cell r="F140">
            <v>4.1748078460066702E-8</v>
          </cell>
          <cell r="G140">
            <v>5.5896869627518002E-8</v>
          </cell>
          <cell r="H140">
            <v>1.0265358853556E-7</v>
          </cell>
          <cell r="I140">
            <v>5.6589530286559201E-3</v>
          </cell>
          <cell r="J140">
            <v>1.2890771084435399E-4</v>
          </cell>
          <cell r="K140">
            <v>2.7248338303580801E-7</v>
          </cell>
          <cell r="L140">
            <v>3.0278573695516901E-2</v>
          </cell>
          <cell r="M140">
            <v>3.35439474108507E-4</v>
          </cell>
          <cell r="N140">
            <v>3.0137391663067402E-7</v>
          </cell>
          <cell r="O140">
            <v>2.10018643351925E-5</v>
          </cell>
          <cell r="P140">
            <v>1.09603078953528E-7</v>
          </cell>
        </row>
        <row r="141">
          <cell r="B141" t="str">
            <v>CHPWST</v>
          </cell>
          <cell r="C141" t="str">
            <v>VAR_cap</v>
          </cell>
          <cell r="D141" t="str">
            <v>-</v>
          </cell>
          <cell r="E141">
            <v>7.8399999999999997E-2</v>
          </cell>
          <cell r="F141">
            <v>7.1996588711071688E-2</v>
          </cell>
          <cell r="G141">
            <v>7.1996333764142995E-2</v>
          </cell>
          <cell r="H141">
            <v>7.0489693296165931E-2</v>
          </cell>
          <cell r="I141">
            <v>6.9925935504355566E-2</v>
          </cell>
          <cell r="J141">
            <v>5.1250780082882939E-2</v>
          </cell>
          <cell r="K141">
            <v>4.5332551395686184E-2</v>
          </cell>
          <cell r="L141">
            <v>3.6066663818768621E-2</v>
          </cell>
          <cell r="M141">
            <v>3.640200443073463E-2</v>
          </cell>
          <cell r="N141">
            <v>3.6402101582481076E-2</v>
          </cell>
          <cell r="O141">
            <v>3.1746304316747354E-2</v>
          </cell>
          <cell r="P141">
            <v>3.0635153536462102E-2</v>
          </cell>
        </row>
        <row r="142">
          <cell r="B142" t="str">
            <v>RHES-CHPNGA</v>
          </cell>
          <cell r="C142" t="str">
            <v>VAR_fout</v>
          </cell>
          <cell r="D142" t="str">
            <v>CO2_R</v>
          </cell>
          <cell r="E142">
            <v>3.0442951539198999</v>
          </cell>
          <cell r="F142">
            <v>0.267507470667393</v>
          </cell>
          <cell r="G142">
            <v>0.71733854825510301</v>
          </cell>
          <cell r="H142">
            <v>0.48596595949188698</v>
          </cell>
          <cell r="I142">
            <v>0.45944280453879999</v>
          </cell>
          <cell r="J142">
            <v>0.34865475631736698</v>
          </cell>
          <cell r="K142"/>
          <cell r="L142"/>
          <cell r="M142">
            <v>0.17358181637824199</v>
          </cell>
          <cell r="N142">
            <v>0.27774373936734098</v>
          </cell>
          <cell r="O142">
            <v>0.28819099720324098</v>
          </cell>
          <cell r="P142">
            <v>0.28893312339115401</v>
          </cell>
        </row>
        <row r="143">
          <cell r="B143" t="str">
            <v>RHES-CHPNGA</v>
          </cell>
          <cell r="C143" t="str">
            <v>VAR_fout</v>
          </cell>
          <cell r="D143" t="str">
            <v>RHES_NKEV_GAS_ELC_CHP</v>
          </cell>
          <cell r="E143">
            <v>1.3199589458690583E-2</v>
          </cell>
          <cell r="F143">
            <v>1.2862583078029764E-3</v>
          </cell>
          <cell r="G143">
            <v>3.2849703110285826E-3</v>
          </cell>
          <cell r="H143">
            <v>2.3221826398792714E-3</v>
          </cell>
          <cell r="I143">
            <v>2.2006215940642607E-3</v>
          </cell>
          <cell r="J143">
            <v>1.6742735209129248E-3</v>
          </cell>
          <cell r="K143"/>
          <cell r="L143"/>
          <cell r="M143">
            <v>8.7186941036943152E-4</v>
          </cell>
          <cell r="N143">
            <v>1.3900578362033317E-3</v>
          </cell>
          <cell r="O143">
            <v>1.449410939577186E-3</v>
          </cell>
          <cell r="P143">
            <v>1.4205399166129819E-3</v>
          </cell>
        </row>
        <row r="144">
          <cell r="B144" t="str">
            <v>RHES-CHPNGA</v>
          </cell>
          <cell r="C144" t="str">
            <v>VAR_fout</v>
          </cell>
          <cell r="D144" t="str">
            <v>RHES_LTH_CHPNGA</v>
          </cell>
          <cell r="E144">
            <v>3.1776789437588479E-2</v>
          </cell>
          <cell r="F144">
            <v>3.065242020288155E-3</v>
          </cell>
          <cell r="G144">
            <v>7.7083827139744895E-3</v>
          </cell>
          <cell r="H144">
            <v>5.3078460340097834E-3</v>
          </cell>
          <cell r="I144">
            <v>4.985869476275928E-3</v>
          </cell>
          <cell r="J144">
            <v>3.7597721171377958E-3</v>
          </cell>
          <cell r="K144"/>
          <cell r="L144"/>
          <cell r="M144">
            <v>1.8940611328715255E-3</v>
          </cell>
          <cell r="N144">
            <v>3.0197808165796569E-3</v>
          </cell>
          <cell r="O144">
            <v>3.1487203170125094E-3</v>
          </cell>
          <cell r="P144">
            <v>3.0860005085040672E-3</v>
          </cell>
        </row>
        <row r="145">
          <cell r="B145" t="str">
            <v>RHES-CHPNGA</v>
          </cell>
          <cell r="C145" t="str">
            <v>VAR_fin</v>
          </cell>
          <cell r="D145" t="str">
            <v>RNGA</v>
          </cell>
          <cell r="E145">
            <v>5.3976864431203843E-2</v>
          </cell>
          <cell r="F145">
            <v>4.7430402600601553E-3</v>
          </cell>
          <cell r="G145">
            <v>1.2718768586083395E-2</v>
          </cell>
          <cell r="H145">
            <v>8.6164177214873589E-3</v>
          </cell>
          <cell r="I145">
            <v>8.1461490166453883E-3</v>
          </cell>
          <cell r="J145">
            <v>6.1818219205206941E-3</v>
          </cell>
          <cell r="K145"/>
          <cell r="L145"/>
          <cell r="M145">
            <v>3.0776917797560727E-3</v>
          </cell>
          <cell r="N145">
            <v>4.9245343859457644E-3</v>
          </cell>
          <cell r="O145">
            <v>5.1097694539581698E-3</v>
          </cell>
          <cell r="P145">
            <v>5.1229277197013057E-3</v>
          </cell>
        </row>
        <row r="146">
          <cell r="B146" t="str">
            <v>RHES-CHPNGA</v>
          </cell>
          <cell r="C146" t="str">
            <v>VAR_ncap</v>
          </cell>
          <cell r="D146" t="str">
            <v>-</v>
          </cell>
          <cell r="F146">
            <v>5.9574394174997004E-6</v>
          </cell>
          <cell r="J146"/>
          <cell r="K146"/>
          <cell r="L146"/>
          <cell r="M146">
            <v>7.7542093226287107E-5</v>
          </cell>
          <cell r="N146">
            <v>4.6174657274077797E-5</v>
          </cell>
          <cell r="O146">
            <v>5.2154571096517101E-6</v>
          </cell>
          <cell r="P146">
            <v>7.8339440024362997E-7</v>
          </cell>
        </row>
        <row r="147">
          <cell r="B147" t="str">
            <v>RHES-CHPNGA</v>
          </cell>
          <cell r="C147" t="str">
            <v>VAR_cap</v>
          </cell>
          <cell r="D147" t="str">
            <v>-</v>
          </cell>
          <cell r="E147">
            <v>3.9231362500107194E-3</v>
          </cell>
          <cell r="F147">
            <v>3.8843979773576977E-4</v>
          </cell>
          <cell r="G147">
            <v>3.8812654466484982E-4</v>
          </cell>
          <cell r="H147">
            <v>3.8557191099614768E-4</v>
          </cell>
          <cell r="I147">
            <v>3.6026018565167448E-4</v>
          </cell>
          <cell r="J147">
            <v>1.4878617656327505E-4</v>
          </cell>
          <cell r="K147"/>
          <cell r="L147"/>
          <cell r="M147">
            <v>7.7542093226287107E-5</v>
          </cell>
          <cell r="N147">
            <v>1.2371675050036501E-4</v>
          </cell>
          <cell r="O147">
            <v>1.2891521219927956E-4</v>
          </cell>
          <cell r="P147">
            <v>1.2964860714121296E-4</v>
          </cell>
        </row>
        <row r="148">
          <cell r="B148" t="str">
            <v>RHEM-CHPWOD</v>
          </cell>
          <cell r="C148" t="str">
            <v>VAR_fout</v>
          </cell>
          <cell r="D148" t="str">
            <v>RHEM_KEV_WOD_ELC_CHP</v>
          </cell>
          <cell r="H148">
            <v>1.6291518044733245E-4</v>
          </cell>
          <cell r="I148">
            <v>2.9872864175810987E-4</v>
          </cell>
          <cell r="J148">
            <v>5.1693691854350757E-2</v>
          </cell>
          <cell r="K148">
            <v>8.7761391513492049E-2</v>
          </cell>
          <cell r="L148">
            <v>8.7575800677608978E-2</v>
          </cell>
          <cell r="M148">
            <v>8.6493758252044278E-2</v>
          </cell>
          <cell r="N148">
            <v>8.4578811510982926E-2</v>
          </cell>
          <cell r="O148">
            <v>8.6215383278768931E-2</v>
          </cell>
          <cell r="P148">
            <v>8.4746571811685739E-2</v>
          </cell>
        </row>
        <row r="149">
          <cell r="B149" t="str">
            <v>RHEM-CHPWOD</v>
          </cell>
          <cell r="C149" t="str">
            <v>VAR_fout</v>
          </cell>
          <cell r="D149" t="str">
            <v>RHEM_LTH_CHPWOD</v>
          </cell>
          <cell r="H149">
            <v>4.3337043074659912E-4</v>
          </cell>
          <cell r="I149">
            <v>7.9464761846984912E-4</v>
          </cell>
          <cell r="J149">
            <v>0.13751031330713989</v>
          </cell>
          <cell r="K149">
            <v>0.23345394786840259</v>
          </cell>
          <cell r="L149">
            <v>0.232960257960142</v>
          </cell>
          <cell r="M149">
            <v>0.23008191850297535</v>
          </cell>
          <cell r="N149">
            <v>0.22498797150704844</v>
          </cell>
          <cell r="O149">
            <v>0.22934141364795688</v>
          </cell>
          <cell r="P149">
            <v>0.22543423043502639</v>
          </cell>
        </row>
        <row r="150">
          <cell r="B150" t="str">
            <v>RHEM-CHPWOD</v>
          </cell>
          <cell r="C150" t="str">
            <v>VAR_fin</v>
          </cell>
          <cell r="D150" t="str">
            <v>RWOD</v>
          </cell>
          <cell r="H150">
            <v>7.9634258582967179E-4</v>
          </cell>
          <cell r="I150">
            <v>1.4143741170704442E-3</v>
          </cell>
          <cell r="J150">
            <v>0.18926912887145828</v>
          </cell>
          <cell r="K150">
            <v>0.31417775473317461</v>
          </cell>
          <cell r="L150">
            <v>0.30707870419312788</v>
          </cell>
          <cell r="M150">
            <v>0.30317170102101115</v>
          </cell>
          <cell r="N150">
            <v>0.29658412942812584</v>
          </cell>
          <cell r="O150">
            <v>0.30223897250111353</v>
          </cell>
          <cell r="P150">
            <v>0.29759032317171608</v>
          </cell>
        </row>
        <row r="151">
          <cell r="B151" t="str">
            <v>RHEM-CHPWOD</v>
          </cell>
          <cell r="C151" t="str">
            <v>VAR_ncap</v>
          </cell>
          <cell r="D151" t="str">
            <v>-</v>
          </cell>
          <cell r="H151">
            <v>1.2977350929857E-5</v>
          </cell>
          <cell r="I151">
            <v>1.6170482136977799E-5</v>
          </cell>
          <cell r="J151">
            <v>3.8092317350786001E-3</v>
          </cell>
          <cell r="K151">
            <v>2.6868772547270301E-3</v>
          </cell>
          <cell r="L151">
            <v>2.7554390856623702E-6</v>
          </cell>
          <cell r="M151">
            <v>3.4993091174214202E-3</v>
          </cell>
          <cell r="N151">
            <v>2.7741752577735402E-3</v>
          </cell>
          <cell r="O151">
            <v>1.2330175762355E-3</v>
          </cell>
          <cell r="P151">
            <v>2.2817916456263098E-3</v>
          </cell>
        </row>
        <row r="152">
          <cell r="B152" t="str">
            <v>RHEM-CHPWOD</v>
          </cell>
          <cell r="C152" t="str">
            <v>VAR_cap</v>
          </cell>
          <cell r="D152" t="str">
            <v>-</v>
          </cell>
          <cell r="H152">
            <v>1.2977350929857E-5</v>
          </cell>
          <cell r="I152">
            <v>2.9134205111053717E-5</v>
          </cell>
          <cell r="J152">
            <v>3.8358575548637494E-3</v>
          </cell>
          <cell r="K152">
            <v>6.5122382156483898E-3</v>
          </cell>
          <cell r="L152">
            <v>6.4987610935072666E-3</v>
          </cell>
          <cell r="M152">
            <v>6.418136219775241E-3</v>
          </cell>
          <cell r="N152">
            <v>6.2761548214672431E-3</v>
          </cell>
          <cell r="O152">
            <v>6.3975349366214374E-3</v>
          </cell>
          <cell r="P152">
            <v>6.2888810193349751E-3</v>
          </cell>
        </row>
        <row r="153">
          <cell r="B153" t="str">
            <v>G-INTC-IMP00-FR</v>
          </cell>
          <cell r="C153" t="str">
            <v>VAR_fout</v>
          </cell>
          <cell r="D153" t="str">
            <v>ELC</v>
          </cell>
          <cell r="E153">
            <v>28.948621709888915</v>
          </cell>
          <cell r="F153">
            <v>21.297672370818457</v>
          </cell>
          <cell r="G153">
            <v>26.284716483026003</v>
          </cell>
          <cell r="H153">
            <v>15.518895453741534</v>
          </cell>
          <cell r="I153">
            <v>23.862098415342064</v>
          </cell>
          <cell r="J153">
            <v>29.875352222934204</v>
          </cell>
          <cell r="K153">
            <v>38.588169674221305</v>
          </cell>
          <cell r="L153">
            <v>50.004423206877746</v>
          </cell>
          <cell r="M153">
            <v>49.868179842242981</v>
          </cell>
          <cell r="N153">
            <v>50.214223190528969</v>
          </cell>
          <cell r="O153">
            <v>51.322046380324231</v>
          </cell>
          <cell r="P153">
            <v>51.660774413353707</v>
          </cell>
        </row>
        <row r="154">
          <cell r="B154" t="str">
            <v>G-INTC-IMP00-FR</v>
          </cell>
          <cell r="C154" t="str">
            <v>VAR_fin</v>
          </cell>
          <cell r="D154" t="str">
            <v>ELC_I-FR</v>
          </cell>
          <cell r="E154">
            <v>28.948621709888915</v>
          </cell>
          <cell r="F154">
            <v>21.297672370818457</v>
          </cell>
          <cell r="G154">
            <v>26.284716483026003</v>
          </cell>
          <cell r="H154">
            <v>15.518895453741534</v>
          </cell>
          <cell r="I154">
            <v>23.862098415342064</v>
          </cell>
          <cell r="J154">
            <v>29.875352222934204</v>
          </cell>
          <cell r="K154">
            <v>38.588169674221305</v>
          </cell>
          <cell r="L154">
            <v>50.004423206877746</v>
          </cell>
          <cell r="M154">
            <v>49.868179842242981</v>
          </cell>
          <cell r="N154">
            <v>50.214223190528969</v>
          </cell>
          <cell r="O154">
            <v>51.322046380324231</v>
          </cell>
          <cell r="P154">
            <v>51.660774413353707</v>
          </cell>
        </row>
        <row r="155">
          <cell r="B155" t="str">
            <v>G-INTC-IMP00-FR</v>
          </cell>
          <cell r="C155" t="str">
            <v>VAR_ncap</v>
          </cell>
          <cell r="D155" t="str">
            <v>-</v>
          </cell>
          <cell r="E155">
            <v>7.6321715411901906E-6</v>
          </cell>
          <cell r="F155">
            <v>8.3964261747895203E-6</v>
          </cell>
          <cell r="G155">
            <v>0.64138114060957396</v>
          </cell>
          <cell r="H155">
            <v>0.65860449009035804</v>
          </cell>
          <cell r="I155">
            <v>0.91340218255036898</v>
          </cell>
          <cell r="J155">
            <v>1.58659979570057</v>
          </cell>
          <cell r="K155">
            <v>2.1400540050305198E-6</v>
          </cell>
          <cell r="L155">
            <v>1.1192854036858499</v>
          </cell>
          <cell r="M155">
            <v>0.58071656442442199</v>
          </cell>
          <cell r="N155">
            <v>1.01091812711854E-5</v>
          </cell>
        </row>
        <row r="156">
          <cell r="B156" t="str">
            <v>G-INTC-IMP00-FR</v>
          </cell>
          <cell r="C156" t="str">
            <v>VAR_cap</v>
          </cell>
          <cell r="D156" t="str">
            <v>-</v>
          </cell>
          <cell r="E156">
            <v>1.6999998349891152</v>
          </cell>
          <cell r="F156">
            <v>1.6999996927534597</v>
          </cell>
          <cell r="G156">
            <v>1.6999996125093477</v>
          </cell>
          <cell r="H156">
            <v>1.7000071188557786</v>
          </cell>
          <cell r="I156">
            <v>2.4999998858923549</v>
          </cell>
          <cell r="J156">
            <v>2.9999999401281632</v>
          </cell>
          <cell r="K156">
            <v>3.999999951675075</v>
          </cell>
          <cell r="L156">
            <v>5.4999998154193905</v>
          </cell>
          <cell r="M156">
            <v>5.4999999146885106</v>
          </cell>
          <cell r="N156">
            <v>5.4999997331083259</v>
          </cell>
          <cell r="O156">
            <v>5.4999997599622743</v>
          </cell>
          <cell r="P156">
            <v>5.499999449914112</v>
          </cell>
        </row>
        <row r="157">
          <cell r="B157" t="str">
            <v>ITOT-CHPWSTCCS</v>
          </cell>
          <cell r="C157" t="str">
            <v>VAR_fout</v>
          </cell>
          <cell r="D157" t="str">
            <v>CO2_O</v>
          </cell>
          <cell r="J157">
            <v>149.57700031560995</v>
          </cell>
          <cell r="K157">
            <v>754.21293382536317</v>
          </cell>
          <cell r="L157">
            <v>715.173717959908</v>
          </cell>
          <cell r="M157">
            <v>715.12904717063566</v>
          </cell>
          <cell r="N157">
            <v>715.18759754081054</v>
          </cell>
          <cell r="O157">
            <v>715.16255410639371</v>
          </cell>
          <cell r="P157">
            <v>715.20189331435267</v>
          </cell>
        </row>
        <row r="158">
          <cell r="B158" t="str">
            <v>ITOT-CHPWSTCCS</v>
          </cell>
          <cell r="C158" t="str">
            <v>VAR_fout</v>
          </cell>
          <cell r="D158" t="str">
            <v>CO2</v>
          </cell>
          <cell r="J158">
            <v>-149.57700031561001</v>
          </cell>
          <cell r="K158">
            <v>-754.21293382536203</v>
          </cell>
          <cell r="L158">
            <v>-715.173717959908</v>
          </cell>
          <cell r="M158">
            <v>-715.12904717063498</v>
          </cell>
          <cell r="N158">
            <v>-715.187597540811</v>
          </cell>
          <cell r="O158">
            <v>-715.16255410639405</v>
          </cell>
          <cell r="P158">
            <v>-715.20189331435199</v>
          </cell>
        </row>
        <row r="159">
          <cell r="B159" t="str">
            <v>ITOT-CHPWSTCCS</v>
          </cell>
          <cell r="C159" t="str">
            <v>VAR_fout</v>
          </cell>
          <cell r="D159" t="str">
            <v>ITOT_LTH_CHP</v>
          </cell>
          <cell r="J159">
            <v>0.59598203894697976</v>
          </cell>
          <cell r="K159">
            <v>2.5194254985880868</v>
          </cell>
          <cell r="L159">
            <v>2.0113454433028037</v>
          </cell>
          <cell r="M159">
            <v>2.0112198117447715</v>
          </cell>
          <cell r="N159">
            <v>2.0113844780591204</v>
          </cell>
          <cell r="O159">
            <v>2.011314046223561</v>
          </cell>
          <cell r="P159">
            <v>2.0114246833103024</v>
          </cell>
        </row>
        <row r="160">
          <cell r="B160" t="str">
            <v>ITOT-CHPWSTCCS</v>
          </cell>
          <cell r="C160" t="str">
            <v>VAR_fout</v>
          </cell>
          <cell r="D160" t="str">
            <v>ITOT_KEV_WST_ELC_CHP</v>
          </cell>
          <cell r="J160">
            <v>0.1176658357127055</v>
          </cell>
          <cell r="K160">
            <v>0.59579998382036614</v>
          </cell>
          <cell r="L160">
            <v>0.59292417943252118</v>
          </cell>
          <cell r="M160">
            <v>0.59288714452700286</v>
          </cell>
          <cell r="N160">
            <v>0.59293568648166306</v>
          </cell>
          <cell r="O160">
            <v>0.59291492389289813</v>
          </cell>
          <cell r="P160">
            <v>0.5929475385807873</v>
          </cell>
        </row>
        <row r="161">
          <cell r="B161" t="str">
            <v>ITOT-CHPWSTCCS</v>
          </cell>
          <cell r="C161" t="str">
            <v>VAR_fout</v>
          </cell>
          <cell r="D161" t="str">
            <v>CO2_I</v>
          </cell>
          <cell r="J161">
            <v>195.77434479695299</v>
          </cell>
          <cell r="K161">
            <v>991.30177214109301</v>
          </cell>
          <cell r="L161">
            <v>986.51696169561001</v>
          </cell>
          <cell r="M161">
            <v>986.45534241318705</v>
          </cell>
          <cell r="N161">
            <v>986.53610731245601</v>
          </cell>
          <cell r="O161">
            <v>986.501562177182</v>
          </cell>
          <cell r="P161">
            <v>986.55582702911295</v>
          </cell>
        </row>
        <row r="162">
          <cell r="B162" t="str">
            <v>ITOT-CHPWSTCCS</v>
          </cell>
          <cell r="C162" t="str">
            <v>VAR_fin</v>
          </cell>
          <cell r="D162" t="str">
            <v>IWST</v>
          </cell>
          <cell r="J162">
            <v>2.1096373361740683</v>
          </cell>
          <cell r="K162">
            <v>10.682131165313503</v>
          </cell>
          <cell r="L162">
            <v>10.630570707926847</v>
          </cell>
          <cell r="M162">
            <v>10.629906707038661</v>
          </cell>
          <cell r="N162">
            <v>10.630777018453196</v>
          </cell>
          <cell r="O162">
            <v>10.630404764840328</v>
          </cell>
          <cell r="P162">
            <v>10.630989515399937</v>
          </cell>
        </row>
        <row r="163">
          <cell r="B163" t="str">
            <v>ITOT-CHPWSTCCS</v>
          </cell>
          <cell r="C163" t="str">
            <v>VAR_ncap</v>
          </cell>
          <cell r="D163" t="str">
            <v>-</v>
          </cell>
          <cell r="J163">
            <v>5.1729370218078401E-3</v>
          </cell>
          <cell r="K163">
            <v>3.0133298692948399E-2</v>
          </cell>
          <cell r="L163">
            <v>1.44268871735585E-2</v>
          </cell>
          <cell r="M163">
            <v>9.2988385400138698E-7</v>
          </cell>
          <cell r="N163">
            <v>1.8833912828586901E-7</v>
          </cell>
          <cell r="O163">
            <v>2.3146987735761699E-7</v>
          </cell>
          <cell r="P163">
            <v>7.0391681621375804E-3</v>
          </cell>
        </row>
        <row r="164">
          <cell r="B164" t="str">
            <v>ITOT-CHPWSTCCS</v>
          </cell>
          <cell r="C164" t="str">
            <v>VAR_cap</v>
          </cell>
          <cell r="D164" t="str">
            <v>-</v>
          </cell>
          <cell r="J164">
            <v>5.1729370218078401E-3</v>
          </cell>
          <cell r="K164">
            <v>3.5306221860522624E-2</v>
          </cell>
          <cell r="L164">
            <v>4.9733094354799792E-2</v>
          </cell>
          <cell r="M164">
            <v>4.9734021393512337E-2</v>
          </cell>
          <cell r="N164">
            <v>4.9734072277357821E-2</v>
          </cell>
          <cell r="O164">
            <v>4.8924200981353194E-2</v>
          </cell>
          <cell r="P164">
            <v>5.1600380856826104E-2</v>
          </cell>
        </row>
        <row r="165">
          <cell r="B165" t="str">
            <v>RHEM-CHPGFC</v>
          </cell>
          <cell r="C165" t="str">
            <v>VAR_fout</v>
          </cell>
          <cell r="D165" t="str">
            <v>CO2_R</v>
          </cell>
          <cell r="J165"/>
          <cell r="K165"/>
          <cell r="L165"/>
          <cell r="M165">
            <v>7.2270657438162994E-2</v>
          </cell>
          <cell r="N165">
            <v>0.124048478474296</v>
          </cell>
          <cell r="O165">
            <v>0.116731040242097</v>
          </cell>
          <cell r="P165">
            <v>0.196179470250125</v>
          </cell>
        </row>
        <row r="166">
          <cell r="B166" t="str">
            <v>RHEM-CHPGFC</v>
          </cell>
          <cell r="C166" t="str">
            <v>VAR_fout</v>
          </cell>
          <cell r="D166" t="str">
            <v>RHEM_LTH_CHPNGA</v>
          </cell>
          <cell r="J166"/>
          <cell r="K166"/>
          <cell r="L166"/>
          <cell r="M166">
            <v>5.7662758594278878E-4</v>
          </cell>
          <cell r="N166">
            <v>9.8974849846512761E-4</v>
          </cell>
          <cell r="O166">
            <v>9.3136468278268777E-4</v>
          </cell>
          <cell r="P166">
            <v>1.5652617307190836E-3</v>
          </cell>
        </row>
        <row r="167">
          <cell r="B167" t="str">
            <v>RHEM-CHPGFC</v>
          </cell>
          <cell r="C167" t="str">
            <v>VAR_fout</v>
          </cell>
          <cell r="D167" t="str">
            <v>RHEM_NKEV_GAS_ELC_CHP</v>
          </cell>
          <cell r="J167"/>
          <cell r="K167"/>
          <cell r="L167"/>
          <cell r="M167">
            <v>5.7662758594278878E-4</v>
          </cell>
          <cell r="N167">
            <v>9.8974849846512761E-4</v>
          </cell>
          <cell r="O167">
            <v>9.3136468278268777E-4</v>
          </cell>
          <cell r="P167">
            <v>1.5652617307190836E-3</v>
          </cell>
        </row>
        <row r="168">
          <cell r="B168" t="str">
            <v>RHEM-CHPGFC</v>
          </cell>
          <cell r="C168" t="str">
            <v>VAR_fin</v>
          </cell>
          <cell r="D168" t="str">
            <v>RNGA</v>
          </cell>
          <cell r="J168"/>
          <cell r="K168"/>
          <cell r="L168"/>
          <cell r="M168">
            <v>1.281394635428421E-3</v>
          </cell>
          <cell r="N168">
            <v>2.1994411077002844E-3</v>
          </cell>
          <cell r="O168">
            <v>2.0696992950726394E-3</v>
          </cell>
          <cell r="P168">
            <v>3.4783594015979653E-3</v>
          </cell>
        </row>
        <row r="169">
          <cell r="B169" t="str">
            <v>RHEM-CHPGFC</v>
          </cell>
          <cell r="C169" t="str">
            <v>VAR_ncap</v>
          </cell>
          <cell r="D169" t="str">
            <v>-</v>
          </cell>
          <cell r="J169"/>
          <cell r="K169"/>
          <cell r="L169"/>
          <cell r="M169">
            <v>5.3498670185031597E-5</v>
          </cell>
          <cell r="N169">
            <v>3.6294684905888801E-5</v>
          </cell>
          <cell r="O169">
            <v>3.29122867806666E-7</v>
          </cell>
          <cell r="P169">
            <v>6.5743781032299095E-5</v>
          </cell>
        </row>
        <row r="170">
          <cell r="B170" t="str">
            <v>RHEM-CHPGFC</v>
          </cell>
          <cell r="C170" t="str">
            <v>VAR_cap</v>
          </cell>
          <cell r="D170" t="str">
            <v>-</v>
          </cell>
          <cell r="J170"/>
          <cell r="K170"/>
          <cell r="L170"/>
          <cell r="M170">
            <v>5.3498670185031597E-5</v>
          </cell>
          <cell r="N170">
            <v>8.9763344965239182E-5</v>
          </cell>
          <cell r="O170">
            <v>8.9990160726530579E-5</v>
          </cell>
          <cell r="P170">
            <v>1.5549985334455837E-4</v>
          </cell>
        </row>
        <row r="171">
          <cell r="B171" t="str">
            <v>EHYD-RUNS10</v>
          </cell>
          <cell r="C171" t="str">
            <v>VAR_fout</v>
          </cell>
          <cell r="D171" t="str">
            <v>ELC35</v>
          </cell>
          <cell r="F171">
            <v>4.9647680924451529E-4</v>
          </cell>
          <cell r="G171">
            <v>1.27644230306893E-3</v>
          </cell>
          <cell r="H171">
            <v>1.4949227304293152E-3</v>
          </cell>
          <cell r="I171">
            <v>1.5551658768069719E-3</v>
          </cell>
          <cell r="J171">
            <v>1.5709381829501169E-3</v>
          </cell>
          <cell r="K171">
            <v>1.579783803955417E-3</v>
          </cell>
          <cell r="L171">
            <v>1.5369234339522734E-3</v>
          </cell>
          <cell r="M171">
            <v>1.5757214296867441E-3</v>
          </cell>
          <cell r="N171">
            <v>1.550657409044877E-3</v>
          </cell>
          <cell r="O171">
            <v>1.5795551777817724E-3</v>
          </cell>
          <cell r="P171">
            <v>2.4178091583400342E-3</v>
          </cell>
        </row>
        <row r="172">
          <cell r="B172" t="str">
            <v>EHYD-RUNS10</v>
          </cell>
          <cell r="C172" t="str">
            <v>VAR_fin</v>
          </cell>
          <cell r="D172" t="str">
            <v>HYDR</v>
          </cell>
          <cell r="F172">
            <v>4.9647680924451529E-4</v>
          </cell>
          <cell r="G172">
            <v>1.27644230306893E-3</v>
          </cell>
          <cell r="H172">
            <v>1.4949227304293152E-3</v>
          </cell>
          <cell r="I172">
            <v>1.5551658768069719E-3</v>
          </cell>
          <cell r="J172">
            <v>1.5709381829501169E-3</v>
          </cell>
          <cell r="K172">
            <v>1.579783803955417E-3</v>
          </cell>
          <cell r="L172">
            <v>1.5369234339522734E-3</v>
          </cell>
          <cell r="M172">
            <v>1.5757214296867441E-3</v>
          </cell>
          <cell r="N172">
            <v>1.550657409044877E-3</v>
          </cell>
          <cell r="O172">
            <v>1.5795551777817724E-3</v>
          </cell>
          <cell r="P172">
            <v>2.4178091583400342E-3</v>
          </cell>
        </row>
        <row r="173">
          <cell r="B173" t="str">
            <v>EHYD-RUNS10</v>
          </cell>
          <cell r="C173" t="str">
            <v>VAR_ncap</v>
          </cell>
          <cell r="D173" t="str">
            <v>-</v>
          </cell>
          <cell r="F173">
            <v>4.4777872660991702E-5</v>
          </cell>
          <cell r="G173">
            <v>6.9432385745976403E-5</v>
          </cell>
          <cell r="H173">
            <v>1.23222014235133E-5</v>
          </cell>
          <cell r="I173">
            <v>5.8416188055455401E-7</v>
          </cell>
          <cell r="J173">
            <v>7.1615238154978494E-8</v>
          </cell>
          <cell r="K173">
            <v>1.18775442224064E-7</v>
          </cell>
          <cell r="L173">
            <v>9.7315137119264306E-8</v>
          </cell>
          <cell r="M173">
            <v>6.5323249339247401E-8</v>
          </cell>
          <cell r="N173">
            <v>1.7828702992744099E-6</v>
          </cell>
          <cell r="O173">
            <v>6.5528503659908695E-7</v>
          </cell>
          <cell r="P173">
            <v>7.1483320986455697E-5</v>
          </cell>
        </row>
        <row r="174">
          <cell r="B174" t="str">
            <v>EHYD-RUNS10</v>
          </cell>
          <cell r="C174" t="str">
            <v>VAR_cap</v>
          </cell>
          <cell r="D174" t="str">
            <v>-</v>
          </cell>
          <cell r="F174">
            <v>4.4777872660991702E-5</v>
          </cell>
          <cell r="G174">
            <v>1.14210258406968E-4</v>
          </cell>
          <cell r="H174">
            <v>1.2653245983048101E-4</v>
          </cell>
          <cell r="I174">
            <v>1.2711662171103601E-4</v>
          </cell>
          <cell r="J174">
            <v>1.2718823694919101E-4</v>
          </cell>
          <cell r="K174">
            <v>1.2730701239141499E-4</v>
          </cell>
          <cell r="L174">
            <v>1.2740432752853399E-4</v>
          </cell>
          <cell r="M174">
            <v>1.2746965077787301E-4</v>
          </cell>
          <cell r="N174">
            <v>1.2925252107714801E-4</v>
          </cell>
          <cell r="O174">
            <v>1.29907806113747E-4</v>
          </cell>
          <cell r="P174">
            <v>2.0139112710020301E-4</v>
          </cell>
        </row>
        <row r="175">
          <cell r="B175" t="str">
            <v>SUP_WSTBIO</v>
          </cell>
          <cell r="C175" t="str">
            <v>VAR_fout</v>
          </cell>
          <cell r="D175" t="str">
            <v>ELC35</v>
          </cell>
          <cell r="E175">
            <v>0.11258824018375738</v>
          </cell>
          <cell r="F175">
            <v>0.11924600623366576</v>
          </cell>
          <cell r="G175">
            <v>0.11506234340155161</v>
          </cell>
          <cell r="H175">
            <v>0.11885654293778149</v>
          </cell>
          <cell r="I175">
            <v>0.11861312690795872</v>
          </cell>
          <cell r="J175">
            <v>0.11539542732495123</v>
          </cell>
          <cell r="K175">
            <v>0.1843482603488629</v>
          </cell>
          <cell r="L175">
            <v>0.19689388084357087</v>
          </cell>
          <cell r="M175">
            <v>0.20614351116911453</v>
          </cell>
          <cell r="N175">
            <v>0.2094875729120293</v>
          </cell>
          <cell r="O175">
            <v>0.21282658489972175</v>
          </cell>
          <cell r="P175">
            <v>0.21615948692493625</v>
          </cell>
        </row>
        <row r="176">
          <cell r="B176" t="str">
            <v>SUP_WSTBIO</v>
          </cell>
          <cell r="C176" t="str">
            <v>VAR_fout</v>
          </cell>
          <cell r="D176" t="str">
            <v>BIO</v>
          </cell>
          <cell r="E176">
            <v>5.6294120091878685</v>
          </cell>
          <cell r="F176">
            <v>5.9623003116832836</v>
          </cell>
          <cell r="G176">
            <v>5.7531171700775827</v>
          </cell>
          <cell r="H176">
            <v>5.9428271468890772</v>
          </cell>
          <cell r="I176">
            <v>5.9306563453979342</v>
          </cell>
          <cell r="J176">
            <v>5.7697713662475598</v>
          </cell>
          <cell r="K176">
            <v>9.2174130174431426</v>
          </cell>
          <cell r="L176">
            <v>9.844694042178542</v>
          </cell>
          <cell r="M176">
            <v>10.30717555845572</v>
          </cell>
          <cell r="N176">
            <v>10.47437864560146</v>
          </cell>
          <cell r="O176">
            <v>10.641329244986084</v>
          </cell>
          <cell r="P176">
            <v>10.807974346246811</v>
          </cell>
        </row>
        <row r="177">
          <cell r="B177" t="str">
            <v>SUP_WSTBIO</v>
          </cell>
          <cell r="C177" t="str">
            <v>VAR_fin</v>
          </cell>
          <cell r="D177" t="str">
            <v>CWST</v>
          </cell>
          <cell r="E177">
            <v>9.6793718489407485</v>
          </cell>
          <cell r="F177">
            <v>10.251749507345712</v>
          </cell>
          <cell r="G177">
            <v>9.8920740370076761</v>
          </cell>
          <cell r="H177">
            <v>10.218266791422403</v>
          </cell>
          <cell r="I177">
            <v>10.197339967601359</v>
          </cell>
          <cell r="J177">
            <v>9.9207097377365177</v>
          </cell>
          <cell r="K177">
            <v>15.848683296849375</v>
          </cell>
          <cell r="L177">
            <v>16.927248213094423</v>
          </cell>
          <cell r="M177">
            <v>17.722452145938988</v>
          </cell>
          <cell r="N177">
            <v>18.009945911208472</v>
          </cell>
          <cell r="O177">
            <v>18.297005541807497</v>
          </cell>
          <cell r="P177">
            <v>18.583539890203781</v>
          </cell>
        </row>
        <row r="178">
          <cell r="B178" t="str">
            <v>SUP_WSTBIO</v>
          </cell>
          <cell r="C178" t="str">
            <v>VAR_ncap</v>
          </cell>
          <cell r="D178" t="str">
            <v>-</v>
          </cell>
          <cell r="E178">
            <v>4.0965832012083104E-3</v>
          </cell>
          <cell r="F178">
            <v>1.2575578926263899E-2</v>
          </cell>
          <cell r="G178">
            <v>1.2869272269533599E-7</v>
          </cell>
          <cell r="H178">
            <v>7.2849170467295499E-2</v>
          </cell>
          <cell r="I178">
            <v>0.116853989827453</v>
          </cell>
          <cell r="J178">
            <v>1.8836091582414501E-2</v>
          </cell>
          <cell r="K178">
            <v>0.16276779690608301</v>
          </cell>
          <cell r="L178">
            <v>7.3453159012990696E-2</v>
          </cell>
          <cell r="M178">
            <v>0.101349038487626</v>
          </cell>
          <cell r="N178">
            <v>5.8129268302564902E-2</v>
          </cell>
          <cell r="O178">
            <v>0.16907481443436601</v>
          </cell>
          <cell r="P178">
            <v>7.9749071994600101E-2</v>
          </cell>
        </row>
        <row r="179">
          <cell r="B179" t="str">
            <v>SUP_WSTBIO</v>
          </cell>
          <cell r="C179" t="str">
            <v>VAR_cap</v>
          </cell>
          <cell r="D179" t="str">
            <v>-</v>
          </cell>
          <cell r="E179">
            <v>0.21266702330216597</v>
          </cell>
          <cell r="F179">
            <v>0.22524249632597004</v>
          </cell>
          <cell r="G179">
            <v>0.22524201016834952</v>
          </cell>
          <cell r="H179">
            <v>0.22450683266404522</v>
          </cell>
          <cell r="I179">
            <v>0.22404711420730405</v>
          </cell>
          <cell r="J179">
            <v>0.21796919486505484</v>
          </cell>
          <cell r="K179">
            <v>0.34821251639207912</v>
          </cell>
          <cell r="L179">
            <v>0.37191074416145598</v>
          </cell>
          <cell r="M179">
            <v>0.38938214205603883</v>
          </cell>
          <cell r="N179">
            <v>0.39569878537376901</v>
          </cell>
          <cell r="O179">
            <v>0.40200581488856846</v>
          </cell>
          <cell r="P179">
            <v>0.40830157363603542</v>
          </cell>
        </row>
        <row r="180">
          <cell r="B180" t="str">
            <v>ITOT-CHPNGACCS</v>
          </cell>
          <cell r="C180" t="str">
            <v>VAR_fout</v>
          </cell>
          <cell r="D180" t="str">
            <v>CO2_O</v>
          </cell>
          <cell r="J180">
            <v>0.26997158577365654</v>
          </cell>
          <cell r="K180">
            <v>37.9609612956531</v>
          </cell>
          <cell r="L180">
            <v>38.005661793569779</v>
          </cell>
          <cell r="M180">
            <v>37.988153436308878</v>
          </cell>
          <cell r="N180">
            <v>27.784172051073302</v>
          </cell>
          <cell r="O180">
            <v>38.005552251797589</v>
          </cell>
          <cell r="P180">
            <v>38.008060796741894</v>
          </cell>
        </row>
        <row r="181">
          <cell r="B181" t="str">
            <v>ITOT-CHPNGACCS</v>
          </cell>
          <cell r="C181" t="str">
            <v>VAR_fout</v>
          </cell>
          <cell r="D181" t="str">
            <v>CO2</v>
          </cell>
          <cell r="J181">
            <v>-0.26997158577365699</v>
          </cell>
          <cell r="K181">
            <v>-37.9609612956531</v>
          </cell>
          <cell r="L181">
            <v>-38.005661793569701</v>
          </cell>
          <cell r="M181">
            <v>-37.988153436308899</v>
          </cell>
          <cell r="N181">
            <v>-27.784172051073298</v>
          </cell>
          <cell r="O181">
            <v>-38.005552251797603</v>
          </cell>
          <cell r="P181">
            <v>-38.008060796741901</v>
          </cell>
        </row>
        <row r="182">
          <cell r="B182" t="str">
            <v>ITOT-CHPNGACCS</v>
          </cell>
          <cell r="C182" t="str">
            <v>VAR_fout</v>
          </cell>
          <cell r="D182" t="str">
            <v>ITOT_NKEV_GAS_ELC_CHP</v>
          </cell>
          <cell r="J182">
            <v>1.7425849428373684E-3</v>
          </cell>
          <cell r="K182">
            <v>0.24501632354153549</v>
          </cell>
          <cell r="L182">
            <v>0.24531505341295293</v>
          </cell>
          <cell r="M182">
            <v>0.24520204226161574</v>
          </cell>
          <cell r="N182">
            <v>0.17933842825220625</v>
          </cell>
          <cell r="O182">
            <v>0.2453143463539405</v>
          </cell>
          <cell r="P182">
            <v>0.24533053825293552</v>
          </cell>
        </row>
        <row r="183">
          <cell r="B183" t="str">
            <v>ITOT-CHPNGACCS</v>
          </cell>
          <cell r="C183" t="str">
            <v>VAR_fout</v>
          </cell>
          <cell r="D183" t="str">
            <v>ITOT_LTH_CHP</v>
          </cell>
          <cell r="J183">
            <v>1.973665815866782E-3</v>
          </cell>
          <cell r="K183">
            <v>0.27415749370968806</v>
          </cell>
          <cell r="L183">
            <v>0.27113769061431725</v>
          </cell>
          <cell r="M183">
            <v>0.27101278355231279</v>
          </cell>
          <cell r="N183">
            <v>0.19821615754191255</v>
          </cell>
          <cell r="O183">
            <v>0.27113690912804034</v>
          </cell>
          <cell r="P183">
            <v>0.27115480543745552</v>
          </cell>
        </row>
        <row r="184">
          <cell r="B184" t="str">
            <v>ITOT-CHPNGACCS</v>
          </cell>
          <cell r="C184" t="str">
            <v>VAR_fout</v>
          </cell>
          <cell r="D184" t="str">
            <v>CO2_I</v>
          </cell>
          <cell r="J184">
            <v>0.32017812220393699</v>
          </cell>
          <cell r="K184">
            <v>42.718127790251998</v>
          </cell>
          <cell r="L184">
            <v>42.817964695044999</v>
          </cell>
          <cell r="M184">
            <v>42.796939276126302</v>
          </cell>
          <cell r="N184">
            <v>31.3311198513526</v>
          </cell>
          <cell r="O184">
            <v>42.9552541440788</v>
          </cell>
          <cell r="P184">
            <v>44.2016704448369</v>
          </cell>
        </row>
        <row r="185">
          <cell r="B185" t="str">
            <v>ITOT-CHPNGACCS</v>
          </cell>
          <cell r="C185" t="str">
            <v>VAR_fin</v>
          </cell>
          <cell r="D185" t="str">
            <v>INGA</v>
          </cell>
          <cell r="J185">
            <v>5.6769170603534888E-3</v>
          </cell>
          <cell r="K185">
            <v>0.75741361330234147</v>
          </cell>
          <cell r="L185">
            <v>0.75918377118874103</v>
          </cell>
          <cell r="M185">
            <v>0.75881098007316206</v>
          </cell>
          <cell r="N185">
            <v>0.55551630942114472</v>
          </cell>
          <cell r="O185">
            <v>0.76161798127799252</v>
          </cell>
          <cell r="P185">
            <v>0.78371756107866819</v>
          </cell>
        </row>
        <row r="186">
          <cell r="B186" t="str">
            <v>ITOT-CHPNGACCS</v>
          </cell>
          <cell r="C186" t="str">
            <v>VAR_ncap</v>
          </cell>
          <cell r="D186" t="str">
            <v>-</v>
          </cell>
          <cell r="J186">
            <v>2.21432419492082E-4</v>
          </cell>
          <cell r="K186">
            <v>1.2505064725039599E-2</v>
          </cell>
          <cell r="L186">
            <v>1.19941851291134E-2</v>
          </cell>
          <cell r="M186">
            <v>3.1160814728286898E-6</v>
          </cell>
          <cell r="N186">
            <v>2.0519315252910402E-6</v>
          </cell>
          <cell r="O186">
            <v>7.9486055089002302E-3</v>
          </cell>
          <cell r="P186">
            <v>1.06589337623108E-2</v>
          </cell>
        </row>
        <row r="187">
          <cell r="B187" t="str">
            <v>ITOT-CHPNGACCS</v>
          </cell>
          <cell r="C187" t="str">
            <v>VAR_cap</v>
          </cell>
          <cell r="D187" t="str">
            <v>-</v>
          </cell>
          <cell r="J187">
            <v>2.21432419492082E-4</v>
          </cell>
          <cell r="K187">
            <v>1.2726444134720974E-2</v>
          </cell>
          <cell r="L187">
            <v>2.4720381559183074E-2</v>
          </cell>
          <cell r="M187">
            <v>2.4694196121827217E-2</v>
          </cell>
          <cell r="N187">
            <v>2.4503522037546133E-2</v>
          </cell>
          <cell r="O187">
            <v>1.9947523326694888E-2</v>
          </cell>
          <cell r="P187">
            <v>1.861198922478954E-2</v>
          </cell>
        </row>
        <row r="188">
          <cell r="B188" t="str">
            <v>SCOM-ESOLPV</v>
          </cell>
          <cell r="C188" t="str">
            <v>VAR_fout</v>
          </cell>
          <cell r="D188" t="str">
            <v>SCOM_SOL_ELC</v>
          </cell>
          <cell r="E188">
            <v>2.8396236857719668</v>
          </cell>
          <cell r="F188">
            <v>3.294455050835158</v>
          </cell>
          <cell r="G188">
            <v>6.5886958271267977</v>
          </cell>
          <cell r="H188">
            <v>7.610260806737136</v>
          </cell>
          <cell r="I188">
            <v>25.191493623140293</v>
          </cell>
          <cell r="J188">
            <v>27.726870257350591</v>
          </cell>
          <cell r="K188">
            <v>29.141226229104419</v>
          </cell>
          <cell r="L188">
            <v>30.62772319688607</v>
          </cell>
          <cell r="M188">
            <v>32.190045930012744</v>
          </cell>
          <cell r="N188">
            <v>33.832062931292477</v>
          </cell>
          <cell r="O188">
            <v>35.557839338627119</v>
          </cell>
          <cell r="P188">
            <v>37.371648660613616</v>
          </cell>
        </row>
        <row r="189">
          <cell r="B189" t="str">
            <v>SCOM-ESOLPV</v>
          </cell>
          <cell r="C189" t="str">
            <v>VAR_fin</v>
          </cell>
          <cell r="D189" t="str">
            <v>SOL</v>
          </cell>
          <cell r="E189">
            <v>2.8396236857719668</v>
          </cell>
          <cell r="F189">
            <v>3.294455050835158</v>
          </cell>
          <cell r="G189">
            <v>6.5886958271267977</v>
          </cell>
          <cell r="H189">
            <v>7.610260806737136</v>
          </cell>
          <cell r="I189">
            <v>25.191493623140293</v>
          </cell>
          <cell r="J189">
            <v>27.726870257350591</v>
          </cell>
          <cell r="K189">
            <v>29.141226229104419</v>
          </cell>
          <cell r="L189">
            <v>30.62772319688607</v>
          </cell>
          <cell r="M189">
            <v>32.190045930012744</v>
          </cell>
          <cell r="N189">
            <v>33.832062931292477</v>
          </cell>
          <cell r="O189">
            <v>35.557839338627119</v>
          </cell>
          <cell r="P189">
            <v>37.371648660613616</v>
          </cell>
        </row>
        <row r="190">
          <cell r="B190" t="str">
            <v>SCOM-ESOLPV</v>
          </cell>
          <cell r="C190" t="str">
            <v>VAR_fin</v>
          </cell>
          <cell r="D190" t="str">
            <v>SOLPVC</v>
          </cell>
          <cell r="E190">
            <v>2.8396236857719699</v>
          </cell>
          <cell r="F190">
            <v>3.2944550508351602</v>
          </cell>
          <cell r="G190">
            <v>6.5886958271267897</v>
          </cell>
          <cell r="H190">
            <v>7.6102608067371396</v>
          </cell>
          <cell r="I190">
            <v>25.1914936231403</v>
          </cell>
          <cell r="J190">
            <v>27.726870257350601</v>
          </cell>
          <cell r="K190">
            <v>29.141226229104401</v>
          </cell>
          <cell r="L190">
            <v>30.627723196886102</v>
          </cell>
          <cell r="M190">
            <v>32.190045930012801</v>
          </cell>
          <cell r="N190">
            <v>33.832062931292498</v>
          </cell>
          <cell r="O190">
            <v>35.557839338627097</v>
          </cell>
          <cell r="P190">
            <v>37.371648660613602</v>
          </cell>
        </row>
        <row r="191">
          <cell r="B191" t="str">
            <v>SCOM-ESOLPV</v>
          </cell>
          <cell r="C191" t="str">
            <v>VAR_ncap</v>
          </cell>
          <cell r="D191" t="str">
            <v>-</v>
          </cell>
          <cell r="G191">
            <v>0.79202337109102094</v>
          </cell>
          <cell r="H191">
            <v>1.6984342848569599E-6</v>
          </cell>
          <cell r="I191">
            <v>4.8162074429416402</v>
          </cell>
          <cell r="J191">
            <v>0.99450941902998002</v>
          </cell>
          <cell r="K191">
            <v>1.2581755349021699</v>
          </cell>
          <cell r="L191">
            <v>0.50802679347216795</v>
          </cell>
          <cell r="M191">
            <v>3.8724643883654202</v>
          </cell>
          <cell r="N191">
            <v>2.73096649524954</v>
          </cell>
          <cell r="O191">
            <v>1.68511130001976</v>
          </cell>
          <cell r="P191">
            <v>0.95674085038128098</v>
          </cell>
        </row>
        <row r="192">
          <cell r="B192" t="str">
            <v>SCOM-ESOLPV</v>
          </cell>
          <cell r="C192" t="str">
            <v>VAR_cap</v>
          </cell>
          <cell r="D192" t="str">
            <v>-</v>
          </cell>
          <cell r="E192">
            <v>0.90292899999999998</v>
          </cell>
          <cell r="F192">
            <v>1.12310126156801</v>
          </cell>
          <cell r="G192">
            <v>1.967252371091021</v>
          </cell>
          <cell r="H192">
            <v>1.8826842477659862</v>
          </cell>
          <cell r="I192">
            <v>6.2320633333314985</v>
          </cell>
          <cell r="J192">
            <v>6.8592841394232522</v>
          </cell>
          <cell r="K192">
            <v>7.2091782596365199</v>
          </cell>
          <cell r="L192">
            <v>7.5769191903459596</v>
          </cell>
          <cell r="M192">
            <v>7.9634185013171699</v>
          </cell>
          <cell r="N192">
            <v>8.3696332119892993</v>
          </cell>
          <cell r="O192">
            <v>8.7965689771068902</v>
          </cell>
          <cell r="P192">
            <v>9.2452830340159995</v>
          </cell>
        </row>
        <row r="193">
          <cell r="B193" t="str">
            <v>D-SCOM_LTH</v>
          </cell>
          <cell r="C193" t="str">
            <v>VAR_fout</v>
          </cell>
          <cell r="D193" t="str">
            <v>SCOM_LTH_DH</v>
          </cell>
          <cell r="E193">
            <v>5.6100012936944053</v>
          </cell>
          <cell r="F193">
            <v>6.076703053036419</v>
          </cell>
          <cell r="G193">
            <v>6.0767031345470732</v>
          </cell>
          <cell r="H193">
            <v>6.0767030876961634</v>
          </cell>
          <cell r="I193">
            <v>6.0767028683659969</v>
          </cell>
          <cell r="J193">
            <v>6.3077784760196485</v>
          </cell>
          <cell r="K193">
            <v>7.936630256876537</v>
          </cell>
          <cell r="L193">
            <v>8.3471106588087576</v>
          </cell>
          <cell r="M193">
            <v>8.3471106278092098</v>
          </cell>
          <cell r="N193">
            <v>8.3471112598752892</v>
          </cell>
          <cell r="O193">
            <v>8.3471115800613944</v>
          </cell>
          <cell r="P193">
            <v>8.3471130734537748</v>
          </cell>
        </row>
        <row r="194">
          <cell r="B194" t="str">
            <v>D-SCOM_LTH</v>
          </cell>
          <cell r="C194" t="str">
            <v>VAR_fin</v>
          </cell>
          <cell r="D194" t="str">
            <v>LTH</v>
          </cell>
          <cell r="E194">
            <v>6.0987771401086857</v>
          </cell>
          <cell r="F194">
            <v>6.6044044896067824</v>
          </cell>
          <cell r="G194">
            <v>6.6018020281190388</v>
          </cell>
          <cell r="H194">
            <v>6.5974689488807092</v>
          </cell>
          <cell r="I194">
            <v>6.5931413667225121</v>
          </cell>
          <cell r="J194">
            <v>6.8393693025605806</v>
          </cell>
          <cell r="K194">
            <v>8.5998562569660955</v>
          </cell>
          <cell r="L194">
            <v>9.038717714880395</v>
          </cell>
          <cell r="M194">
            <v>9.0387176813123524</v>
          </cell>
          <cell r="N194">
            <v>9.0387183657488084</v>
          </cell>
          <cell r="O194">
            <v>9.0387187124642132</v>
          </cell>
          <cell r="P194">
            <v>9.0387203295929055</v>
          </cell>
        </row>
        <row r="195">
          <cell r="B195" t="str">
            <v>D-SCOM_LTH</v>
          </cell>
          <cell r="C195" t="str">
            <v>VAR_ncap</v>
          </cell>
          <cell r="D195" t="str">
            <v>-</v>
          </cell>
          <cell r="E195">
            <v>0.84970025119983505</v>
          </cell>
          <cell r="F195">
            <v>2.3786602233914301E-8</v>
          </cell>
          <cell r="G195">
            <v>1.8310853543938999E-8</v>
          </cell>
          <cell r="H195">
            <v>1.5326911475791599E-8</v>
          </cell>
          <cell r="I195">
            <v>1.66200820670207E-8</v>
          </cell>
          <cell r="J195">
            <v>2.2727557913081802E-8</v>
          </cell>
          <cell r="K195">
            <v>2.5262574219168699E-8</v>
          </cell>
          <cell r="L195">
            <v>4.7056880020202898E-8</v>
          </cell>
          <cell r="M195">
            <v>4.52101430079018E-8</v>
          </cell>
          <cell r="N195">
            <v>9.3807305543497098E-8</v>
          </cell>
          <cell r="O195">
            <v>1.07384097817744E-7</v>
          </cell>
          <cell r="P195">
            <v>3.5990739989150398E-6</v>
          </cell>
        </row>
        <row r="196">
          <cell r="B196" t="str">
            <v>D-SCOM_LTH</v>
          </cell>
          <cell r="C196" t="str">
            <v>VAR_cap</v>
          </cell>
          <cell r="D196" t="str">
            <v>-</v>
          </cell>
          <cell r="E196">
            <v>0.84970025119983505</v>
          </cell>
          <cell r="F196">
            <v>0.84970027498643697</v>
          </cell>
          <cell r="G196">
            <v>0.84970029329729102</v>
          </cell>
          <cell r="H196">
            <v>0.84970030862420198</v>
          </cell>
          <cell r="I196">
            <v>0.84970032524428496</v>
          </cell>
          <cell r="J196">
            <v>0.84970034797184202</v>
          </cell>
          <cell r="K196">
            <v>0.84970037323441705</v>
          </cell>
          <cell r="L196">
            <v>0.849700420291297</v>
          </cell>
          <cell r="M196">
            <v>0.84970046550143996</v>
          </cell>
          <cell r="N196">
            <v>0.849700559308745</v>
          </cell>
          <cell r="O196">
            <v>0.84970066669284305</v>
          </cell>
          <cell r="P196">
            <v>0.84970426576684199</v>
          </cell>
        </row>
        <row r="197">
          <cell r="B197" t="str">
            <v>EHYD-RUNS15</v>
          </cell>
          <cell r="C197" t="str">
            <v>VAR_fout</v>
          </cell>
          <cell r="D197" t="str">
            <v>ELC35</v>
          </cell>
          <cell r="F197">
            <v>1.5182656970637087E-4</v>
          </cell>
          <cell r="G197">
            <v>2.001083976216048E-3</v>
          </cell>
          <cell r="H197">
            <v>5.6930066754441924E-3</v>
          </cell>
          <cell r="I197">
            <v>5.3846748712950169E-3</v>
          </cell>
          <cell r="J197">
            <v>5.7442375897062883E-3</v>
          </cell>
          <cell r="K197">
            <v>5.5800633137042073E-3</v>
          </cell>
          <cell r="L197">
            <v>5.7308459555295201E-3</v>
          </cell>
          <cell r="M197">
            <v>5.7158244644077419E-3</v>
          </cell>
          <cell r="N197">
            <v>5.7313550380503828E-3</v>
          </cell>
          <cell r="O197">
            <v>5.7208339548453146E-3</v>
          </cell>
          <cell r="P197">
            <v>5.7109125191691463E-3</v>
          </cell>
        </row>
        <row r="198">
          <cell r="B198" t="str">
            <v>EHYD-RUNS15</v>
          </cell>
          <cell r="C198" t="str">
            <v>VAR_fin</v>
          </cell>
          <cell r="D198" t="str">
            <v>HYDR</v>
          </cell>
          <cell r="F198">
            <v>1.5182656970637087E-4</v>
          </cell>
          <cell r="G198">
            <v>2.001083976216048E-3</v>
          </cell>
          <cell r="H198">
            <v>5.6930066754441924E-3</v>
          </cell>
          <cell r="I198">
            <v>5.3846748712950169E-3</v>
          </cell>
          <cell r="J198">
            <v>5.7442375897062883E-3</v>
          </cell>
          <cell r="K198">
            <v>5.5800633137042073E-3</v>
          </cell>
          <cell r="L198">
            <v>5.7308459555295201E-3</v>
          </cell>
          <cell r="M198">
            <v>5.7158244644077419E-3</v>
          </cell>
          <cell r="N198">
            <v>5.7313550380503828E-3</v>
          </cell>
          <cell r="O198">
            <v>5.7208339548453146E-3</v>
          </cell>
          <cell r="P198">
            <v>5.7109125191691463E-3</v>
          </cell>
        </row>
        <row r="199">
          <cell r="B199" t="str">
            <v>EHYD-RUNS15</v>
          </cell>
          <cell r="C199" t="str">
            <v>VAR_ncap</v>
          </cell>
          <cell r="D199" t="str">
            <v>-</v>
          </cell>
          <cell r="F199">
            <v>1.2926509376611299E-5</v>
          </cell>
          <cell r="G199">
            <v>1.19446116946802E-4</v>
          </cell>
          <cell r="H199">
            <v>2.19122748998565E-4</v>
          </cell>
          <cell r="I199">
            <v>2.1705987603863902E-8</v>
          </cell>
          <cell r="J199">
            <v>1.4673526815935E-8</v>
          </cell>
          <cell r="K199">
            <v>1.8460391387490399E-8</v>
          </cell>
          <cell r="L199">
            <v>2.6913890254720701E-8</v>
          </cell>
          <cell r="M199">
            <v>1.68313185886073E-8</v>
          </cell>
          <cell r="N199">
            <v>5.94208045030507E-8</v>
          </cell>
          <cell r="O199">
            <v>4.9702850474383003E-8</v>
          </cell>
          <cell r="P199">
            <v>6.2137627354592203E-6</v>
          </cell>
        </row>
        <row r="200">
          <cell r="B200" t="str">
            <v>EHYD-RUNS15</v>
          </cell>
          <cell r="C200" t="str">
            <v>VAR_cap</v>
          </cell>
          <cell r="D200" t="str">
            <v>-</v>
          </cell>
          <cell r="F200">
            <v>1.2926509376611299E-5</v>
          </cell>
          <cell r="G200">
            <v>1.3237262632341299E-4</v>
          </cell>
          <cell r="H200">
            <v>3.5149537532197701E-4</v>
          </cell>
          <cell r="I200">
            <v>3.5151708130958101E-4</v>
          </cell>
          <cell r="J200">
            <v>3.5153175483639698E-4</v>
          </cell>
          <cell r="K200">
            <v>3.5155021522778498E-4</v>
          </cell>
          <cell r="L200">
            <v>3.5157712911803999E-4</v>
          </cell>
          <cell r="M200">
            <v>3.5159396043662799E-4</v>
          </cell>
          <cell r="N200">
            <v>3.5165338124113101E-4</v>
          </cell>
          <cell r="O200">
            <v>3.51703084091606E-4</v>
          </cell>
          <cell r="P200">
            <v>3.5791684682706502E-4</v>
          </cell>
        </row>
        <row r="201">
          <cell r="B201" t="str">
            <v>EHYD-RUN10</v>
          </cell>
          <cell r="C201" t="str">
            <v>VAR_fout</v>
          </cell>
          <cell r="D201" t="str">
            <v>ELC13</v>
          </cell>
          <cell r="F201">
            <v>5.3633613817980386E-4</v>
          </cell>
          <cell r="G201">
            <v>1.368135493965673E-3</v>
          </cell>
          <cell r="H201">
            <v>1.4988843110045811E-3</v>
          </cell>
          <cell r="I201">
            <v>1.6525692446814179E-3</v>
          </cell>
          <cell r="J201">
            <v>1.6444742705901912E-3</v>
          </cell>
          <cell r="K201">
            <v>1.6756269731051099E-3</v>
          </cell>
          <cell r="L201">
            <v>1.6109198255737386E-3</v>
          </cell>
          <cell r="M201">
            <v>1.6129369410812166E-3</v>
          </cell>
          <cell r="N201">
            <v>1.6021186051608531E-3</v>
          </cell>
          <cell r="O201">
            <v>1.5780813632546174E-3</v>
          </cell>
          <cell r="P201">
            <v>2.1353932687073222E-3</v>
          </cell>
        </row>
        <row r="202">
          <cell r="B202" t="str">
            <v>EHYD-RUN10</v>
          </cell>
          <cell r="C202" t="str">
            <v>VAR_fin</v>
          </cell>
          <cell r="D202" t="str">
            <v>HYDR</v>
          </cell>
          <cell r="F202">
            <v>5.3633613817980386E-4</v>
          </cell>
          <cell r="G202">
            <v>1.368135493965673E-3</v>
          </cell>
          <cell r="H202">
            <v>1.4988843110045811E-3</v>
          </cell>
          <cell r="I202">
            <v>1.6525692446814179E-3</v>
          </cell>
          <cell r="J202">
            <v>1.6444742705901912E-3</v>
          </cell>
          <cell r="K202">
            <v>1.6756269731051099E-3</v>
          </cell>
          <cell r="L202">
            <v>1.6109198255737386E-3</v>
          </cell>
          <cell r="M202">
            <v>1.6129369410812166E-3</v>
          </cell>
          <cell r="N202">
            <v>1.6021186051608531E-3</v>
          </cell>
          <cell r="O202">
            <v>1.5780813632546174E-3</v>
          </cell>
          <cell r="P202">
            <v>2.1353932687073222E-3</v>
          </cell>
        </row>
        <row r="203">
          <cell r="B203" t="str">
            <v>EHYD-RUN10</v>
          </cell>
          <cell r="C203" t="str">
            <v>VAR_ncap</v>
          </cell>
          <cell r="D203" t="str">
            <v>-</v>
          </cell>
          <cell r="F203">
            <v>4.64000556034375E-5</v>
          </cell>
          <cell r="G203">
            <v>7.063188774778E-5</v>
          </cell>
          <cell r="H203">
            <v>1.18777271264154E-6</v>
          </cell>
          <cell r="I203">
            <v>1.21075457575469E-5</v>
          </cell>
          <cell r="J203">
            <v>1.66313105650551E-7</v>
          </cell>
          <cell r="K203">
            <v>1.01526431917383E-7</v>
          </cell>
          <cell r="L203">
            <v>5.8513231641229802E-8</v>
          </cell>
          <cell r="M203">
            <v>4.3951174307398299E-8</v>
          </cell>
          <cell r="N203">
            <v>2.6920866986185603E-7</v>
          </cell>
          <cell r="O203">
            <v>1.67713299075743E-7</v>
          </cell>
          <cell r="P203">
            <v>4.52683874070498E-5</v>
          </cell>
        </row>
        <row r="204">
          <cell r="B204" t="str">
            <v>EHYD-RUN10</v>
          </cell>
          <cell r="C204" t="str">
            <v>VAR_cap</v>
          </cell>
          <cell r="D204" t="str">
            <v>-</v>
          </cell>
          <cell r="F204">
            <v>4.64000556034375E-5</v>
          </cell>
          <cell r="G204">
            <v>1.1703194335121799E-4</v>
          </cell>
          <cell r="H204">
            <v>1.1821971606385901E-4</v>
          </cell>
          <cell r="I204">
            <v>1.3032726182140599E-4</v>
          </cell>
          <cell r="J204">
            <v>1.30493574927057E-4</v>
          </cell>
          <cell r="K204">
            <v>1.3059510135897401E-4</v>
          </cell>
          <cell r="L204">
            <v>1.30653614590615E-4</v>
          </cell>
          <cell r="M204">
            <v>1.3069756576492299E-4</v>
          </cell>
          <cell r="N204">
            <v>1.3096677443478401E-4</v>
          </cell>
          <cell r="O204">
            <v>1.3113448773386001E-4</v>
          </cell>
          <cell r="P204">
            <v>1.7640287514091E-4</v>
          </cell>
        </row>
        <row r="205">
          <cell r="B205" t="str">
            <v>ITOT-CHPWOD</v>
          </cell>
          <cell r="C205" t="str">
            <v>VAR_fout</v>
          </cell>
          <cell r="D205" t="str">
            <v>ITOT_LTH_CHP</v>
          </cell>
          <cell r="E205">
            <v>0.65956574891523456</v>
          </cell>
          <cell r="F205">
            <v>0.8294698561564271</v>
          </cell>
          <cell r="G205">
            <v>3.3612284531445775</v>
          </cell>
          <cell r="H205">
            <v>3.3635603793715645</v>
          </cell>
          <cell r="I205">
            <v>3.3621958676260326</v>
          </cell>
          <cell r="J205">
            <v>1.345369727011315</v>
          </cell>
          <cell r="K205">
            <v>0.45422150390140481</v>
          </cell>
          <cell r="L205">
            <v>7.0531895200310788E-4</v>
          </cell>
          <cell r="M205">
            <v>7.0571938375111004E-4</v>
          </cell>
          <cell r="N205">
            <v>1.0990237155465822E-3</v>
          </cell>
          <cell r="O205">
            <v>6.4627077678887682E-4</v>
          </cell>
          <cell r="P205">
            <v>8.4476335653889932E-4</v>
          </cell>
        </row>
        <row r="206">
          <cell r="B206" t="str">
            <v>ITOT-CHPWOD</v>
          </cell>
          <cell r="C206" t="str">
            <v>VAR_fout</v>
          </cell>
          <cell r="D206" t="str">
            <v>ITOT_KEV_WOD_ELC_CHP</v>
          </cell>
          <cell r="E206">
            <v>0.17246126807569231</v>
          </cell>
          <cell r="F206">
            <v>0.23817412354783213</v>
          </cell>
          <cell r="G206">
            <v>1.1317624035093872</v>
          </cell>
          <cell r="H206">
            <v>1.5900467247938288</v>
          </cell>
          <cell r="I206">
            <v>1.5894016828777582</v>
          </cell>
          <cell r="J206">
            <v>0.63599296185989274</v>
          </cell>
          <cell r="K206">
            <v>0.21472289275339088</v>
          </cell>
          <cell r="L206">
            <v>3.334235045832864E-4</v>
          </cell>
          <cell r="M206">
            <v>3.3361279959143327E-4</v>
          </cell>
          <cell r="N206">
            <v>5.195384837129286E-4</v>
          </cell>
          <cell r="O206">
            <v>3.05509821754741E-4</v>
          </cell>
          <cell r="P206">
            <v>3.9934267763656954E-4</v>
          </cell>
        </row>
        <row r="207">
          <cell r="B207" t="str">
            <v>ITOT-CHPWOD</v>
          </cell>
          <cell r="C207" t="str">
            <v>VAR_fin</v>
          </cell>
          <cell r="D207" t="str">
            <v>IWOD</v>
          </cell>
          <cell r="E207">
            <v>0.87267683648045991</v>
          </cell>
          <cell r="F207">
            <v>1.0547282470522683</v>
          </cell>
          <cell r="G207">
            <v>4.5387129146696505</v>
          </cell>
          <cell r="H207">
            <v>5.2368462900615915</v>
          </cell>
          <cell r="I207">
            <v>5.5736290216856208</v>
          </cell>
          <cell r="J207">
            <v>1.8049708253847281</v>
          </cell>
          <cell r="K207">
            <v>0.59685275239067848</v>
          </cell>
          <cell r="L207">
            <v>1.0697098571476782E-3</v>
          </cell>
          <cell r="M207">
            <v>9.7879137690581571E-4</v>
          </cell>
          <cell r="N207">
            <v>1.5920921876330498E-3</v>
          </cell>
          <cell r="O207">
            <v>9.4274772040774829E-4</v>
          </cell>
          <cell r="P207">
            <v>1.519960669339804E-3</v>
          </cell>
        </row>
        <row r="208">
          <cell r="B208" t="str">
            <v>ITOT-CHPWOD</v>
          </cell>
          <cell r="C208" t="str">
            <v>VAR_ncap</v>
          </cell>
          <cell r="D208" t="str">
            <v>-</v>
          </cell>
          <cell r="F208">
            <v>7.1273782333612498E-3</v>
          </cell>
          <cell r="G208">
            <v>3.3040035122684497E-2</v>
          </cell>
          <cell r="H208">
            <v>1.69453971763888E-2</v>
          </cell>
          <cell r="I208">
            <v>1.98327768361087E-2</v>
          </cell>
          <cell r="J208">
            <v>9.1186367836426098E-8</v>
          </cell>
          <cell r="K208">
            <v>1.5440360501533599E-7</v>
          </cell>
          <cell r="L208">
            <v>2.4546932842651599E-5</v>
          </cell>
          <cell r="M208">
            <v>3.07701709255479E-7</v>
          </cell>
          <cell r="N208">
            <v>1.39962840016926E-5</v>
          </cell>
          <cell r="O208">
            <v>4.4441799963737097E-6</v>
          </cell>
          <cell r="P208">
            <v>1.14718010651836E-5</v>
          </cell>
        </row>
        <row r="209">
          <cell r="B209" t="str">
            <v>ITOT-CHPWOD</v>
          </cell>
          <cell r="C209" t="str">
            <v>VAR_cap</v>
          </cell>
          <cell r="D209" t="str">
            <v>-</v>
          </cell>
          <cell r="E209">
            <v>6.3838626628134106E-3</v>
          </cell>
          <cell r="F209">
            <v>8.8063690141508191E-3</v>
          </cell>
          <cell r="G209">
            <v>4.1846321796668889E-2</v>
          </cell>
          <cell r="H209">
            <v>5.8791240491557116E-2</v>
          </cell>
          <cell r="I209">
            <v>7.3483776393805503E-2</v>
          </cell>
          <cell r="J209">
            <v>4.0488597677040029E-2</v>
          </cell>
          <cell r="K209">
            <v>1.6065215708045481E-2</v>
          </cell>
          <cell r="L209">
            <v>2.4688351156067235E-5</v>
          </cell>
          <cell r="M209">
            <v>2.488417514313735E-5</v>
          </cell>
          <cell r="N209">
            <v>3.8644387130742683E-5</v>
          </cell>
          <cell r="O209">
            <v>2.27724224733867E-5</v>
          </cell>
          <cell r="P209">
            <v>2.9694361334874369E-5</v>
          </cell>
        </row>
        <row r="210">
          <cell r="B210" t="str">
            <v>EHYD-RUN15</v>
          </cell>
          <cell r="C210" t="str">
            <v>VAR_fout</v>
          </cell>
          <cell r="D210" t="str">
            <v>ELC13</v>
          </cell>
          <cell r="F210">
            <v>2.3174723699409856E-4</v>
          </cell>
          <cell r="G210">
            <v>2.358537994512767E-4</v>
          </cell>
          <cell r="H210">
            <v>0.24544687216866354</v>
          </cell>
          <cell r="I210">
            <v>0.3523101080618159</v>
          </cell>
          <cell r="J210">
            <v>0.35231103722987078</v>
          </cell>
          <cell r="K210">
            <v>0.35231162464766241</v>
          </cell>
          <cell r="L210">
            <v>0.35231237538005533</v>
          </cell>
          <cell r="M210">
            <v>0.35231335803650549</v>
          </cell>
          <cell r="N210">
            <v>0.35231347818482306</v>
          </cell>
          <cell r="O210">
            <v>0.35231543825179967</v>
          </cell>
          <cell r="P210">
            <v>0.3523215839995692</v>
          </cell>
        </row>
        <row r="211">
          <cell r="B211" t="str">
            <v>EHYD-RUN15</v>
          </cell>
          <cell r="C211" t="str">
            <v>VAR_fin</v>
          </cell>
          <cell r="D211" t="str">
            <v>HYDR</v>
          </cell>
          <cell r="F211">
            <v>2.3174723699409856E-4</v>
          </cell>
          <cell r="G211">
            <v>2.358537994512767E-4</v>
          </cell>
          <cell r="H211">
            <v>0.24544687216866354</v>
          </cell>
          <cell r="I211">
            <v>0.3523101080618159</v>
          </cell>
          <cell r="J211">
            <v>0.35231103722987078</v>
          </cell>
          <cell r="K211">
            <v>0.35231162464766241</v>
          </cell>
          <cell r="L211">
            <v>0.35231237538005533</v>
          </cell>
          <cell r="M211">
            <v>0.35231335803650549</v>
          </cell>
          <cell r="N211">
            <v>0.35231347818482306</v>
          </cell>
          <cell r="O211">
            <v>0.35231543825179967</v>
          </cell>
          <cell r="P211">
            <v>0.3523215839995692</v>
          </cell>
        </row>
        <row r="212">
          <cell r="B212" t="str">
            <v>EHYD-RUN15</v>
          </cell>
          <cell r="C212" t="str">
            <v>VAR_ncap</v>
          </cell>
          <cell r="D212" t="str">
            <v>-</v>
          </cell>
          <cell r="F212">
            <v>1.9915053428987802E-5</v>
          </cell>
          <cell r="G212">
            <v>2.50266063898829E-2</v>
          </cell>
          <cell r="H212">
            <v>4.1114917175541197E-8</v>
          </cell>
          <cell r="I212">
            <v>2.5568269528556699E-8</v>
          </cell>
          <cell r="J212">
            <v>2.4916805629613299E-8</v>
          </cell>
          <cell r="K212">
            <v>9.4319096591337897E-8</v>
          </cell>
          <cell r="L212">
            <v>2.7414331090716001E-8</v>
          </cell>
          <cell r="M212">
            <v>5.7206273619438901E-8</v>
          </cell>
          <cell r="N212">
            <v>8.29207901417888E-8</v>
          </cell>
          <cell r="O212">
            <v>6.02340276074488E-7</v>
          </cell>
        </row>
        <row r="213">
          <cell r="B213" t="str">
            <v>EHYD-RUN15</v>
          </cell>
          <cell r="C213" t="str">
            <v>VAR_cap</v>
          </cell>
          <cell r="D213" t="str">
            <v>-</v>
          </cell>
          <cell r="F213">
            <v>1.9915053428987802E-5</v>
          </cell>
          <cell r="G213">
            <v>1.9915053428987802E-5</v>
          </cell>
          <cell r="H213">
            <v>1.74494434414664E-2</v>
          </cell>
          <cell r="I213">
            <v>2.5046562558228999E-2</v>
          </cell>
          <cell r="J213">
            <v>2.5046582757240199E-2</v>
          </cell>
          <cell r="K213">
            <v>2.5046627808955901E-2</v>
          </cell>
          <cell r="L213">
            <v>2.5046707362400802E-2</v>
          </cell>
          <cell r="M213">
            <v>2.5046741803452701E-2</v>
          </cell>
          <cell r="N213">
            <v>2.5046791983005499E-2</v>
          </cell>
          <cell r="O213">
            <v>2.5046954513057801E-2</v>
          </cell>
          <cell r="P213">
            <v>2.5047477244071699E-2</v>
          </cell>
        </row>
        <row r="214">
          <cell r="B214" t="str">
            <v>SCOM-SWHSTG-CHPWOD</v>
          </cell>
          <cell r="C214" t="str">
            <v>VAR_fout</v>
          </cell>
          <cell r="D214" t="str">
            <v>AUX_SCOM-CHPWOD_OUT</v>
          </cell>
          <cell r="E214">
            <v>1.9588209297023915E-5</v>
          </cell>
          <cell r="F214">
            <v>1.4896627699580958E-5</v>
          </cell>
          <cell r="G214">
            <v>1.5215841150359332E-5</v>
          </cell>
          <cell r="H214">
            <v>4.3459984067951442E-4</v>
          </cell>
          <cell r="I214">
            <v>6.2524854786653536E-4</v>
          </cell>
          <cell r="J214">
            <v>4.125623081673341E-3</v>
          </cell>
          <cell r="K214">
            <v>4.1548019712595221E-3</v>
          </cell>
          <cell r="L214">
            <v>7.3691543184880122E-3</v>
          </cell>
          <cell r="M214">
            <v>5.8934208584848066E-3</v>
          </cell>
          <cell r="N214">
            <v>1.0766060268254928E-2</v>
          </cell>
          <cell r="O214">
            <v>1.2610091504829297E-2</v>
          </cell>
          <cell r="P214">
            <v>2.2842017793002937E-2</v>
          </cell>
        </row>
        <row r="215">
          <cell r="B215" t="str">
            <v>SCOM-SWHSTG-CHPWOD</v>
          </cell>
          <cell r="C215" t="str">
            <v>VAR_fout</v>
          </cell>
          <cell r="D215" t="str">
            <v>SCOM_LTH_CHPWOD</v>
          </cell>
          <cell r="E215">
            <v>1.9588209297023952E-5</v>
          </cell>
          <cell r="F215">
            <v>1.4908803742656001E-5</v>
          </cell>
          <cell r="G215">
            <v>1.5235273897677795E-5</v>
          </cell>
          <cell r="H215">
            <v>4.3459984067951377E-4</v>
          </cell>
          <cell r="I215">
            <v>6.2594404124569677E-4</v>
          </cell>
          <cell r="J215">
            <v>4.1256230816733366E-3</v>
          </cell>
          <cell r="K215">
            <v>4.1588633612607492E-3</v>
          </cell>
          <cell r="L215">
            <v>7.3691543184880113E-3</v>
          </cell>
          <cell r="M215">
            <v>5.8934208584848066E-3</v>
          </cell>
          <cell r="N215">
            <v>1.0766060268254928E-2</v>
          </cell>
          <cell r="O215">
            <v>1.2610091504829293E-2</v>
          </cell>
          <cell r="P215">
            <v>2.2842017793002937E-2</v>
          </cell>
        </row>
        <row r="216">
          <cell r="B216" t="str">
            <v>SCOM-SWHSTG-CHPWOD</v>
          </cell>
          <cell r="C216" t="str">
            <v>VAR_fin</v>
          </cell>
          <cell r="D216" t="str">
            <v>AUX_SCOM-CHPWOD_IN</v>
          </cell>
          <cell r="E216">
            <v>1.9588209297023952E-5</v>
          </cell>
          <cell r="F216">
            <v>1.4908803742656001E-5</v>
          </cell>
          <cell r="G216">
            <v>1.5235273897677795E-5</v>
          </cell>
          <cell r="H216">
            <v>4.9932972860458212E-4</v>
          </cell>
          <cell r="I216">
            <v>6.9515311706490801E-4</v>
          </cell>
          <cell r="J216">
            <v>4.4361538512580588E-3</v>
          </cell>
          <cell r="K216">
            <v>4.3324012406366838E-3</v>
          </cell>
          <cell r="L216">
            <v>7.444231006590008E-3</v>
          </cell>
          <cell r="M216">
            <v>5.9529136258156846E-3</v>
          </cell>
          <cell r="N216">
            <v>1.0875430329405765E-2</v>
          </cell>
          <cell r="O216">
            <v>1.2737571678303245E-2</v>
          </cell>
          <cell r="P216">
            <v>2.3073365155291122E-2</v>
          </cell>
        </row>
        <row r="217">
          <cell r="B217" t="str">
            <v>SCOM-SWHSTG-CHPWOD</v>
          </cell>
          <cell r="C217" t="str">
            <v>VAR_fin</v>
          </cell>
          <cell r="D217" t="str">
            <v>SCOM_LTH_CHPWOD</v>
          </cell>
          <cell r="E217">
            <v>1.9588209297023952E-5</v>
          </cell>
          <cell r="F217">
            <v>1.4908803742656001E-5</v>
          </cell>
          <cell r="G217">
            <v>1.5235273897677795E-5</v>
          </cell>
          <cell r="H217">
            <v>4.9932972860458212E-4</v>
          </cell>
          <cell r="I217">
            <v>6.9515311706490801E-4</v>
          </cell>
          <cell r="J217">
            <v>4.4361538512580588E-3</v>
          </cell>
          <cell r="K217">
            <v>4.3324012406366838E-3</v>
          </cell>
          <cell r="L217">
            <v>7.444231006590008E-3</v>
          </cell>
          <cell r="M217">
            <v>5.9529136258156846E-3</v>
          </cell>
          <cell r="N217">
            <v>1.0875430329405765E-2</v>
          </cell>
          <cell r="O217">
            <v>1.2737571678303245E-2</v>
          </cell>
          <cell r="P217">
            <v>2.3073365155291122E-2</v>
          </cell>
        </row>
        <row r="218">
          <cell r="B218" t="str">
            <v>SCOM-SWHSTG-CHPWOD</v>
          </cell>
          <cell r="C218" t="str">
            <v>VAR_ncap</v>
          </cell>
          <cell r="D218" t="str">
            <v>-</v>
          </cell>
          <cell r="E218">
            <v>3.2429453910568699E-4</v>
          </cell>
          <cell r="F218">
            <v>8.8264759062808903E-6</v>
          </cell>
          <cell r="G218">
            <v>1.78083818909833E-5</v>
          </cell>
          <cell r="H218">
            <v>2.0204737990980201E-5</v>
          </cell>
          <cell r="I218">
            <v>4.0806258068973398E-4</v>
          </cell>
          <cell r="J218">
            <v>1.72389274854218E-4</v>
          </cell>
          <cell r="K218">
            <v>2.96780215977406E-5</v>
          </cell>
          <cell r="L218">
            <v>6.6090381945862196E-4</v>
          </cell>
          <cell r="M218">
            <v>1.5410237972002699E-5</v>
          </cell>
          <cell r="N218">
            <v>4.9658615619295997E-4</v>
          </cell>
          <cell r="O218">
            <v>2.7871346575098399E-4</v>
          </cell>
          <cell r="P218">
            <v>1.18353106176067E-3</v>
          </cell>
        </row>
        <row r="219">
          <cell r="B219" t="str">
            <v>SCOM-SWHSTG-CHPWOD</v>
          </cell>
          <cell r="C219" t="str">
            <v>VAR_cap</v>
          </cell>
          <cell r="D219" t="str">
            <v>-</v>
          </cell>
          <cell r="E219">
            <v>3.2429453910568699E-4</v>
          </cell>
          <cell r="F219">
            <v>3.3216219792479054E-4</v>
          </cell>
          <cell r="G219">
            <v>3.4761919193031265E-4</v>
          </cell>
          <cell r="H219">
            <v>3.643351683604131E-4</v>
          </cell>
          <cell r="I219">
            <v>5.2491351577672266E-4</v>
          </cell>
          <cell r="J219">
            <v>5.9342106938943626E-4</v>
          </cell>
          <cell r="K219">
            <v>6.0428046468012219E-4</v>
          </cell>
          <cell r="L219">
            <v>8.5666231773214182E-4</v>
          </cell>
          <cell r="M219">
            <v>7.1496097930885748E-4</v>
          </cell>
          <cell r="N219">
            <v>1.1636488278260245E-3</v>
          </cell>
          <cell r="O219">
            <v>8.8981485059602726E-4</v>
          </cell>
          <cell r="P219">
            <v>1.9500358728049135E-3</v>
          </cell>
        </row>
        <row r="220">
          <cell r="B220" t="str">
            <v>RHNM-ESOLPV</v>
          </cell>
          <cell r="C220" t="str">
            <v>VAR_fout</v>
          </cell>
          <cell r="D220" t="str">
            <v>RHNM_SOL_ELC</v>
          </cell>
          <cell r="E220"/>
          <cell r="F220">
            <v>2.8187686482106493E-6</v>
          </cell>
          <cell r="G220">
            <v>2.8118867070202578</v>
          </cell>
          <cell r="H220">
            <v>6.6912839746319195</v>
          </cell>
          <cell r="I220">
            <v>7.0326115793396715</v>
          </cell>
          <cell r="J220">
            <v>7.3913458679845485</v>
          </cell>
          <cell r="K220">
            <v>7.7683798634257073</v>
          </cell>
          <cell r="L220">
            <v>8.16464633398496</v>
          </cell>
          <cell r="M220">
            <v>8.5811260400476446</v>
          </cell>
          <cell r="N220">
            <v>9.0188511858927036</v>
          </cell>
          <cell r="O220">
            <v>9.4789049387688635</v>
          </cell>
          <cell r="P220">
            <v>9.9624341044763263</v>
          </cell>
        </row>
        <row r="221">
          <cell r="B221" t="str">
            <v>RHNM-ESOLPV</v>
          </cell>
          <cell r="C221" t="str">
            <v>VAR_fin</v>
          </cell>
          <cell r="D221" t="str">
            <v>SOL</v>
          </cell>
          <cell r="E221"/>
          <cell r="F221">
            <v>2.8187686482106493E-6</v>
          </cell>
          <cell r="G221">
            <v>2.8118867070202578</v>
          </cell>
          <cell r="H221">
            <v>6.6912839746319195</v>
          </cell>
          <cell r="I221">
            <v>7.0326115793396715</v>
          </cell>
          <cell r="J221">
            <v>7.3913458679845485</v>
          </cell>
          <cell r="K221">
            <v>7.7683798634257073</v>
          </cell>
          <cell r="L221">
            <v>8.16464633398496</v>
          </cell>
          <cell r="M221">
            <v>8.5811260400476446</v>
          </cell>
          <cell r="N221">
            <v>9.0188511858927036</v>
          </cell>
          <cell r="O221">
            <v>9.4789049387688635</v>
          </cell>
          <cell r="P221">
            <v>9.9624341044763263</v>
          </cell>
        </row>
        <row r="222">
          <cell r="B222" t="str">
            <v>RHNM-ESOLPV</v>
          </cell>
          <cell r="C222" t="str">
            <v>VAR_fin</v>
          </cell>
          <cell r="D222" t="str">
            <v>SOLPVC</v>
          </cell>
          <cell r="E222"/>
          <cell r="F222">
            <v>2.8187686482106501E-6</v>
          </cell>
          <cell r="G222">
            <v>2.81188670702026</v>
          </cell>
          <cell r="H222">
            <v>6.6912839746319204</v>
          </cell>
          <cell r="I222">
            <v>7.0326115793396697</v>
          </cell>
          <cell r="J222">
            <v>7.3913458679845396</v>
          </cell>
          <cell r="K222">
            <v>7.7683798634257002</v>
          </cell>
          <cell r="L222">
            <v>8.1646463339849493</v>
          </cell>
          <cell r="M222">
            <v>8.5811260400476392</v>
          </cell>
          <cell r="N222">
            <v>9.0188511858927001</v>
          </cell>
          <cell r="O222">
            <v>9.4789049387688493</v>
          </cell>
          <cell r="P222">
            <v>9.9624341044763298</v>
          </cell>
        </row>
        <row r="223">
          <cell r="B223" t="str">
            <v>RHNM-ESOLPV</v>
          </cell>
          <cell r="C223" t="str">
            <v>VAR_ncap</v>
          </cell>
          <cell r="D223" t="str">
            <v>-</v>
          </cell>
          <cell r="E223"/>
          <cell r="F223">
            <v>1.06920424186534E-6</v>
          </cell>
          <cell r="G223">
            <v>0.83957190806406401</v>
          </cell>
          <cell r="H223">
            <v>0.815767827963919</v>
          </cell>
          <cell r="I223">
            <v>8.4440155381367593E-2</v>
          </cell>
          <cell r="J223">
            <v>8.8746884582077301E-2</v>
          </cell>
          <cell r="K223">
            <v>1.0427490598367699</v>
          </cell>
          <cell r="L223">
            <v>0.80389627260635199</v>
          </cell>
          <cell r="M223">
            <v>0.17359796308498801</v>
          </cell>
          <cell r="N223">
            <v>0.21090881231647499</v>
          </cell>
          <cell r="O223">
            <v>1.1565607273046099</v>
          </cell>
          <cell r="P223">
            <v>0.92351549926049503</v>
          </cell>
        </row>
        <row r="224">
          <cell r="B224" t="str">
            <v>RHNM-ESOLPV</v>
          </cell>
          <cell r="C224" t="str">
            <v>VAR_cap</v>
          </cell>
          <cell r="D224" t="str">
            <v>-</v>
          </cell>
          <cell r="E224"/>
          <cell r="F224">
            <v>1.06920424186534E-6</v>
          </cell>
          <cell r="G224">
            <v>0.83957297726830604</v>
          </cell>
          <cell r="H224">
            <v>1.65534080523222</v>
          </cell>
          <cell r="I224">
            <v>1.7397809606135901</v>
          </cell>
          <cell r="J224">
            <v>1.82852743328485</v>
          </cell>
          <cell r="K224">
            <v>1.9218009492294701</v>
          </cell>
          <cell r="L224">
            <v>2.0198323724065701</v>
          </cell>
          <cell r="M224">
            <v>2.1228643190052399</v>
          </cell>
          <cell r="N224">
            <v>2.2311521078445899</v>
          </cell>
          <cell r="O224">
            <v>2.3449637753124302</v>
          </cell>
          <cell r="P224">
            <v>2.4645830019665702</v>
          </cell>
        </row>
        <row r="225">
          <cell r="B225" t="str">
            <v>CHPNGA</v>
          </cell>
          <cell r="C225" t="str">
            <v>VAR_fout</v>
          </cell>
          <cell r="D225" t="str">
            <v>ELC35</v>
          </cell>
          <cell r="E225">
            <v>0.96588050044996854</v>
          </cell>
          <cell r="F225">
            <v>7.8369801649856056E-5</v>
          </cell>
          <cell r="G225">
            <v>4.437317457324466E-4</v>
          </cell>
          <cell r="H225"/>
          <cell r="I225"/>
          <cell r="J225"/>
          <cell r="K225"/>
          <cell r="L225"/>
          <cell r="M225"/>
          <cell r="N225"/>
          <cell r="O225"/>
          <cell r="P225"/>
        </row>
        <row r="226">
          <cell r="B226" t="str">
            <v>CHPNGA</v>
          </cell>
          <cell r="C226" t="str">
            <v>VAR_fout</v>
          </cell>
          <cell r="D226" t="str">
            <v>LTH</v>
          </cell>
          <cell r="E226">
            <v>1.8035507547076934</v>
          </cell>
          <cell r="F226">
            <v>1.5059188149097683E-4</v>
          </cell>
          <cell r="G226">
            <v>8.8879303485418066E-4</v>
          </cell>
          <cell r="H226"/>
          <cell r="I226"/>
          <cell r="J226"/>
          <cell r="K226"/>
          <cell r="L226"/>
          <cell r="M226"/>
          <cell r="N226"/>
          <cell r="O226"/>
          <cell r="P226"/>
        </row>
        <row r="227">
          <cell r="B227" t="str">
            <v>CHPNGA</v>
          </cell>
          <cell r="C227" t="str">
            <v>VAR_fout</v>
          </cell>
          <cell r="D227" t="str">
            <v>CO2_E</v>
          </cell>
          <cell r="E227">
            <v>206.952797864264</v>
          </cell>
          <cell r="F227">
            <v>2.3846011561558699E-2</v>
          </cell>
          <cell r="G227">
            <v>0.12128473731704199</v>
          </cell>
          <cell r="H227"/>
          <cell r="I227"/>
          <cell r="J227"/>
          <cell r="K227"/>
          <cell r="L227"/>
          <cell r="M227">
            <v>1.8867601416336199E-3</v>
          </cell>
          <cell r="N227">
            <v>2.8152223715820499E-3</v>
          </cell>
          <cell r="O227">
            <v>2.62801784143659E-3</v>
          </cell>
          <cell r="P227">
            <v>5.4514914779743998E-3</v>
          </cell>
        </row>
        <row r="228">
          <cell r="B228" t="str">
            <v>CHPNGA</v>
          </cell>
          <cell r="C228" t="str">
            <v>VAR_fin</v>
          </cell>
          <cell r="D228" t="str">
            <v>ENGA</v>
          </cell>
          <cell r="E228">
            <v>3.6693758486571624</v>
          </cell>
          <cell r="F228">
            <v>4.2280162343189144E-4</v>
          </cell>
          <cell r="G228">
            <v>2.1504386049121015E-3</v>
          </cell>
          <cell r="H228"/>
          <cell r="I228"/>
          <cell r="K228"/>
          <cell r="L228"/>
          <cell r="M228">
            <v>3.3453194000596173E-5</v>
          </cell>
          <cell r="N228">
            <v>4.9915290276277488E-5</v>
          </cell>
          <cell r="O228">
            <v>4.6596061018379245E-5</v>
          </cell>
          <cell r="P228">
            <v>9.6657650318694992E-5</v>
          </cell>
        </row>
        <row r="229">
          <cell r="B229" t="str">
            <v>CHPNGA</v>
          </cell>
          <cell r="C229" t="str">
            <v>VAR_ncap</v>
          </cell>
          <cell r="D229" t="str">
            <v>-</v>
          </cell>
          <cell r="E229"/>
          <cell r="F229">
            <v>6.4368345889345901E-8</v>
          </cell>
          <cell r="G229"/>
          <cell r="H229"/>
          <cell r="I229"/>
          <cell r="J229"/>
          <cell r="K229"/>
          <cell r="L229"/>
          <cell r="M229"/>
          <cell r="N229"/>
          <cell r="O229"/>
          <cell r="P229"/>
        </row>
        <row r="230">
          <cell r="B230" t="str">
            <v>CHPNGA</v>
          </cell>
          <cell r="C230" t="str">
            <v>VAR_cap</v>
          </cell>
          <cell r="D230" t="str">
            <v>-</v>
          </cell>
          <cell r="E230">
            <v>4.5125431785257894E-2</v>
          </cell>
          <cell r="F230">
            <v>2.6710712870581244E-5</v>
          </cell>
          <cell r="G230">
            <v>2.6711969773690614E-5</v>
          </cell>
          <cell r="H230">
            <v>-4.6951541307627132E-8</v>
          </cell>
          <cell r="I230">
            <v>-3.9198648280405757E-8</v>
          </cell>
          <cell r="J230"/>
          <cell r="K230"/>
          <cell r="L230"/>
        </row>
        <row r="231">
          <cell r="B231" t="str">
            <v>EHYD-PUM00</v>
          </cell>
          <cell r="C231" t="str">
            <v>VAR_fout</v>
          </cell>
          <cell r="D231" t="str">
            <v>ELC</v>
          </cell>
          <cell r="E231">
            <v>12.841921030093534</v>
          </cell>
          <cell r="F231">
            <v>16.032962100093219</v>
          </cell>
          <cell r="G231">
            <v>5.2944194631368369</v>
          </cell>
          <cell r="H231">
            <v>12.794559348960991</v>
          </cell>
          <cell r="I231">
            <v>13.097127087696203</v>
          </cell>
          <cell r="J231">
            <v>13.164331915436282</v>
          </cell>
          <cell r="K231">
            <v>13.269402962772945</v>
          </cell>
          <cell r="L231">
            <v>13.376607016692725</v>
          </cell>
          <cell r="M231">
            <v>13.425776242473587</v>
          </cell>
          <cell r="N231">
            <v>13.470746964864597</v>
          </cell>
          <cell r="O231">
            <v>13.526677368434203</v>
          </cell>
          <cell r="P231">
            <v>13.57306108271661</v>
          </cell>
        </row>
        <row r="232">
          <cell r="B232" t="str">
            <v>EHYD-PUM00</v>
          </cell>
          <cell r="C232" t="str">
            <v>VAR_fout</v>
          </cell>
          <cell r="D232" t="str">
            <v>AUX_PUMP_OUT</v>
          </cell>
          <cell r="E232">
            <v>12.841921030093534</v>
          </cell>
          <cell r="F232">
            <v>16.032962100093219</v>
          </cell>
          <cell r="G232">
            <v>5.2944194631368369</v>
          </cell>
          <cell r="H232">
            <v>12.794559348960991</v>
          </cell>
          <cell r="I232">
            <v>13.097127087696203</v>
          </cell>
          <cell r="J232">
            <v>13.164331915436282</v>
          </cell>
          <cell r="K232">
            <v>13.269402962772945</v>
          </cell>
          <cell r="L232">
            <v>13.376607016692727</v>
          </cell>
          <cell r="M232">
            <v>13.425776242473587</v>
          </cell>
          <cell r="N232">
            <v>13.470746964864594</v>
          </cell>
          <cell r="O232">
            <v>13.526677368434207</v>
          </cell>
          <cell r="P232">
            <v>13.57306108271661</v>
          </cell>
        </row>
        <row r="233">
          <cell r="B233" t="str">
            <v>EHYD-PUM00</v>
          </cell>
          <cell r="C233" t="str">
            <v>VAR_fin</v>
          </cell>
          <cell r="D233" t="str">
            <v>AUX_PUMP_IN</v>
          </cell>
          <cell r="E233">
            <v>16.052401455553035</v>
          </cell>
          <cell r="F233">
            <v>20.041202793059604</v>
          </cell>
          <cell r="G233">
            <v>6.6180243815607245</v>
          </cell>
          <cell r="H233">
            <v>15.993199125813822</v>
          </cell>
          <cell r="I233">
            <v>16.371409053339637</v>
          </cell>
          <cell r="J233">
            <v>16.455414707758191</v>
          </cell>
          <cell r="K233">
            <v>16.586753518845786</v>
          </cell>
          <cell r="L233">
            <v>16.720758482269993</v>
          </cell>
          <cell r="M233">
            <v>16.782220014201652</v>
          </cell>
          <cell r="N233">
            <v>16.838433416816411</v>
          </cell>
          <cell r="O233">
            <v>16.908346458761482</v>
          </cell>
          <cell r="P233">
            <v>16.966326054264286</v>
          </cell>
        </row>
        <row r="234">
          <cell r="B234" t="str">
            <v>EHYD-PUM00</v>
          </cell>
          <cell r="C234" t="str">
            <v>VAR_fin</v>
          </cell>
          <cell r="D234" t="str">
            <v>ELC</v>
          </cell>
          <cell r="E234">
            <v>16.052401455553035</v>
          </cell>
          <cell r="F234">
            <v>20.041202793059604</v>
          </cell>
          <cell r="G234">
            <v>6.6180243815607245</v>
          </cell>
          <cell r="H234">
            <v>15.993199125813822</v>
          </cell>
          <cell r="I234">
            <v>16.371409053339637</v>
          </cell>
          <cell r="J234">
            <v>16.455414707758191</v>
          </cell>
          <cell r="K234">
            <v>16.586753518845786</v>
          </cell>
          <cell r="L234">
            <v>16.720758482269993</v>
          </cell>
          <cell r="M234">
            <v>16.782220014201652</v>
          </cell>
          <cell r="N234">
            <v>16.838433416816411</v>
          </cell>
          <cell r="O234">
            <v>16.908346458761482</v>
          </cell>
          <cell r="P234">
            <v>16.966326054264286</v>
          </cell>
        </row>
        <row r="235">
          <cell r="B235" t="str">
            <v>EHYD-PUM00</v>
          </cell>
          <cell r="C235" t="str">
            <v>VAR_cap</v>
          </cell>
          <cell r="D235" t="str">
            <v>-</v>
          </cell>
          <cell r="E235">
            <v>3.3394499999999998</v>
          </cell>
          <cell r="F235">
            <v>3.97102894612105</v>
          </cell>
          <cell r="G235">
            <v>4.3594499999999998</v>
          </cell>
          <cell r="H235">
            <v>4.3594499999999998</v>
          </cell>
          <cell r="I235">
            <v>4.3594499999999998</v>
          </cell>
          <cell r="J235">
            <v>4.3594499999999998</v>
          </cell>
          <cell r="K235">
            <v>4.3594499999999998</v>
          </cell>
          <cell r="L235">
            <v>4.3594499999999998</v>
          </cell>
          <cell r="M235">
            <v>4.3594499999999998</v>
          </cell>
          <cell r="N235">
            <v>4.3594499999999998</v>
          </cell>
          <cell r="O235">
            <v>4.3594499999999998</v>
          </cell>
          <cell r="P235">
            <v>4.3594499999999998</v>
          </cell>
        </row>
        <row r="236">
          <cell r="B236" t="str">
            <v>RHNS-SHSTG-CHPNGA</v>
          </cell>
          <cell r="C236" t="str">
            <v>VAR_fout</v>
          </cell>
          <cell r="D236" t="str">
            <v>RHNS_LTH_CHPNGA</v>
          </cell>
          <cell r="E236">
            <v>3.4915811505882959E-5</v>
          </cell>
          <cell r="F236">
            <v>2.454656828460806E-5</v>
          </cell>
          <cell r="G236">
            <v>4.0021114061699665E-4</v>
          </cell>
          <cell r="H236">
            <v>8.6594367409338125E-4</v>
          </cell>
          <cell r="I236">
            <v>4.0890211118683334E-4</v>
          </cell>
          <cell r="J236">
            <v>4.3114507760429519E-4</v>
          </cell>
          <cell r="K236">
            <v>7.9198916207745126E-5</v>
          </cell>
          <cell r="L236">
            <v>9.9436526591175058E-5</v>
          </cell>
          <cell r="M236">
            <v>4.6595523978166256E-4</v>
          </cell>
          <cell r="N236">
            <v>1.2837037605742986E-3</v>
          </cell>
          <cell r="O236">
            <v>1.0725399393032966E-3</v>
          </cell>
          <cell r="P236">
            <v>2.3331091892376779E-3</v>
          </cell>
        </row>
        <row r="237">
          <cell r="B237" t="str">
            <v>RHNS-SHSTG-CHPNGA</v>
          </cell>
          <cell r="C237" t="str">
            <v>VAR_fout</v>
          </cell>
          <cell r="D237" t="str">
            <v>AUX_RNS-CHPNGA_OUT</v>
          </cell>
          <cell r="E237">
            <v>3.4915811505883061E-5</v>
          </cell>
          <cell r="F237">
            <v>2.453021480806939E-5</v>
          </cell>
          <cell r="G237">
            <v>3.9979468781718751E-4</v>
          </cell>
          <cell r="H237">
            <v>8.6594367409338125E-4</v>
          </cell>
          <cell r="I237">
            <v>4.0852662715452307E-4</v>
          </cell>
          <cell r="J237">
            <v>4.3114507760429719E-4</v>
          </cell>
          <cell r="K237">
            <v>7.913426403124918E-5</v>
          </cell>
          <cell r="L237">
            <v>9.9436526591175167E-5</v>
          </cell>
          <cell r="M237">
            <v>4.6595523978166294E-4</v>
          </cell>
          <cell r="N237">
            <v>1.2837037605742997E-3</v>
          </cell>
          <cell r="O237">
            <v>1.0725399393032974E-3</v>
          </cell>
          <cell r="P237">
            <v>2.3331091892376801E-3</v>
          </cell>
        </row>
        <row r="238">
          <cell r="B238" t="str">
            <v>RHNS-SHSTG-CHPNGA</v>
          </cell>
          <cell r="C238" t="str">
            <v>VAR_fin</v>
          </cell>
          <cell r="D238" t="str">
            <v>RHNS_LTH_CHPNGA</v>
          </cell>
          <cell r="E238">
            <v>2.7689456113065532E-5</v>
          </cell>
          <cell r="F238">
            <v>3.2266371624923386E-5</v>
          </cell>
          <cell r="G238">
            <v>5.1635036252688682E-4</v>
          </cell>
          <cell r="H238">
            <v>1.0823011665993868E-3</v>
          </cell>
          <cell r="I238">
            <v>4.9563582471915085E-4</v>
          </cell>
          <cell r="J238">
            <v>5.0721823514797589E-4</v>
          </cell>
          <cell r="K238">
            <v>6.5360936895959696E-5</v>
          </cell>
          <cell r="L238">
            <v>8.4904211360673483E-5</v>
          </cell>
          <cell r="M238">
            <v>5.1772804420249752E-4</v>
          </cell>
          <cell r="N238">
            <v>1.427005418197218E-3</v>
          </cell>
          <cell r="O238">
            <v>1.1917909498965734E-3</v>
          </cell>
          <cell r="P238">
            <v>2.5932362386112983E-3</v>
          </cell>
        </row>
        <row r="239">
          <cell r="B239" t="str">
            <v>RHNS-SHSTG-CHPNGA</v>
          </cell>
          <cell r="C239" t="str">
            <v>VAR_fin</v>
          </cell>
          <cell r="D239" t="str">
            <v>AUX_RNS-CHPNGA_IN</v>
          </cell>
          <cell r="E239">
            <v>2.7689456113065532E-5</v>
          </cell>
          <cell r="F239">
            <v>3.2266371624923386E-5</v>
          </cell>
          <cell r="G239">
            <v>5.1635036252688682E-4</v>
          </cell>
          <cell r="H239">
            <v>1.0823011665993868E-3</v>
          </cell>
          <cell r="I239">
            <v>4.9563582471915085E-4</v>
          </cell>
          <cell r="J239">
            <v>5.0721823514797589E-4</v>
          </cell>
          <cell r="K239">
            <v>6.5360936895959696E-5</v>
          </cell>
          <cell r="L239">
            <v>8.4904211360673483E-5</v>
          </cell>
          <cell r="M239">
            <v>5.1772804420249752E-4</v>
          </cell>
          <cell r="N239">
            <v>1.427005418197218E-3</v>
          </cell>
          <cell r="O239">
            <v>1.1917909498965734E-3</v>
          </cell>
          <cell r="P239">
            <v>2.5932362386112983E-3</v>
          </cell>
        </row>
        <row r="240">
          <cell r="B240" t="str">
            <v>RHNS-SHSTG-CHPNGA</v>
          </cell>
          <cell r="C240" t="str">
            <v>VAR_ncap</v>
          </cell>
          <cell r="D240" t="str">
            <v>-</v>
          </cell>
          <cell r="E240">
            <v>4.91171249161514E-4</v>
          </cell>
          <cell r="F240">
            <v>1.38535776865304E-5</v>
          </cell>
          <cell r="G240">
            <v>1.1660400135322899E-5</v>
          </cell>
          <cell r="H240">
            <v>7.3794770136965598E-6</v>
          </cell>
          <cell r="I240">
            <v>4.0688473522340098E-4</v>
          </cell>
          <cell r="J240">
            <v>3.72449508579253E-5</v>
          </cell>
          <cell r="K240">
            <v>9.1298313988758905E-6</v>
          </cell>
          <cell r="L240">
            <v>5.4726964069082501E-4</v>
          </cell>
          <cell r="M240">
            <v>5.0166591581970701E-5</v>
          </cell>
          <cell r="N240">
            <v>5.6653885007723604E-4</v>
          </cell>
          <cell r="O240">
            <v>1.9239687983775599E-4</v>
          </cell>
          <cell r="P240">
            <v>1.18824578370854E-3</v>
          </cell>
        </row>
        <row r="241">
          <cell r="B241" t="str">
            <v>RHNS-SHSTG-CHPNGA</v>
          </cell>
          <cell r="C241" t="str">
            <v>VAR_cap</v>
          </cell>
          <cell r="D241" t="str">
            <v>-</v>
          </cell>
          <cell r="E241">
            <v>4.91171249161514E-4</v>
          </cell>
          <cell r="F241">
            <v>5.0425800525964932E-4</v>
          </cell>
          <cell r="G241">
            <v>5.1341934344763219E-4</v>
          </cell>
          <cell r="H241">
            <v>5.1415140209832048E-4</v>
          </cell>
          <cell r="I241">
            <v>5.4916782544758684E-4</v>
          </cell>
          <cell r="J241">
            <v>4.4755542455562837E-4</v>
          </cell>
          <cell r="K241">
            <v>4.4392945163165137E-4</v>
          </cell>
          <cell r="L241">
            <v>5.8582025436424053E-4</v>
          </cell>
          <cell r="M241">
            <v>6.029894100702273E-4</v>
          </cell>
          <cell r="N241">
            <v>1.1548377285451258E-3</v>
          </cell>
          <cell r="O241">
            <v>8.7569586321603859E-4</v>
          </cell>
          <cell r="P241">
            <v>1.9382605272729361E-3</v>
          </cell>
        </row>
        <row r="242">
          <cell r="B242" t="str">
            <v>ITOT-CHPGFC</v>
          </cell>
          <cell r="C242" t="str">
            <v>VAR_fout</v>
          </cell>
          <cell r="D242" t="str">
            <v>ITOT_NKEV_GAS_ELC_CHP</v>
          </cell>
          <cell r="E242"/>
          <cell r="F242"/>
          <cell r="G242"/>
          <cell r="H242">
            <v>1.1849717550258535E-4</v>
          </cell>
          <cell r="I242">
            <v>1.9353851378985004E-4</v>
          </cell>
          <cell r="J242">
            <v>1.687021826227655E-3</v>
          </cell>
          <cell r="K242">
            <v>1.2041751960152572E-3</v>
          </cell>
          <cell r="L242">
            <v>3.9904772473828715E-4</v>
          </cell>
          <cell r="M242">
            <v>6.8768607489515113E-4</v>
          </cell>
          <cell r="N242">
            <v>3.810058724569653E-4</v>
          </cell>
          <cell r="O242">
            <v>3.9246518006148367E-4</v>
          </cell>
          <cell r="P242">
            <v>3.4732442532565955E-4</v>
          </cell>
        </row>
        <row r="243">
          <cell r="B243" t="str">
            <v>ITOT-CHPGFC</v>
          </cell>
          <cell r="C243" t="str">
            <v>VAR_fout</v>
          </cell>
          <cell r="D243" t="str">
            <v>ITOT_LTH_CHP</v>
          </cell>
          <cell r="E243"/>
          <cell r="F243"/>
          <cell r="G243"/>
          <cell r="H243">
            <v>5.9248587751292642E-5</v>
          </cell>
          <cell r="I243">
            <v>9.1886404482795721E-5</v>
          </cell>
          <cell r="J243">
            <v>7.5838595857940551E-4</v>
          </cell>
          <cell r="K243">
            <v>5.1361085939810613E-4</v>
          </cell>
          <cell r="L243">
            <v>1.6101925735053727E-4</v>
          </cell>
          <cell r="M243">
            <v>2.7748736355418419E-4</v>
          </cell>
          <cell r="N243">
            <v>1.5373921169316168E-4</v>
          </cell>
          <cell r="O243">
            <v>1.5836314283182678E-4</v>
          </cell>
          <cell r="P243">
            <v>1.4014845232438922E-4</v>
          </cell>
        </row>
        <row r="244">
          <cell r="B244" t="str">
            <v>ITOT-CHPGFC</v>
          </cell>
          <cell r="C244" t="str">
            <v>VAR_fout</v>
          </cell>
          <cell r="D244" t="str">
            <v>CO2_I</v>
          </cell>
          <cell r="E244"/>
          <cell r="F244"/>
          <cell r="G244"/>
          <cell r="H244">
            <v>1.2852385958357301E-2</v>
          </cell>
          <cell r="I244">
            <v>2.04987270943616E-2</v>
          </cell>
          <cell r="J244">
            <v>0.174583543117871</v>
          </cell>
          <cell r="K244">
            <v>0.12182149068208201</v>
          </cell>
          <cell r="L244">
            <v>3.9484722237262099E-2</v>
          </cell>
          <cell r="M244">
            <v>6.8044727410678102E-2</v>
          </cell>
          <cell r="N244">
            <v>3.7699528432583902E-2</v>
          </cell>
          <cell r="O244">
            <v>3.8833396763978401E-2</v>
          </cell>
          <cell r="P244">
            <v>3.4366837874328503E-2</v>
          </cell>
        </row>
        <row r="245">
          <cell r="B245" t="str">
            <v>ITOT-CHPGFC</v>
          </cell>
          <cell r="C245" t="str">
            <v>VAR_fin</v>
          </cell>
          <cell r="D245" t="str">
            <v>INGA</v>
          </cell>
          <cell r="E245"/>
          <cell r="F245"/>
          <cell r="G245"/>
          <cell r="H245">
            <v>2.2787918365881776E-4</v>
          </cell>
          <cell r="I245">
            <v>3.6345260805605603E-4</v>
          </cell>
          <cell r="J245">
            <v>3.0954528921608372E-3</v>
          </cell>
          <cell r="K245">
            <v>2.1599555085475464E-3</v>
          </cell>
          <cell r="L245">
            <v>7.0008372761103078E-4</v>
          </cell>
          <cell r="M245">
            <v>1.2064667980616686E-3</v>
          </cell>
          <cell r="N245">
            <v>6.6843135518765829E-4</v>
          </cell>
          <cell r="O245">
            <v>6.8853540361663739E-4</v>
          </cell>
          <cell r="P245">
            <v>6.0934109706256069E-4</v>
          </cell>
        </row>
        <row r="246">
          <cell r="B246" t="str">
            <v>ITOT-CHPGFC</v>
          </cell>
          <cell r="C246" t="str">
            <v>VAR_ncap</v>
          </cell>
          <cell r="D246" t="str">
            <v>-</v>
          </cell>
          <cell r="E246"/>
          <cell r="F246"/>
          <cell r="G246"/>
          <cell r="H246">
            <v>2.2319037342327399E-5</v>
          </cell>
          <cell r="I246">
            <v>1.9781035215116998E-5</v>
          </cell>
          <cell r="J246">
            <v>5.6685027860826199E-5</v>
          </cell>
          <cell r="K246">
            <v>1.31925132671394E-6</v>
          </cell>
          <cell r="L246">
            <v>2.8974175311352099E-5</v>
          </cell>
          <cell r="M246">
            <v>3.3503881321269701E-5</v>
          </cell>
          <cell r="N246">
            <v>2.41370493151624E-5</v>
          </cell>
          <cell r="O246">
            <v>1.9783023469675602E-5</v>
          </cell>
          <cell r="P246">
            <v>3.8564526169456799E-5</v>
          </cell>
        </row>
        <row r="247">
          <cell r="B247" t="str">
            <v>ITOT-CHPGFC</v>
          </cell>
          <cell r="C247" t="str">
            <v>VAR_cap</v>
          </cell>
          <cell r="D247" t="str">
            <v>-</v>
          </cell>
          <cell r="E247"/>
          <cell r="F247"/>
          <cell r="G247"/>
          <cell r="H247">
            <v>2.2319037342327399E-5</v>
          </cell>
          <cell r="I247">
            <v>4.2086687801299215E-5</v>
          </cell>
          <cell r="J247">
            <v>9.4488952440760599E-5</v>
          </cell>
          <cell r="K247">
            <v>7.7724261793455542E-5</v>
          </cell>
          <cell r="L247">
            <v>8.689486503351945E-5</v>
          </cell>
          <cell r="M247">
            <v>7.2241025880492494E-5</v>
          </cell>
          <cell r="N247">
            <v>8.6504252952552876E-5</v>
          </cell>
          <cell r="O247">
            <v>7.1801411390581376E-5</v>
          </cell>
          <cell r="P247">
            <v>8.2346603504927091E-5</v>
          </cell>
        </row>
        <row r="248">
          <cell r="B248" t="str">
            <v>ITOT-SWSTG-CHP</v>
          </cell>
          <cell r="C248" t="str">
            <v>VAR_fout</v>
          </cell>
          <cell r="D248" t="str">
            <v>ITOT_LTH_CHP</v>
          </cell>
          <cell r="E248">
            <v>1.311368855381373E-4</v>
          </cell>
          <cell r="F248">
            <v>6.7307415337084303E-5</v>
          </cell>
          <cell r="G248">
            <v>2.3314925818041871E-2</v>
          </cell>
          <cell r="H248">
            <v>4.7871865739766245E-4</v>
          </cell>
          <cell r="I248">
            <v>9.7870228587613253E-3</v>
          </cell>
          <cell r="J248">
            <v>0.15731034391805379</v>
          </cell>
          <cell r="K248">
            <v>0.18092503994030157</v>
          </cell>
          <cell r="L248">
            <v>0.22290926191705995</v>
          </cell>
          <cell r="M248">
            <v>0.12784690952462807</v>
          </cell>
          <cell r="N248">
            <v>5.912305598291924E-2</v>
          </cell>
          <cell r="O248">
            <v>8.592996407968205E-2</v>
          </cell>
          <cell r="P248">
            <v>0.42363797230428574</v>
          </cell>
        </row>
        <row r="249">
          <cell r="B249" t="str">
            <v>ITOT-SWSTG-CHP</v>
          </cell>
          <cell r="C249" t="str">
            <v>VAR_fout</v>
          </cell>
          <cell r="D249" t="str">
            <v>AUX_ITOT-CHP_OUT</v>
          </cell>
          <cell r="E249">
            <v>1.3113688553813705E-4</v>
          </cell>
          <cell r="F249">
            <v>6.7252445266878896E-5</v>
          </cell>
          <cell r="G249">
            <v>2.3285187392253531E-2</v>
          </cell>
          <cell r="H249">
            <v>4.7871865739766332E-4</v>
          </cell>
          <cell r="I249">
            <v>9.7761483889182779E-3</v>
          </cell>
          <cell r="J249">
            <v>0.1573103439180541</v>
          </cell>
          <cell r="K249">
            <v>0.18074835533098507</v>
          </cell>
          <cell r="L249">
            <v>0.22290926191705998</v>
          </cell>
          <cell r="M249">
            <v>0.12784690952462807</v>
          </cell>
          <cell r="N249">
            <v>5.9123055982919247E-2</v>
          </cell>
          <cell r="O249">
            <v>8.5929964079682064E-2</v>
          </cell>
          <cell r="P249">
            <v>0.42363797230428574</v>
          </cell>
        </row>
        <row r="250">
          <cell r="B250" t="str">
            <v>ITOT-SWSTG-CHP</v>
          </cell>
          <cell r="C250" t="str">
            <v>VAR_fin</v>
          </cell>
          <cell r="D250" t="str">
            <v>ITOT_LTH_CHP</v>
          </cell>
          <cell r="E250">
            <v>1.6492026136170535E-4</v>
          </cell>
          <cell r="F250">
            <v>8.1457409243390982E-5</v>
          </cell>
          <cell r="G250">
            <v>2.7757099934040845E-2</v>
          </cell>
          <cell r="H250">
            <v>5.5100523018863814E-4</v>
          </cell>
          <cell r="I250">
            <v>1.0875175653507832E-2</v>
          </cell>
          <cell r="J250">
            <v>0.16915150584036662</v>
          </cell>
          <cell r="K250">
            <v>0.18846400238128797</v>
          </cell>
          <cell r="L250">
            <v>0.22516139753887038</v>
          </cell>
          <cell r="M250">
            <v>0.12913866993102735</v>
          </cell>
          <cell r="N250">
            <v>5.9720830865793231E-2</v>
          </cell>
          <cell r="O250">
            <v>8.6798471002830946E-2</v>
          </cell>
          <cell r="P250">
            <v>0.42791867019529478</v>
          </cell>
        </row>
        <row r="251">
          <cell r="B251" t="str">
            <v>ITOT-SWSTG-CHP</v>
          </cell>
          <cell r="C251" t="str">
            <v>VAR_fin</v>
          </cell>
          <cell r="D251" t="str">
            <v>AUX_ITOT-CHP_IN</v>
          </cell>
          <cell r="E251">
            <v>1.6492026136170535E-4</v>
          </cell>
          <cell r="F251">
            <v>8.1457409243390982E-5</v>
          </cell>
          <cell r="G251">
            <v>2.7757099934040845E-2</v>
          </cell>
          <cell r="H251">
            <v>5.5100523018863814E-4</v>
          </cell>
          <cell r="I251">
            <v>1.0875175653507832E-2</v>
          </cell>
          <cell r="J251">
            <v>0.16915150584036662</v>
          </cell>
          <cell r="K251">
            <v>0.18846400238128797</v>
          </cell>
          <cell r="L251">
            <v>0.22516139753887038</v>
          </cell>
          <cell r="M251">
            <v>0.12913866993102735</v>
          </cell>
          <cell r="N251">
            <v>5.9720830865793231E-2</v>
          </cell>
          <cell r="O251">
            <v>8.6798471002830946E-2</v>
          </cell>
          <cell r="P251">
            <v>0.42791867019529478</v>
          </cell>
        </row>
        <row r="252">
          <cell r="B252" t="str">
            <v>ITOT-SWSTG-CHP</v>
          </cell>
          <cell r="C252" t="str">
            <v>VAR_ncap</v>
          </cell>
          <cell r="D252" t="str">
            <v>-</v>
          </cell>
          <cell r="E252">
            <v>8.5796274052578195E-4</v>
          </cell>
          <cell r="F252">
            <v>1.43201683036912E-5</v>
          </cell>
          <cell r="G252">
            <v>5.8625218930651003E-4</v>
          </cell>
          <cell r="H252">
            <v>3.2976713142222599E-6</v>
          </cell>
          <cell r="I252">
            <v>2.51703923740968E-3</v>
          </cell>
          <cell r="J252">
            <v>2.93504570660881E-2</v>
          </cell>
          <cell r="K252">
            <v>2.24050636024135E-2</v>
          </cell>
          <cell r="L252">
            <v>1.7031545121832999E-4</v>
          </cell>
          <cell r="M252">
            <v>1.5772365775271601E-3</v>
          </cell>
          <cell r="N252">
            <v>1.5406472362888401E-2</v>
          </cell>
          <cell r="O252">
            <v>1.1508161145403701E-2</v>
          </cell>
          <cell r="P252">
            <v>2.01189231146086E-4</v>
          </cell>
        </row>
        <row r="253">
          <cell r="B253" t="str">
            <v>ITOT-SWSTG-CHP</v>
          </cell>
          <cell r="C253" t="str">
            <v>VAR_cap</v>
          </cell>
          <cell r="D253" t="str">
            <v>-</v>
          </cell>
          <cell r="E253">
            <v>8.6857854928506194E-4</v>
          </cell>
          <cell r="F253">
            <v>8.8152876960369687E-4</v>
          </cell>
          <cell r="G253">
            <v>1.4656548841677102E-3</v>
          </cell>
          <cell r="H253">
            <v>1.0712172482196939E-3</v>
          </cell>
          <cell r="I253">
            <v>3.2238718317788269E-3</v>
          </cell>
          <cell r="J253">
            <v>3.1986739955993257E-2</v>
          </cell>
          <cell r="K253">
            <v>5.4267623714083883E-2</v>
          </cell>
          <cell r="L253">
            <v>5.1916431916830208E-2</v>
          </cell>
          <cell r="M253">
            <v>2.5681683131117579E-2</v>
          </cell>
          <cell r="N253">
            <v>1.7145084208028617E-2</v>
          </cell>
          <cell r="O253">
            <v>2.8009352282394616E-2</v>
          </cell>
          <cell r="P253">
            <v>2.7106393653116751E-2</v>
          </cell>
        </row>
        <row r="254">
          <cell r="B254" t="str">
            <v>D-ELFO</v>
          </cell>
          <cell r="C254" t="str">
            <v>VAR_fout</v>
          </cell>
          <cell r="D254" t="str">
            <v>CO2</v>
          </cell>
          <cell r="E254">
            <v>26.0905526069247</v>
          </cell>
          <cell r="F254">
            <v>16.343804003604799</v>
          </cell>
          <cell r="G254">
            <v>5.09696808189788</v>
          </cell>
          <cell r="H254">
            <v>4.8129319283852698</v>
          </cell>
          <cell r="I254">
            <v>7.1168279915187399E-2</v>
          </cell>
          <cell r="J254">
            <v>37.2289830468901</v>
          </cell>
          <cell r="K254">
            <v>37.307882081888202</v>
          </cell>
          <cell r="L254">
            <v>4.2402501669689899E-3</v>
          </cell>
          <cell r="M254">
            <v>0.16371454995881299</v>
          </cell>
          <cell r="N254">
            <v>0.17816406500454199</v>
          </cell>
          <cell r="O254">
            <v>0.100175697387894</v>
          </cell>
          <cell r="P254">
            <v>0.19806066945197401</v>
          </cell>
        </row>
        <row r="255">
          <cell r="B255" t="str">
            <v>D-ELFO</v>
          </cell>
          <cell r="C255" t="str">
            <v>VAR_fout</v>
          </cell>
          <cell r="D255" t="str">
            <v>ELFO</v>
          </cell>
          <cell r="E255">
            <v>0.34809782866456968</v>
          </cell>
          <cell r="F255">
            <v>0.21805757706581275</v>
          </cell>
          <cell r="G255">
            <v>6.8003294096973935E-2</v>
          </cell>
          <cell r="H255">
            <v>6.4213709039517688E-2</v>
          </cell>
          <cell r="I255">
            <v>9.4952085076549443E-4</v>
          </cell>
          <cell r="J255">
            <v>0.4967057753530667</v>
          </cell>
          <cell r="K255">
            <v>0.49775843924947127</v>
          </cell>
          <cell r="L255">
            <v>5.6573039994742349E-5</v>
          </cell>
          <cell r="M255">
            <v>2.1842649414154131E-3</v>
          </cell>
          <cell r="N255">
            <v>2.3770490839536288E-3</v>
          </cell>
          <cell r="O255">
            <v>1.3365352306271042E-3</v>
          </cell>
          <cell r="P255">
            <v>2.6425078080479099E-3</v>
          </cell>
        </row>
        <row r="256">
          <cell r="B256" t="str">
            <v>D-ELFO</v>
          </cell>
          <cell r="C256" t="str">
            <v>VAR_fin</v>
          </cell>
          <cell r="D256" t="str">
            <v>LFO</v>
          </cell>
          <cell r="E256">
            <v>0.3540102117628865</v>
          </cell>
          <cell r="F256">
            <v>0.22176124835284666</v>
          </cell>
          <cell r="G256">
            <v>6.9158318614625375E-2</v>
          </cell>
          <cell r="H256">
            <v>6.530436809206612E-2</v>
          </cell>
          <cell r="I256">
            <v>9.6564830278408995E-4</v>
          </cell>
          <cell r="J256">
            <v>0.50514223944219983</v>
          </cell>
          <cell r="K256">
            <v>0.50621278265791292</v>
          </cell>
          <cell r="L256">
            <v>5.7533923568100245E-5</v>
          </cell>
          <cell r="M256">
            <v>2.2213643142308466E-3</v>
          </cell>
          <cell r="N256">
            <v>2.4174228630195697E-3</v>
          </cell>
          <cell r="O256">
            <v>1.3592360568235203E-3</v>
          </cell>
          <cell r="P256">
            <v>2.6873903589141684E-3</v>
          </cell>
        </row>
        <row r="257">
          <cell r="B257" t="str">
            <v>EHYD-DAM00</v>
          </cell>
          <cell r="C257" t="str">
            <v>VAR_fout</v>
          </cell>
          <cell r="D257" t="str">
            <v>ELC</v>
          </cell>
          <cell r="E257">
            <v>66.745680071503884</v>
          </cell>
          <cell r="F257">
            <v>49.794150613325662</v>
          </cell>
          <cell r="G257">
            <v>68.736625517888868</v>
          </cell>
          <cell r="H257">
            <v>69.694332227225559</v>
          </cell>
          <cell r="I257">
            <v>70.577715562253289</v>
          </cell>
          <cell r="J257">
            <v>71.392303231244185</v>
          </cell>
          <cell r="K257">
            <v>71.398838380966779</v>
          </cell>
          <cell r="L257">
            <v>71.398662982332837</v>
          </cell>
          <cell r="M257">
            <v>71.398299954821226</v>
          </cell>
          <cell r="N257">
            <v>71.396534937465518</v>
          </cell>
          <cell r="O257">
            <v>71.400874153686019</v>
          </cell>
          <cell r="P257">
            <v>71.398835889353379</v>
          </cell>
        </row>
        <row r="258">
          <cell r="B258" t="str">
            <v>EHYD-DAM00</v>
          </cell>
          <cell r="C258" t="str">
            <v>VAR_fin</v>
          </cell>
          <cell r="D258" t="str">
            <v>HYDD</v>
          </cell>
          <cell r="E258">
            <v>66.745680071503884</v>
          </cell>
          <cell r="F258">
            <v>49.794150613325662</v>
          </cell>
          <cell r="G258">
            <v>68.736625517888868</v>
          </cell>
          <cell r="H258">
            <v>69.694332227225559</v>
          </cell>
          <cell r="I258">
            <v>70.577715562253289</v>
          </cell>
          <cell r="J258">
            <v>71.392303231244185</v>
          </cell>
          <cell r="K258">
            <v>71.398838380966779</v>
          </cell>
          <cell r="L258">
            <v>71.398662982332837</v>
          </cell>
          <cell r="M258">
            <v>71.398299954821226</v>
          </cell>
          <cell r="N258">
            <v>71.396534937465518</v>
          </cell>
          <cell r="O258">
            <v>71.400874153686019</v>
          </cell>
          <cell r="P258">
            <v>71.398835889353379</v>
          </cell>
        </row>
        <row r="259">
          <cell r="B259" t="str">
            <v>EHYD-DAM00</v>
          </cell>
          <cell r="C259" t="str">
            <v>VAR_cap</v>
          </cell>
          <cell r="D259" t="str">
            <v>-</v>
          </cell>
          <cell r="E259">
            <v>7.3394300010600002</v>
          </cell>
          <cell r="F259">
            <v>7.3394300010600002</v>
          </cell>
          <cell r="G259">
            <v>7.3394300010600002</v>
          </cell>
          <cell r="H259">
            <v>7.3394300010600002</v>
          </cell>
          <cell r="I259">
            <v>7.3394300010600002</v>
          </cell>
          <cell r="J259">
            <v>7.3394300010600002</v>
          </cell>
          <cell r="K259">
            <v>7.3394300010600002</v>
          </cell>
          <cell r="L259">
            <v>7.3394300010600002</v>
          </cell>
          <cell r="M259">
            <v>7.3394300010600002</v>
          </cell>
          <cell r="N259">
            <v>7.3394300010600002</v>
          </cell>
          <cell r="O259">
            <v>7.3394300010600002</v>
          </cell>
          <cell r="P259">
            <v>7.3394300010600002</v>
          </cell>
        </row>
        <row r="260">
          <cell r="B260" t="str">
            <v>RHES-SHSTG-CHPWOD</v>
          </cell>
          <cell r="C260" t="str">
            <v>VAR_fout</v>
          </cell>
          <cell r="D260" t="str">
            <v>AUX_RES-CHPWOD_OUT</v>
          </cell>
          <cell r="E260">
            <v>3.2961887046112099E-5</v>
          </cell>
          <cell r="F260">
            <v>2.6479560752727423E-5</v>
          </cell>
          <cell r="G260">
            <v>4.2137814986746336E-5</v>
          </cell>
          <cell r="H260">
            <v>1.8987675894669383E-4</v>
          </cell>
          <cell r="I260">
            <v>2.7143136437333693E-4</v>
          </cell>
          <cell r="J260">
            <v>6.5066831491230714E-4</v>
          </cell>
          <cell r="K260">
            <v>5.3364569906864218E-4</v>
          </cell>
          <cell r="L260">
            <v>6.4684591329174773E-4</v>
          </cell>
          <cell r="M260">
            <v>5.3992337477977502E-4</v>
          </cell>
          <cell r="N260">
            <v>7.7066227491983134E-4</v>
          </cell>
          <cell r="O260">
            <v>6.7381906939394294E-4</v>
          </cell>
          <cell r="P260">
            <v>1.6492756825662912E-3</v>
          </cell>
        </row>
        <row r="261">
          <cell r="B261" t="str">
            <v>RHES-SHSTG-CHPWOD</v>
          </cell>
          <cell r="C261" t="str">
            <v>VAR_fout</v>
          </cell>
          <cell r="D261" t="str">
            <v>RHES_LTH_CHPWOD</v>
          </cell>
          <cell r="E261">
            <v>3.2961887046112018E-5</v>
          </cell>
          <cell r="F261">
            <v>2.6497213793229194E-5</v>
          </cell>
          <cell r="G261">
            <v>4.218170854402412E-5</v>
          </cell>
          <cell r="H261">
            <v>1.8987675894669383E-4</v>
          </cell>
          <cell r="I261">
            <v>2.7168084173029701E-4</v>
          </cell>
          <cell r="J261">
            <v>6.5066831491230497E-4</v>
          </cell>
          <cell r="K261">
            <v>5.340816841168999E-4</v>
          </cell>
          <cell r="L261">
            <v>6.4684591329174708E-4</v>
          </cell>
          <cell r="M261">
            <v>5.3992337477977448E-4</v>
          </cell>
          <cell r="N261">
            <v>7.7066227491983069E-4</v>
          </cell>
          <cell r="O261">
            <v>6.7381906939394218E-4</v>
          </cell>
          <cell r="P261">
            <v>1.6492756825662893E-3</v>
          </cell>
        </row>
        <row r="262">
          <cell r="B262" t="str">
            <v>RHES-SHSTG-CHPWOD</v>
          </cell>
          <cell r="C262" t="str">
            <v>VAR_fin</v>
          </cell>
          <cell r="D262" t="str">
            <v>AUX_RES-CHPWOD_IN</v>
          </cell>
          <cell r="E262">
            <v>2.6147826542658232E-5</v>
          </cell>
          <cell r="F262">
            <v>1.2947691446853624E-5</v>
          </cell>
          <cell r="G262">
            <v>3.346564104276077E-5</v>
          </cell>
          <cell r="H262">
            <v>2.3722420668490218E-4</v>
          </cell>
          <cell r="I262">
            <v>3.2926701797567347E-4</v>
          </cell>
          <cell r="J262">
            <v>7.6554053705192669E-4</v>
          </cell>
          <cell r="K262">
            <v>6.1068122596476412E-4</v>
          </cell>
          <cell r="L262">
            <v>7.1936598209285086E-4</v>
          </cell>
          <cell r="M262">
            <v>5.9991486087198785E-4</v>
          </cell>
          <cell r="N262">
            <v>8.5694157634459364E-4</v>
          </cell>
          <cell r="O262">
            <v>7.4876609916350412E-4</v>
          </cell>
          <cell r="P262">
            <v>1.8333414272674656E-3</v>
          </cell>
        </row>
        <row r="263">
          <cell r="B263" t="str">
            <v>RHES-SHSTG-CHPWOD</v>
          </cell>
          <cell r="C263" t="str">
            <v>VAR_fin</v>
          </cell>
          <cell r="D263" t="str">
            <v>RHES_LTH_CHPWOD</v>
          </cell>
          <cell r="E263">
            <v>2.6147826542658232E-5</v>
          </cell>
          <cell r="F263">
            <v>1.2947691446853624E-5</v>
          </cell>
          <cell r="G263">
            <v>3.346564104276077E-5</v>
          </cell>
          <cell r="H263">
            <v>2.3722420668490218E-4</v>
          </cell>
          <cell r="I263">
            <v>3.2926701797567347E-4</v>
          </cell>
          <cell r="J263">
            <v>7.6554053705192669E-4</v>
          </cell>
          <cell r="K263">
            <v>6.1068122596476412E-4</v>
          </cell>
          <cell r="L263">
            <v>7.1936598209285086E-4</v>
          </cell>
          <cell r="M263">
            <v>5.9991486087198785E-4</v>
          </cell>
          <cell r="N263">
            <v>8.5694157634459364E-4</v>
          </cell>
          <cell r="O263">
            <v>7.4876609916350412E-4</v>
          </cell>
          <cell r="P263">
            <v>1.8333414272674656E-3</v>
          </cell>
        </row>
        <row r="264">
          <cell r="B264" t="str">
            <v>RHES-SHSTG-CHPWOD</v>
          </cell>
          <cell r="C264" t="str">
            <v>VAR_ncap</v>
          </cell>
          <cell r="D264" t="str">
            <v>-</v>
          </cell>
          <cell r="E264">
            <v>3.5806397048566198E-4</v>
          </cell>
          <cell r="F264">
            <v>8.3420005655847892E-6</v>
          </cell>
          <cell r="G264">
            <v>1.4793282119768301E-5</v>
          </cell>
          <cell r="H264">
            <v>1.26496205643206E-5</v>
          </cell>
          <cell r="I264">
            <v>4.0971031673074599E-4</v>
          </cell>
          <cell r="J264">
            <v>1.73071966918836E-4</v>
          </cell>
          <cell r="K264">
            <v>2.9415641785603101E-5</v>
          </cell>
          <cell r="L264">
            <v>6.6179257219739496E-4</v>
          </cell>
          <cell r="M264">
            <v>1.54215885744223E-5</v>
          </cell>
          <cell r="N264">
            <v>4.9286187099254104E-4</v>
          </cell>
          <cell r="O264">
            <v>2.6660296977219398E-4</v>
          </cell>
          <cell r="P264">
            <v>1.1883728243920701E-3</v>
          </cell>
        </row>
        <row r="265">
          <cell r="B265" t="str">
            <v>RHES-SHSTG-CHPWOD</v>
          </cell>
          <cell r="C265" t="str">
            <v>VAR_cap</v>
          </cell>
          <cell r="D265" t="str">
            <v>-</v>
          </cell>
          <cell r="E265">
            <v>3.5806397048566198E-4</v>
          </cell>
          <cell r="F265">
            <v>3.6547555693585771E-4</v>
          </cell>
          <cell r="G265">
            <v>3.7778889908481218E-4</v>
          </cell>
          <cell r="H265">
            <v>3.8629741550498444E-4</v>
          </cell>
          <cell r="I265">
            <v>5.2442728545436181E-4</v>
          </cell>
          <cell r="J265">
            <v>5.896276141795821E-4</v>
          </cell>
          <cell r="K265">
            <v>6.0629514894811412E-4</v>
          </cell>
          <cell r="L265">
            <v>8.5796224053734317E-4</v>
          </cell>
          <cell r="M265">
            <v>7.1570021183162472E-4</v>
          </cell>
          <cell r="N265">
            <v>1.1608066470216668E-3</v>
          </cell>
          <cell r="O265">
            <v>8.7415064176286363E-4</v>
          </cell>
          <cell r="P265">
            <v>1.939048883731542E-3</v>
          </cell>
        </row>
        <row r="266">
          <cell r="B266" t="str">
            <v>ENUC_GOE_EXT</v>
          </cell>
          <cell r="C266" t="str">
            <v>VAR_fout</v>
          </cell>
          <cell r="D266" t="str">
            <v>ELC</v>
          </cell>
          <cell r="E266"/>
          <cell r="F266"/>
          <cell r="G266">
            <v>27.355929081472343</v>
          </cell>
          <cell r="H266">
            <v>28.985564268187609</v>
          </cell>
          <cell r="I266">
            <v>29.462232499944374</v>
          </cell>
          <cell r="J266"/>
          <cell r="K266"/>
          <cell r="L266"/>
        </row>
        <row r="267">
          <cell r="B267" t="str">
            <v>ENUC_GOE_EXT</v>
          </cell>
          <cell r="C267" t="str">
            <v>VAR_fin</v>
          </cell>
          <cell r="D267" t="str">
            <v>URN</v>
          </cell>
          <cell r="E267"/>
          <cell r="F267"/>
          <cell r="G267">
            <v>82.501912634292808</v>
          </cell>
          <cell r="H267">
            <v>87.416679718230355</v>
          </cell>
          <cell r="I267">
            <v>88.854248908252018</v>
          </cell>
          <cell r="J267"/>
          <cell r="K267"/>
          <cell r="L267"/>
        </row>
        <row r="268">
          <cell r="B268" t="str">
            <v>ENUC_GOE_EXT</v>
          </cell>
          <cell r="C268" t="str">
            <v>VAR_ncap</v>
          </cell>
          <cell r="D268" t="str">
            <v>-</v>
          </cell>
          <cell r="E268"/>
          <cell r="F268"/>
          <cell r="G268">
            <v>1.0099030616589999</v>
          </cell>
          <cell r="H268"/>
          <cell r="I268"/>
          <cell r="J268"/>
          <cell r="K268"/>
          <cell r="L268"/>
        </row>
        <row r="269">
          <cell r="B269" t="str">
            <v>ENUC_GOE_EXT</v>
          </cell>
          <cell r="C269" t="str">
            <v>VAR_cap</v>
          </cell>
          <cell r="D269" t="str">
            <v>-</v>
          </cell>
          <cell r="E269"/>
          <cell r="F269"/>
          <cell r="G269">
            <v>1.0099030616589999</v>
          </cell>
          <cell r="H269">
            <v>1.0099030462545036</v>
          </cell>
          <cell r="I269">
            <v>1.0099030305116243</v>
          </cell>
          <cell r="J269"/>
          <cell r="K269"/>
          <cell r="L269"/>
        </row>
        <row r="270">
          <cell r="B270" t="str">
            <v>ESOL-PV_A</v>
          </cell>
          <cell r="C270" t="str">
            <v>VAR_fout</v>
          </cell>
          <cell r="D270" t="str">
            <v>ELC35</v>
          </cell>
          <cell r="E270"/>
          <cell r="F270"/>
          <cell r="G270"/>
          <cell r="H270">
            <v>0.34128000255216284</v>
          </cell>
          <cell r="I270">
            <v>1.2719935747804814</v>
          </cell>
          <cell r="J270">
            <v>1.2719970764465036</v>
          </cell>
          <cell r="K270">
            <v>3.1772492590938262</v>
          </cell>
          <cell r="L270">
            <v>5.4928334544171351</v>
          </cell>
          <cell r="M270">
            <v>5.1516411129910509</v>
          </cell>
          <cell r="N270">
            <v>4.2209971051692046</v>
          </cell>
          <cell r="O270">
            <v>3.9900333796446152</v>
          </cell>
          <cell r="P270">
            <v>2.7455950334855728</v>
          </cell>
        </row>
        <row r="271">
          <cell r="B271" t="str">
            <v>ESOL-PV_A</v>
          </cell>
          <cell r="C271" t="str">
            <v>VAR_fin</v>
          </cell>
          <cell r="D271" t="str">
            <v>SOL</v>
          </cell>
          <cell r="E271"/>
          <cell r="F271"/>
          <cell r="G271"/>
          <cell r="H271">
            <v>0.34128000255216284</v>
          </cell>
          <cell r="I271">
            <v>1.2719935747804814</v>
          </cell>
          <cell r="J271">
            <v>1.2719970764465036</v>
          </cell>
          <cell r="K271">
            <v>3.1772492590938262</v>
          </cell>
          <cell r="L271">
            <v>5.4928334544171351</v>
          </cell>
          <cell r="M271">
            <v>5.1516411129910509</v>
          </cell>
          <cell r="N271">
            <v>4.2209971051692046</v>
          </cell>
          <cell r="O271">
            <v>3.9900333796446152</v>
          </cell>
          <cell r="P271">
            <v>2.7455950334855728</v>
          </cell>
        </row>
        <row r="272">
          <cell r="B272" t="str">
            <v>ESOL-PV_A</v>
          </cell>
          <cell r="C272" t="str">
            <v>VAR_fin</v>
          </cell>
          <cell r="D272" t="str">
            <v>SOLPVC</v>
          </cell>
          <cell r="E272"/>
          <cell r="F272"/>
          <cell r="G272"/>
          <cell r="H272">
            <v>0.34128000255216301</v>
          </cell>
          <cell r="I272">
            <v>1.27199357478048</v>
          </cell>
          <cell r="J272">
            <v>1.2719970764465001</v>
          </cell>
          <cell r="K272">
            <v>3.1772492590938302</v>
          </cell>
          <cell r="L272">
            <v>5.4928334544171404</v>
          </cell>
          <cell r="M272">
            <v>5.1516411129910598</v>
          </cell>
          <cell r="N272">
            <v>4.2209971051692099</v>
          </cell>
          <cell r="O272">
            <v>3.9900333796446201</v>
          </cell>
          <cell r="P272">
            <v>2.7455950334855701</v>
          </cell>
        </row>
        <row r="273">
          <cell r="B273" t="str">
            <v>ESOL-PV_A</v>
          </cell>
          <cell r="C273" t="str">
            <v>VAR_ncap</v>
          </cell>
          <cell r="D273" t="str">
            <v>-</v>
          </cell>
          <cell r="E273"/>
          <cell r="F273"/>
          <cell r="G273"/>
          <cell r="H273">
            <v>0.18449521936941199</v>
          </cell>
          <cell r="I273">
            <v>6.41547108919325E-7</v>
          </cell>
          <cell r="J273">
            <v>0.214007378033853</v>
          </cell>
          <cell r="K273">
            <v>0.39820015663192299</v>
          </cell>
          <cell r="L273">
            <v>1.5510935179207099E-5</v>
          </cell>
          <cell r="M273">
            <v>7.3982343121021697E-6</v>
          </cell>
          <cell r="N273">
            <v>3.0918698916998001E-6</v>
          </cell>
          <cell r="O273">
            <v>6.9335385080626704E-6</v>
          </cell>
        </row>
        <row r="274">
          <cell r="B274" t="str">
            <v>ESOL-PV_A</v>
          </cell>
          <cell r="C274" t="str">
            <v>VAR_cap</v>
          </cell>
          <cell r="D274" t="str">
            <v>-</v>
          </cell>
          <cell r="E274"/>
          <cell r="F274"/>
          <cell r="G274"/>
          <cell r="H274">
            <v>4.9500665872562501E-2</v>
          </cell>
          <cell r="I274">
            <v>0.18449521936941199</v>
          </cell>
          <cell r="J274">
            <v>0.184495726193593</v>
          </cell>
          <cell r="K274">
            <v>0.46084146142860899</v>
          </cell>
          <cell r="L274">
            <v>0.79670339558229697</v>
          </cell>
          <cell r="M274">
            <v>0.74721551710801404</v>
          </cell>
          <cell r="N274">
            <v>0.61223108538237603</v>
          </cell>
          <cell r="O274">
            <v>0.57873133858539705</v>
          </cell>
          <cell r="P274">
            <v>0.39823309120981398</v>
          </cell>
        </row>
        <row r="275">
          <cell r="B275" t="str">
            <v>G-INTC-IND</v>
          </cell>
          <cell r="C275" t="str">
            <v>VAR_fout</v>
          </cell>
          <cell r="D275" t="str">
            <v>ELC35</v>
          </cell>
          <cell r="E275">
            <v>1.2440384966759127E-3</v>
          </cell>
          <cell r="F275">
            <v>4.5748354866889825E-4</v>
          </cell>
          <cell r="G275">
            <v>5.0811764633423081E-4</v>
          </cell>
          <cell r="H275">
            <v>2.065069767227992E-4</v>
          </cell>
          <cell r="I275">
            <v>5.4311581668970267E-4</v>
          </cell>
          <cell r="J275">
            <v>3.7590139615414458E-4</v>
          </cell>
          <cell r="K275">
            <v>4.953640755428506E-4</v>
          </cell>
          <cell r="L275">
            <v>8.7533647087711431E-4</v>
          </cell>
          <cell r="M275">
            <v>5.7945928776428988E-4</v>
          </cell>
          <cell r="N275">
            <v>1.1839672952580268E-3</v>
          </cell>
          <cell r="O275">
            <v>9.0079666416784294E-4</v>
          </cell>
          <cell r="P275">
            <v>2.0034020588112567E-3</v>
          </cell>
        </row>
        <row r="276">
          <cell r="B276" t="str">
            <v>G-INTC-IND</v>
          </cell>
          <cell r="C276" t="str">
            <v>VAR_fout</v>
          </cell>
          <cell r="D276" t="str">
            <v>ITOT_ELC</v>
          </cell>
          <cell r="E276">
            <v>55.814982705714954</v>
          </cell>
          <cell r="F276">
            <v>57.129867139176447</v>
          </cell>
          <cell r="G276">
            <v>52.935839594608794</v>
          </cell>
          <cell r="H276">
            <v>53.609266626759648</v>
          </cell>
          <cell r="I276">
            <v>54.66389607167519</v>
          </cell>
          <cell r="J276">
            <v>43.143235242850537</v>
          </cell>
          <cell r="K276">
            <v>53.42013866453653</v>
          </cell>
          <cell r="L276">
            <v>42.252629481413265</v>
          </cell>
          <cell r="M276">
            <v>52.908024234528256</v>
          </cell>
          <cell r="N276">
            <v>45.184395668622628</v>
          </cell>
          <cell r="O276">
            <v>40.678292686998745</v>
          </cell>
          <cell r="P276">
            <v>40.067758161850236</v>
          </cell>
        </row>
        <row r="277">
          <cell r="B277" t="str">
            <v>G-INTC-IND</v>
          </cell>
          <cell r="C277" t="str">
            <v>VAR_fout</v>
          </cell>
          <cell r="D277" t="str">
            <v>ELC13</v>
          </cell>
          <cell r="E277">
            <v>1.1715749437447283E-3</v>
          </cell>
          <cell r="F277">
            <v>3.2432098174693468E-4</v>
          </cell>
          <cell r="G277">
            <v>3.8440514765257006E-4</v>
          </cell>
          <cell r="H277">
            <v>1.5723257739855647E-4</v>
          </cell>
          <cell r="I277">
            <v>3.8779110336209022E-4</v>
          </cell>
          <cell r="J277">
            <v>2.869526665601468E-4</v>
          </cell>
          <cell r="K277">
            <v>3.6408286558315583E-4</v>
          </cell>
          <cell r="L277">
            <v>6.8123537031402454E-4</v>
          </cell>
          <cell r="M277">
            <v>4.288580197995445E-4</v>
          </cell>
          <cell r="N277">
            <v>8.6505276522672167E-4</v>
          </cell>
          <cell r="O277">
            <v>6.6870328803831291E-4</v>
          </cell>
          <cell r="P277">
            <v>1.5073399335139867E-3</v>
          </cell>
        </row>
        <row r="278">
          <cell r="B278" t="str">
            <v>G-INTC-IND</v>
          </cell>
          <cell r="C278" t="str">
            <v>VAR_fin</v>
          </cell>
          <cell r="D278" t="str">
            <v>ELC3</v>
          </cell>
          <cell r="E278">
            <v>25.748917694049322</v>
          </cell>
          <cell r="F278">
            <v>57.129599548389635</v>
          </cell>
          <cell r="G278">
            <v>52.935210260137744</v>
          </cell>
          <cell r="H278">
            <v>24.561672453411532</v>
          </cell>
          <cell r="I278">
            <v>54.663679987515124</v>
          </cell>
          <cell r="J278">
            <v>19.5958342883456</v>
          </cell>
          <cell r="K278">
            <v>53.399772764210248</v>
          </cell>
          <cell r="L278">
            <v>19.068201357479204</v>
          </cell>
          <cell r="M278">
            <v>52.898913497639811</v>
          </cell>
          <cell r="N278">
            <v>45.180522565458347</v>
          </cell>
          <cell r="O278">
            <v>40.673012224040257</v>
          </cell>
          <cell r="P278">
            <v>40.058425755903912</v>
          </cell>
        </row>
        <row r="279">
          <cell r="B279" t="str">
            <v>G-INTC-IND</v>
          </cell>
          <cell r="C279" t="str">
            <v>VAR_fin</v>
          </cell>
          <cell r="D279" t="str">
            <v>ELC5</v>
          </cell>
          <cell r="E279">
            <v>30.068478249387233</v>
          </cell>
          <cell r="F279">
            <v>1.047705599154423E-3</v>
          </cell>
          <cell r="G279">
            <v>1.5201248336506987E-3</v>
          </cell>
          <cell r="H279">
            <v>29.047955560368607</v>
          </cell>
          <cell r="I279">
            <v>1.1443053507614979E-3</v>
          </cell>
          <cell r="J279">
            <v>23.548063808567626</v>
          </cell>
          <cell r="K279">
            <v>2.1216770224568561E-2</v>
          </cell>
          <cell r="L279">
            <v>23.185984695775279</v>
          </cell>
          <cell r="M279">
            <v>1.0114302368657766E-2</v>
          </cell>
          <cell r="N279">
            <v>5.9108185304985548E-3</v>
          </cell>
          <cell r="O279">
            <v>6.8445686966673251E-3</v>
          </cell>
          <cell r="P279">
            <v>1.283738461863446E-2</v>
          </cell>
        </row>
        <row r="280">
          <cell r="B280" t="str">
            <v>G-INTC-IND</v>
          </cell>
          <cell r="C280" t="str">
            <v>VAR_ncap</v>
          </cell>
          <cell r="D280" t="str">
            <v>-</v>
          </cell>
          <cell r="E280">
            <v>1.0340052711478399E-7</v>
          </cell>
          <cell r="F280">
            <v>1.0756221238883201E-7</v>
          </cell>
          <cell r="G280">
            <v>9.37378802052325E-8</v>
          </cell>
          <cell r="H280">
            <v>1.1940029909199E-7</v>
          </cell>
          <cell r="I280">
            <v>1.8275184591654401E-7</v>
          </cell>
          <cell r="J280">
            <v>2.2107309089746099E-7</v>
          </cell>
          <cell r="K280">
            <v>2.8567042350233399E-7</v>
          </cell>
          <cell r="L280">
            <v>4.04282598761599E-7</v>
          </cell>
          <cell r="M280">
            <v>5.0135692828831404E-7</v>
          </cell>
          <cell r="N280">
            <v>9.5328964015470596E-7</v>
          </cell>
          <cell r="O280">
            <v>1.70294888933278E-6</v>
          </cell>
        </row>
        <row r="281">
          <cell r="B281" t="str">
            <v>G-INTC-IND</v>
          </cell>
          <cell r="C281" t="str">
            <v>VAR_cap</v>
          </cell>
          <cell r="D281" t="str">
            <v>-</v>
          </cell>
          <cell r="E281">
            <v>4.4927373631622096</v>
          </cell>
          <cell r="F281">
            <v>4.492737396781564</v>
          </cell>
          <cell r="G281">
            <v>4.4927375741249493</v>
          </cell>
          <cell r="H281">
            <v>4.4927377335556011</v>
          </cell>
          <cell r="I281">
            <v>4.4927378312730397</v>
          </cell>
          <cell r="J281">
            <v>4.4927380551833584</v>
          </cell>
          <cell r="K281">
            <v>4.4927383286352329</v>
          </cell>
          <cell r="L281">
            <v>4.4927384767584888</v>
          </cell>
          <cell r="M281">
            <v>4.4927391568823252</v>
          </cell>
          <cell r="N281">
            <v>4.4927396119672016</v>
          </cell>
          <cell r="O281">
            <v>4.4927411556388206</v>
          </cell>
          <cell r="P281">
            <v>4.4927420386365453</v>
          </cell>
        </row>
        <row r="282">
          <cell r="B282" t="str">
            <v>D-IH2R</v>
          </cell>
          <cell r="C282" t="str">
            <v>VAR_fout</v>
          </cell>
          <cell r="D282" t="str">
            <v>IH2</v>
          </cell>
          <cell r="E282"/>
          <cell r="F282"/>
          <cell r="G282"/>
          <cell r="H282">
            <v>5.6489882804796026E-4</v>
          </cell>
          <cell r="I282">
            <v>8.877009226379263</v>
          </cell>
          <cell r="J282">
            <v>10.179043720325721</v>
          </cell>
          <cell r="K282">
            <v>4.4342893903875389</v>
          </cell>
          <cell r="L282">
            <v>4.4342796343267175</v>
          </cell>
          <cell r="M282">
            <v>0.95481888843133189</v>
          </cell>
          <cell r="N282">
            <v>0.23154596873035857</v>
          </cell>
          <cell r="O282">
            <v>0.13802807875572243</v>
          </cell>
          <cell r="P282">
            <v>0.22892987090650993</v>
          </cell>
        </row>
        <row r="283">
          <cell r="B283" t="str">
            <v>D-IH2R</v>
          </cell>
          <cell r="C283" t="str">
            <v>VAR_fin</v>
          </cell>
          <cell r="D283" t="str">
            <v>H2</v>
          </cell>
          <cell r="E283"/>
          <cell r="F283"/>
          <cell r="G283"/>
          <cell r="H283">
            <v>5.6489882804796026E-4</v>
          </cell>
          <cell r="I283">
            <v>8.877009226379263</v>
          </cell>
          <cell r="J283">
            <v>10.179043720325721</v>
          </cell>
          <cell r="K283">
            <v>4.4342893903875389</v>
          </cell>
          <cell r="L283">
            <v>4.4342796343267175</v>
          </cell>
          <cell r="M283">
            <v>0.95481888843133189</v>
          </cell>
          <cell r="N283">
            <v>0.23154596873035857</v>
          </cell>
          <cell r="O283">
            <v>0.13802807875572243</v>
          </cell>
          <cell r="P283">
            <v>0.22892987090650993</v>
          </cell>
        </row>
        <row r="284">
          <cell r="B284" t="str">
            <v>D-IH2R</v>
          </cell>
          <cell r="C284" t="str">
            <v>VAR_ncap</v>
          </cell>
          <cell r="D284" t="str">
            <v>-</v>
          </cell>
          <cell r="E284"/>
          <cell r="F284"/>
          <cell r="G284"/>
          <cell r="H284">
            <v>6.1644131416883297E-5</v>
          </cell>
          <cell r="I284">
            <v>0.36139266574600598</v>
          </cell>
          <cell r="J284">
            <v>0.28274824624080303</v>
          </cell>
          <cell r="K284">
            <v>0.15623402062738201</v>
          </cell>
          <cell r="L284">
            <v>5.4938208465174897E-7</v>
          </cell>
          <cell r="M284">
            <v>9.6358903098304107E-3</v>
          </cell>
          <cell r="N284">
            <v>8.4404009285821602E-4</v>
          </cell>
          <cell r="O284">
            <v>4.7144901719423302E-3</v>
          </cell>
          <cell r="P284">
            <v>3.3539739974198799E-3</v>
          </cell>
        </row>
        <row r="285">
          <cell r="B285" t="str">
            <v>D-IH2R</v>
          </cell>
          <cell r="C285" t="str">
            <v>VAR_cap</v>
          </cell>
          <cell r="D285" t="str">
            <v>-</v>
          </cell>
          <cell r="E285"/>
          <cell r="F285"/>
          <cell r="G285"/>
          <cell r="H285">
            <v>6.1644131416883297E-5</v>
          </cell>
          <cell r="I285">
            <v>0.36143946486863299</v>
          </cell>
          <cell r="J285">
            <v>0.35863959941470602</v>
          </cell>
          <cell r="K285">
            <v>0.15623402062738201</v>
          </cell>
          <cell r="L285">
            <v>0.156234570009467</v>
          </cell>
          <cell r="M285">
            <v>3.3642051457058501E-2</v>
          </cell>
          <cell r="N285">
            <v>8.1594357657597399E-3</v>
          </cell>
          <cell r="O285">
            <v>4.86398817649883E-3</v>
          </cell>
          <cell r="P285">
            <v>8.0684641693622092E-3</v>
          </cell>
        </row>
        <row r="286">
          <cell r="B286" t="str">
            <v>ESOL-PV_E</v>
          </cell>
          <cell r="C286" t="str">
            <v>VAR_fout</v>
          </cell>
          <cell r="D286" t="str">
            <v>CELC_E</v>
          </cell>
          <cell r="E286"/>
          <cell r="F286"/>
          <cell r="G286"/>
          <cell r="H286">
            <v>8.8045381176019262E-7</v>
          </cell>
          <cell r="I286">
            <v>1.540879253571886E-4</v>
          </cell>
          <cell r="J286">
            <v>5.4018555450012159E-4</v>
          </cell>
          <cell r="K286">
            <v>7.3857207568642279E-4</v>
          </cell>
          <cell r="L286">
            <v>7.4686780735219792E-4</v>
          </cell>
          <cell r="M286">
            <v>7.4824569459286958E-4</v>
          </cell>
          <cell r="N286">
            <v>7.5680673793679777E-4</v>
          </cell>
          <cell r="O286">
            <v>5.8334334757819772E-4</v>
          </cell>
          <cell r="P286">
            <v>7.4952964843301472E-4</v>
          </cell>
        </row>
        <row r="287">
          <cell r="B287" t="str">
            <v>ESOL-PV_E</v>
          </cell>
          <cell r="C287" t="str">
            <v>VAR_fin</v>
          </cell>
          <cell r="D287" t="str">
            <v>SOL</v>
          </cell>
          <cell r="E287"/>
          <cell r="F287"/>
          <cell r="G287"/>
          <cell r="H287">
            <v>8.8045381176019262E-7</v>
          </cell>
          <cell r="I287">
            <v>1.540879253571886E-4</v>
          </cell>
          <cell r="J287">
            <v>5.4018555450012159E-4</v>
          </cell>
          <cell r="K287">
            <v>7.3857207568642279E-4</v>
          </cell>
          <cell r="L287">
            <v>7.4686780735219792E-4</v>
          </cell>
          <cell r="M287">
            <v>7.4824569459286958E-4</v>
          </cell>
          <cell r="N287">
            <v>7.5680673793679777E-4</v>
          </cell>
          <cell r="O287">
            <v>5.8334334757819772E-4</v>
          </cell>
          <cell r="P287">
            <v>7.4952964843301472E-4</v>
          </cell>
        </row>
        <row r="288">
          <cell r="B288" t="str">
            <v>ESOL-PV_E</v>
          </cell>
          <cell r="C288" t="str">
            <v>VAR_fin</v>
          </cell>
          <cell r="D288" t="str">
            <v>SOLPVC</v>
          </cell>
          <cell r="E288"/>
          <cell r="F288"/>
          <cell r="G288"/>
          <cell r="H288">
            <v>8.8045381176019199E-7</v>
          </cell>
          <cell r="I288">
            <v>1.54087925357189E-4</v>
          </cell>
          <cell r="J288">
            <v>5.4018555450012203E-4</v>
          </cell>
          <cell r="K288">
            <v>7.3857207568642203E-4</v>
          </cell>
          <cell r="L288">
            <v>7.4686780735219705E-4</v>
          </cell>
          <cell r="M288">
            <v>7.4824569459286904E-4</v>
          </cell>
          <cell r="N288">
            <v>7.5680673793679799E-4</v>
          </cell>
          <cell r="O288">
            <v>5.8334334757819805E-4</v>
          </cell>
          <cell r="P288">
            <v>7.4952964843301396E-4</v>
          </cell>
        </row>
        <row r="289">
          <cell r="B289" t="str">
            <v>ESOL-PV_E</v>
          </cell>
          <cell r="C289" t="str">
            <v>VAR_ncap</v>
          </cell>
          <cell r="D289" t="str">
            <v>-</v>
          </cell>
          <cell r="E289"/>
          <cell r="F289"/>
          <cell r="G289"/>
          <cell r="H289">
            <v>3.9199785577045902E-7</v>
          </cell>
          <cell r="I289">
            <v>4.4038103497880602E-5</v>
          </cell>
          <cell r="J289">
            <v>1.11345730716332E-4</v>
          </cell>
          <cell r="K289">
            <v>5.7614093759642399E-5</v>
          </cell>
          <cell r="L289">
            <v>2.54354158391195E-6</v>
          </cell>
          <cell r="M289">
            <v>1.00547103104229E-6</v>
          </cell>
          <cell r="N289">
            <v>2.77565337107773E-6</v>
          </cell>
          <cell r="O289">
            <v>3.6669122726560199E-6</v>
          </cell>
          <cell r="P289">
            <v>1.4960595279432001E-4</v>
          </cell>
        </row>
        <row r="290">
          <cell r="B290" t="str">
            <v>ESOL-PV_E</v>
          </cell>
          <cell r="C290" t="str">
            <v>VAR_cap</v>
          </cell>
          <cell r="D290" t="str">
            <v>-</v>
          </cell>
          <cell r="E290"/>
          <cell r="F290"/>
          <cell r="G290"/>
          <cell r="H290">
            <v>3.9199785577045902E-7</v>
          </cell>
          <cell r="I290">
            <v>4.4430101353650997E-5</v>
          </cell>
          <cell r="J290">
            <v>1.5577583206998299E-4</v>
          </cell>
          <cell r="K290">
            <v>2.1338992582962599E-4</v>
          </cell>
          <cell r="L290">
            <v>2.1593346741353799E-4</v>
          </cell>
          <cell r="M290">
            <v>2.1683376414820699E-4</v>
          </cell>
          <cell r="N290">
            <v>2.1932259395988701E-4</v>
          </cell>
          <cell r="O290">
            <v>1.6932034554668701E-4</v>
          </cell>
          <cell r="P290">
            <v>2.1721162481265E-4</v>
          </cell>
        </row>
        <row r="291">
          <cell r="B291" t="str">
            <v>EWSTINC</v>
          </cell>
          <cell r="C291" t="str">
            <v>VAR_fout</v>
          </cell>
          <cell r="D291" t="str">
            <v>ELC35</v>
          </cell>
          <cell r="E291">
            <v>6.5070002135127227</v>
          </cell>
          <cell r="F291">
            <v>7.3027683677575075</v>
          </cell>
          <cell r="G291">
            <v>7.4208710058210485</v>
          </cell>
          <cell r="H291">
            <v>7.3981384815112312</v>
          </cell>
          <cell r="I291">
            <v>7.4918604507015676</v>
          </cell>
          <cell r="J291">
            <v>5.435475804058</v>
          </cell>
          <cell r="K291">
            <v>4.4767093206756741</v>
          </cell>
          <cell r="L291">
            <v>4.6534315372815422</v>
          </cell>
          <cell r="M291">
            <v>4.6534303743209433</v>
          </cell>
          <cell r="N291">
            <v>4.6534308982046886</v>
          </cell>
          <cell r="O291">
            <v>4.653430410724023</v>
          </cell>
          <cell r="P291">
            <v>4.6534306273710868</v>
          </cell>
        </row>
        <row r="292">
          <cell r="B292" t="str">
            <v>EWSTINC</v>
          </cell>
          <cell r="C292" t="str">
            <v>VAR_fout</v>
          </cell>
          <cell r="D292" t="str">
            <v>CO2_E</v>
          </cell>
          <cell r="E292">
            <v>1689.29325185021</v>
          </cell>
          <cell r="F292">
            <v>1895.8839586111201</v>
          </cell>
          <cell r="G292">
            <v>1926.5447827943101</v>
          </cell>
          <cell r="H292">
            <v>1920.6431539862499</v>
          </cell>
          <cell r="I292">
            <v>1944.97447178375</v>
          </cell>
          <cell r="J292">
            <v>1411.11300063004</v>
          </cell>
          <cell r="K292">
            <v>1162.20602393831</v>
          </cell>
          <cell r="L292">
            <v>1208.08517533965</v>
          </cell>
          <cell r="M292">
            <v>1208.0848734215001</v>
          </cell>
          <cell r="N292">
            <v>1208.0850094278301</v>
          </cell>
          <cell r="O292">
            <v>1208.0848828721601</v>
          </cell>
          <cell r="P292">
            <v>1208.0849391162701</v>
          </cell>
        </row>
        <row r="293">
          <cell r="B293" t="str">
            <v>EWSTINC</v>
          </cell>
          <cell r="C293" t="str">
            <v>VAR_fin</v>
          </cell>
          <cell r="D293" t="str">
            <v>EWST</v>
          </cell>
          <cell r="E293">
            <v>18.203591075972078</v>
          </cell>
          <cell r="F293">
            <v>20.429784036757798</v>
          </cell>
          <cell r="G293">
            <v>20.760180849076569</v>
          </cell>
          <cell r="H293">
            <v>20.696585711058717</v>
          </cell>
          <cell r="I293">
            <v>20.958776635600721</v>
          </cell>
          <cell r="J293">
            <v>15.205959058513395</v>
          </cell>
          <cell r="K293">
            <v>12.523771809680056</v>
          </cell>
          <cell r="L293">
            <v>13.018159217022086</v>
          </cell>
          <cell r="M293">
            <v>13.018155963593705</v>
          </cell>
          <cell r="N293">
            <v>13.018157429179237</v>
          </cell>
          <cell r="O293">
            <v>13.018156065432743</v>
          </cell>
          <cell r="P293">
            <v>13.01815667151152</v>
          </cell>
        </row>
        <row r="294">
          <cell r="B294" t="str">
            <v>EWSTINC</v>
          </cell>
          <cell r="C294" t="str">
            <v>VAR_ncap</v>
          </cell>
          <cell r="D294" t="str">
            <v>-</v>
          </cell>
          <cell r="E294"/>
          <cell r="F294">
            <v>6.0630871676280506E-8</v>
          </cell>
          <cell r="G294">
            <v>1.37814131581343E-7</v>
          </cell>
          <cell r="H294">
            <v>6.7162255935651199E-2</v>
          </cell>
          <cell r="I294">
            <v>0.155389833720502</v>
          </cell>
          <cell r="J294">
            <v>1.29547178724697E-5</v>
          </cell>
          <cell r="K294">
            <v>2.8421315822656602E-2</v>
          </cell>
          <cell r="L294">
            <v>2.6464030599425399E-3</v>
          </cell>
          <cell r="M294">
            <v>9.1106651950521502E-3</v>
          </cell>
          <cell r="N294">
            <v>3.8748171658832702E-2</v>
          </cell>
          <cell r="O294">
            <v>0.137968955835476</v>
          </cell>
          <cell r="P294">
            <v>2.7970465746660698E-2</v>
          </cell>
        </row>
        <row r="295">
          <cell r="B295" t="str">
            <v>EWSTINC</v>
          </cell>
          <cell r="C295" t="str">
            <v>VAR_cap</v>
          </cell>
          <cell r="D295" t="str">
            <v>-</v>
          </cell>
          <cell r="E295">
            <v>0.27684098120569189</v>
          </cell>
          <cell r="F295">
            <v>0.27684047824347285</v>
          </cell>
          <cell r="G295">
            <v>0.2768404145374449</v>
          </cell>
          <cell r="H295">
            <v>0.2759923095871058</v>
          </cell>
          <cell r="I295">
            <v>0.34345235524570228</v>
          </cell>
          <cell r="J295">
            <v>0.31951382935961847</v>
          </cell>
          <cell r="K295">
            <v>0.27659531311178037</v>
          </cell>
          <cell r="L295">
            <v>0.25838070761388165</v>
          </cell>
          <cell r="M295">
            <v>0.24472331583373982</v>
          </cell>
          <cell r="N295">
            <v>0.23432901370924517</v>
          </cell>
          <cell r="O295">
            <v>0.24442898087265139</v>
          </cell>
          <cell r="P295">
            <v>0.24486558785810358</v>
          </cell>
        </row>
        <row r="296">
          <cell r="B296" t="str">
            <v>D-IBIO</v>
          </cell>
          <cell r="C296" t="str">
            <v>VAR_fout</v>
          </cell>
          <cell r="D296" t="str">
            <v>IBIO</v>
          </cell>
          <cell r="E296">
            <v>0.43672583991544323</v>
          </cell>
          <cell r="F296">
            <v>0.55206524256937328</v>
          </cell>
          <cell r="G296">
            <v>2.7640127060525521</v>
          </cell>
          <cell r="H296">
            <v>6.1732572179567686</v>
          </cell>
          <cell r="I296">
            <v>6.1732662663738918</v>
          </cell>
          <cell r="J296">
            <v>6.173266820329661</v>
          </cell>
          <cell r="K296">
            <v>6.1732671991427885</v>
          </cell>
          <cell r="L296">
            <v>6.1732682072818728</v>
          </cell>
          <cell r="M296">
            <v>6.1732706600514353</v>
          </cell>
          <cell r="N296">
            <v>6.1732966688306687</v>
          </cell>
          <cell r="O296">
            <v>6.1732982669099972</v>
          </cell>
          <cell r="P296">
            <v>6.1733133709152055</v>
          </cell>
        </row>
        <row r="297">
          <cell r="B297" t="str">
            <v>D-IBIO</v>
          </cell>
          <cell r="C297" t="str">
            <v>VAR_fin</v>
          </cell>
          <cell r="D297" t="str">
            <v>BIO</v>
          </cell>
          <cell r="E297">
            <v>0.43672583991544323</v>
          </cell>
          <cell r="F297">
            <v>0.55206524256937328</v>
          </cell>
          <cell r="G297">
            <v>2.7640127060525521</v>
          </cell>
          <cell r="H297">
            <v>6.1732572179567686</v>
          </cell>
          <cell r="I297">
            <v>6.1732662663738918</v>
          </cell>
          <cell r="J297">
            <v>6.173266820329661</v>
          </cell>
          <cell r="K297">
            <v>6.1732671991427885</v>
          </cell>
          <cell r="L297">
            <v>6.1732682072818728</v>
          </cell>
          <cell r="M297">
            <v>6.1732706600514353</v>
          </cell>
          <cell r="N297">
            <v>6.1732966688306687</v>
          </cell>
          <cell r="O297">
            <v>6.1732982669099972</v>
          </cell>
          <cell r="P297">
            <v>6.1733133709152055</v>
          </cell>
        </row>
        <row r="298">
          <cell r="B298" t="str">
            <v>D-EWOD</v>
          </cell>
          <cell r="C298" t="str">
            <v>VAR_fout</v>
          </cell>
          <cell r="D298" t="str">
            <v>EWOD</v>
          </cell>
          <cell r="E298">
            <v>3.208596557623796</v>
          </cell>
          <cell r="F298">
            <v>2.6526205466222841</v>
          </cell>
          <cell r="G298">
            <v>2.3156257959383906</v>
          </cell>
          <cell r="H298">
            <v>5.154614769030796</v>
          </cell>
          <cell r="I298">
            <v>3.9901154342635881</v>
          </cell>
          <cell r="J298">
            <v>6.0212750898122671</v>
          </cell>
          <cell r="K298">
            <v>6.6078598629434442</v>
          </cell>
          <cell r="L298">
            <v>6.9705689109903863</v>
          </cell>
          <cell r="M298">
            <v>6.5693360076359273</v>
          </cell>
          <cell r="N298">
            <v>6.2508285782471935</v>
          </cell>
          <cell r="O298">
            <v>6.0067536217548367</v>
          </cell>
          <cell r="P298">
            <v>5.804996035104776</v>
          </cell>
        </row>
        <row r="299">
          <cell r="B299" t="str">
            <v>D-EWOD</v>
          </cell>
          <cell r="C299" t="str">
            <v>VAR_fin</v>
          </cell>
          <cell r="D299" t="str">
            <v>WOD</v>
          </cell>
          <cell r="E299">
            <v>3.208596557623796</v>
          </cell>
          <cell r="F299">
            <v>2.6526205466222841</v>
          </cell>
          <cell r="G299">
            <v>2.3156257959383906</v>
          </cell>
          <cell r="H299">
            <v>5.154614769030796</v>
          </cell>
          <cell r="I299">
            <v>3.9901154342635881</v>
          </cell>
          <cell r="J299">
            <v>6.0212750898122671</v>
          </cell>
          <cell r="K299">
            <v>6.6078598629434442</v>
          </cell>
          <cell r="L299">
            <v>6.9705689109903863</v>
          </cell>
          <cell r="M299">
            <v>6.5693360076359273</v>
          </cell>
          <cell r="N299">
            <v>6.2508285782471935</v>
          </cell>
          <cell r="O299">
            <v>6.0067536217548367</v>
          </cell>
          <cell r="P299">
            <v>5.804996035104776</v>
          </cell>
        </row>
        <row r="300">
          <cell r="B300" t="str">
            <v>HPLWOD</v>
          </cell>
          <cell r="C300" t="str">
            <v>VAR_fout</v>
          </cell>
          <cell r="D300" t="str">
            <v>LTH</v>
          </cell>
          <cell r="E300">
            <v>2.0570442403504705</v>
          </cell>
          <cell r="F300">
            <v>1.856482208438532</v>
          </cell>
          <cell r="G300">
            <v>1.5917114647796469</v>
          </cell>
          <cell r="H300">
            <v>3.6071458122102666</v>
          </cell>
          <cell r="I300">
            <v>2.7913580858755243</v>
          </cell>
          <cell r="J300">
            <v>2.1598996916274276</v>
          </cell>
          <cell r="K300">
            <v>1.6712898652816974</v>
          </cell>
          <cell r="L300">
            <v>1.2932164185846347</v>
          </cell>
          <cell r="M300">
            <v>1.0006618163197833</v>
          </cell>
          <cell r="N300">
            <v>0.77429547508115815</v>
          </cell>
          <cell r="O300">
            <v>0.59913408685995218</v>
          </cell>
          <cell r="P300">
            <v>0.46360323786092617</v>
          </cell>
        </row>
        <row r="301">
          <cell r="B301" t="str">
            <v>HPLWOD</v>
          </cell>
          <cell r="C301" t="str">
            <v>VAR_fin</v>
          </cell>
          <cell r="D301" t="str">
            <v>EWOD</v>
          </cell>
          <cell r="E301">
            <v>2.9386346290721015</v>
          </cell>
          <cell r="F301">
            <v>2.6521174406264709</v>
          </cell>
          <cell r="G301">
            <v>2.2738735211137793</v>
          </cell>
          <cell r="H301">
            <v>5.1530654460146703</v>
          </cell>
          <cell r="I301">
            <v>3.987654408393607</v>
          </cell>
          <cell r="J301">
            <v>3.0855709880391844</v>
          </cell>
          <cell r="K301">
            <v>2.387556950402427</v>
          </cell>
          <cell r="L301">
            <v>1.8474520265494778</v>
          </cell>
          <cell r="M301">
            <v>1.4295168804568346</v>
          </cell>
          <cell r="N301">
            <v>1.1061363929730823</v>
          </cell>
          <cell r="O301">
            <v>0.85590583837136058</v>
          </cell>
          <cell r="P301">
            <v>0.6622903398013229</v>
          </cell>
        </row>
        <row r="302">
          <cell r="B302" t="str">
            <v>HPLWOD</v>
          </cell>
          <cell r="C302" t="str">
            <v>VAR_ncap</v>
          </cell>
          <cell r="D302" t="str">
            <v>-</v>
          </cell>
          <cell r="E302">
            <v>0.26091488642405303</v>
          </cell>
          <cell r="F302">
            <v>7.8230787535783298E-7</v>
          </cell>
          <cell r="G302">
            <v>2.1189994541006498E-6</v>
          </cell>
          <cell r="H302">
            <v>0.19661013188367699</v>
          </cell>
          <cell r="I302">
            <v>9.8486580423223793E-7</v>
          </cell>
          <cell r="J302">
            <v>3.95509464502579E-6</v>
          </cell>
          <cell r="K302">
            <v>8.8015143407552204E-2</v>
          </cell>
          <cell r="L302">
            <v>7.6010607723511994E-2</v>
          </cell>
          <cell r="M302">
            <v>7.0596601265457399E-7</v>
          </cell>
          <cell r="N302">
            <v>1.4361140400109E-6</v>
          </cell>
          <cell r="O302">
            <v>2.8347683579898298E-6</v>
          </cell>
          <cell r="P302">
            <v>5.8808323586612303E-2</v>
          </cell>
        </row>
        <row r="303">
          <cell r="B303" t="str">
            <v>HPLWOD</v>
          </cell>
          <cell r="C303" t="str">
            <v>VAR_cap</v>
          </cell>
          <cell r="D303" t="str">
            <v>-</v>
          </cell>
          <cell r="E303">
            <v>0.26091488642405303</v>
          </cell>
          <cell r="F303">
            <v>0.26091566873192901</v>
          </cell>
          <cell r="G303">
            <v>0.26091778773138302</v>
          </cell>
          <cell r="H303">
            <v>0.45752791961506001</v>
          </cell>
          <cell r="I303">
            <v>0.45752890448086397</v>
          </cell>
          <cell r="J303">
            <v>0.30486395231889102</v>
          </cell>
          <cell r="K303">
            <v>0.22230248710542699</v>
          </cell>
          <cell r="L303">
            <v>0.164030691091514</v>
          </cell>
          <cell r="M303">
            <v>0.164030187126114</v>
          </cell>
          <cell r="N303">
            <v>0.16402789321111699</v>
          </cell>
          <cell r="O303">
            <v>7.6015584571922701E-2</v>
          </cell>
          <cell r="P303">
            <v>5.8813300435022899E-2</v>
          </cell>
        </row>
        <row r="304">
          <cell r="B304" t="str">
            <v>ENGA-GTCC</v>
          </cell>
          <cell r="C304" t="str">
            <v>VAR_fout</v>
          </cell>
          <cell r="D304" t="str">
            <v>ELC13</v>
          </cell>
          <cell r="E304"/>
          <cell r="F304"/>
          <cell r="G304"/>
          <cell r="H304"/>
          <cell r="I304"/>
          <cell r="J304">
            <v>2.3090074598878179E-6</v>
          </cell>
          <cell r="K304">
            <v>2.3898865669878178E-6</v>
          </cell>
          <cell r="L304">
            <v>5.28711164942451E-5</v>
          </cell>
          <cell r="M304">
            <v>7.0482565570031876E-4</v>
          </cell>
          <cell r="N304">
            <v>5.2520961432946513E-4</v>
          </cell>
          <cell r="O304">
            <v>6.1377352911989934E-4</v>
          </cell>
          <cell r="P304">
            <v>9.7814860746241899E-4</v>
          </cell>
        </row>
        <row r="305">
          <cell r="B305" t="str">
            <v>ENGA-GTCC</v>
          </cell>
          <cell r="C305" t="str">
            <v>VAR_fout</v>
          </cell>
          <cell r="D305" t="str">
            <v>CO2_E</v>
          </cell>
          <cell r="E305"/>
          <cell r="F305"/>
          <cell r="G305"/>
          <cell r="H305"/>
          <cell r="I305"/>
          <cell r="J305">
            <v>4.6903497278124597E-4</v>
          </cell>
          <cell r="K305">
            <v>4.3639338473008902E-4</v>
          </cell>
          <cell r="L305">
            <v>1.1871445883845699E-2</v>
          </cell>
          <cell r="M305">
            <v>6.9944232724655095E-2</v>
          </cell>
          <cell r="N305">
            <v>5.7205060705426802E-2</v>
          </cell>
          <cell r="O305">
            <v>6.5736639103199102E-2</v>
          </cell>
          <cell r="P305">
            <v>0.106633704063703</v>
          </cell>
        </row>
        <row r="306">
          <cell r="B306" t="str">
            <v>ENGA-GTCC</v>
          </cell>
          <cell r="C306" t="str">
            <v>VAR_fin</v>
          </cell>
          <cell r="D306" t="str">
            <v>ENGA</v>
          </cell>
          <cell r="E306"/>
          <cell r="F306"/>
          <cell r="G306"/>
          <cell r="H306"/>
          <cell r="I306"/>
          <cell r="J306">
            <v>8.3162229216532925E-6</v>
          </cell>
          <cell r="K306">
            <v>7.7374713604625845E-6</v>
          </cell>
          <cell r="L306">
            <v>2.1048662914619989E-4</v>
          </cell>
          <cell r="M306">
            <v>1.2401459702953042E-3</v>
          </cell>
          <cell r="N306">
            <v>1.0142741259827448E-3</v>
          </cell>
          <cell r="O306">
            <v>1.1655432465106222E-3</v>
          </cell>
          <cell r="P306">
            <v>1.8906685117677862E-3</v>
          </cell>
        </row>
        <row r="307">
          <cell r="B307" t="str">
            <v>ENGA-GTCC</v>
          </cell>
          <cell r="C307" t="str">
            <v>VAR_fin</v>
          </cell>
          <cell r="D307" t="str">
            <v>GTC</v>
          </cell>
          <cell r="E307"/>
          <cell r="F307"/>
          <cell r="G307"/>
          <cell r="H307"/>
          <cell r="I307"/>
          <cell r="J307">
            <v>1.3495214409202001E-6</v>
          </cell>
          <cell r="K307">
            <v>1.5699473415975304E-6</v>
          </cell>
          <cell r="L307">
            <v>3.3980855176926273E-6</v>
          </cell>
          <cell r="M307">
            <v>9.60899861415303E-5</v>
          </cell>
          <cell r="N307">
            <v>1.0982694813244674E-4</v>
          </cell>
          <cell r="O307">
            <v>1.4891181901441537E-4</v>
          </cell>
          <cell r="P307">
            <v>1.9028936782447981E-4</v>
          </cell>
        </row>
        <row r="308">
          <cell r="B308" t="str">
            <v>ENGA-GTCC</v>
          </cell>
          <cell r="C308" t="str">
            <v>VAR_ncap</v>
          </cell>
          <cell r="D308" t="str">
            <v>-</v>
          </cell>
          <cell r="E308"/>
          <cell r="F308"/>
          <cell r="G308"/>
          <cell r="H308"/>
          <cell r="I308"/>
          <cell r="J308">
            <v>3.50297681660541E-6</v>
          </cell>
          <cell r="K308">
            <v>3.4410225975544702E-6</v>
          </cell>
          <cell r="L308">
            <v>7.5874628449324995E-5</v>
          </cell>
          <cell r="M308">
            <v>3.0991694311215897E-5</v>
          </cell>
          <cell r="N308">
            <v>9.5864959956784099E-7</v>
          </cell>
          <cell r="O308">
            <v>8.2463467724180797E-5</v>
          </cell>
        </row>
        <row r="309">
          <cell r="B309" t="str">
            <v>ENGA-GTCC</v>
          </cell>
          <cell r="C309" t="str">
            <v>VAR_cap</v>
          </cell>
          <cell r="D309" t="str">
            <v>-</v>
          </cell>
          <cell r="E309"/>
          <cell r="F309"/>
          <cell r="G309"/>
          <cell r="H309"/>
          <cell r="I309"/>
          <cell r="J309">
            <v>1.3495214409202001E-6</v>
          </cell>
          <cell r="K309">
            <v>1.5699473415975297E-6</v>
          </cell>
          <cell r="L309">
            <v>3.3980855176926299E-6</v>
          </cell>
          <cell r="M309">
            <v>9.60899861415303E-5</v>
          </cell>
          <cell r="N309">
            <v>1.0982694813244676E-4</v>
          </cell>
          <cell r="O309">
            <v>1.4891181901441499E-4</v>
          </cell>
          <cell r="P309">
            <v>1.9028936782447935E-4</v>
          </cell>
        </row>
        <row r="310">
          <cell r="B310" t="str">
            <v>D-SNGA</v>
          </cell>
          <cell r="C310" t="str">
            <v>VAR_fout</v>
          </cell>
          <cell r="D310" t="str">
            <v>CO2</v>
          </cell>
          <cell r="E310">
            <v>1521.77060594061</v>
          </cell>
          <cell r="F310">
            <v>1422.9640368031801</v>
          </cell>
          <cell r="G310">
            <v>1619.4407883530901</v>
          </cell>
          <cell r="H310">
            <v>1599.96306332112</v>
          </cell>
          <cell r="I310">
            <v>1608.60869711536</v>
          </cell>
          <cell r="J310">
            <v>1591.2147565514399</v>
          </cell>
          <cell r="K310">
            <v>1383.51737814842</v>
          </cell>
          <cell r="L310">
            <v>224.95407853914901</v>
          </cell>
          <cell r="M310">
            <v>268.78647696070499</v>
          </cell>
          <cell r="N310">
            <v>163.12466847347</v>
          </cell>
          <cell r="O310">
            <v>129.789505356104</v>
          </cell>
          <cell r="P310">
            <v>119.444373764487</v>
          </cell>
        </row>
        <row r="311">
          <cell r="B311" t="str">
            <v>D-SNGA</v>
          </cell>
          <cell r="C311" t="str">
            <v>VAR_fout</v>
          </cell>
          <cell r="D311" t="str">
            <v>SNGA</v>
          </cell>
          <cell r="E311">
            <v>27.20338299287258</v>
          </cell>
          <cell r="F311">
            <v>28.488308608602583</v>
          </cell>
          <cell r="G311">
            <v>28.630682527790441</v>
          </cell>
          <cell r="H311">
            <v>28.277858350792254</v>
          </cell>
          <cell r="I311">
            <v>28.430601345434177</v>
          </cell>
          <cell r="J311">
            <v>28.266747325802797</v>
          </cell>
          <cell r="K311">
            <v>24.595873103000837</v>
          </cell>
          <cell r="L311">
            <v>4.2571944483165511</v>
          </cell>
          <cell r="M311">
            <v>5.0318269046009911</v>
          </cell>
          <cell r="N311">
            <v>3.1645377890869328</v>
          </cell>
          <cell r="O311">
            <v>2.5755999050487177</v>
          </cell>
          <cell r="P311">
            <v>2.3927799197626411</v>
          </cell>
        </row>
        <row r="312">
          <cell r="B312" t="str">
            <v>D-SNGA</v>
          </cell>
          <cell r="C312" t="str">
            <v>VAR_fout</v>
          </cell>
          <cell r="D312" t="str">
            <v>RSH2</v>
          </cell>
          <cell r="E312"/>
          <cell r="F312"/>
          <cell r="G312"/>
          <cell r="H312">
            <v>4.9980395498319446E-4</v>
          </cell>
          <cell r="I312">
            <v>3.323495234701599E-2</v>
          </cell>
          <cell r="J312">
            <v>0.16975685237559823</v>
          </cell>
          <cell r="K312">
            <v>0.17330327549848779</v>
          </cell>
          <cell r="L312">
            <v>0.13144567732585882</v>
          </cell>
          <cell r="M312">
            <v>0.15533389848030801</v>
          </cell>
          <cell r="N312">
            <v>9.7202647245742888E-2</v>
          </cell>
          <cell r="O312">
            <v>2.7575325323224348E-2</v>
          </cell>
          <cell r="P312">
            <v>2.4802151028306869E-2</v>
          </cell>
        </row>
        <row r="313">
          <cell r="B313" t="str">
            <v>D-SNGA</v>
          </cell>
          <cell r="C313" t="str">
            <v>VAR_fin</v>
          </cell>
          <cell r="D313" t="str">
            <v>NGA</v>
          </cell>
          <cell r="E313">
            <v>26.981748332280379</v>
          </cell>
          <cell r="F313">
            <v>25.229858808567002</v>
          </cell>
          <cell r="G313">
            <v>28.713489155196676</v>
          </cell>
          <cell r="H313">
            <v>28.368139420587301</v>
          </cell>
          <cell r="I313">
            <v>28.521430799917784</v>
          </cell>
          <cell r="J313">
            <v>28.2130275984298</v>
          </cell>
          <cell r="K313">
            <v>24.53044996717049</v>
          </cell>
          <cell r="L313">
            <v>3.9885474918288821</v>
          </cell>
          <cell r="M313">
            <v>4.7657176766082427</v>
          </cell>
          <cell r="N313">
            <v>2.8922813559125888</v>
          </cell>
          <cell r="O313">
            <v>2.3012323644699233</v>
          </cell>
          <cell r="P313">
            <v>2.1178080454696278</v>
          </cell>
        </row>
        <row r="314">
          <cell r="B314" t="str">
            <v>D-SNGA</v>
          </cell>
          <cell r="C314" t="str">
            <v>VAR_fin</v>
          </cell>
          <cell r="D314" t="str">
            <v>BNGA</v>
          </cell>
          <cell r="E314">
            <v>0.30853912076279888</v>
          </cell>
          <cell r="F314">
            <v>3.3494591087473848</v>
          </cell>
          <cell r="G314">
            <v>8.657511816634246E-3</v>
          </cell>
          <cell r="H314">
            <v>7.7469824242587797E-5</v>
          </cell>
          <cell r="I314">
            <v>1.2168989806827261E-4</v>
          </cell>
          <cell r="J314">
            <v>0.1445964339466628</v>
          </cell>
          <cell r="K314">
            <v>0.14459720764845896</v>
          </cell>
          <cell r="L314">
            <v>0.2827100321388788</v>
          </cell>
          <cell r="M314">
            <v>0.28270696098761244</v>
          </cell>
          <cell r="N314">
            <v>0.2827082349033937</v>
          </cell>
          <cell r="O314">
            <v>0.28271175858792025</v>
          </cell>
          <cell r="P314">
            <v>0.28272543824910834</v>
          </cell>
        </row>
        <row r="315">
          <cell r="B315" t="str">
            <v>D-SNGA</v>
          </cell>
          <cell r="C315" t="str">
            <v>VAR_fin</v>
          </cell>
          <cell r="D315" t="str">
            <v>H2</v>
          </cell>
          <cell r="E315"/>
          <cell r="F315"/>
          <cell r="G315"/>
          <cell r="H315">
            <v>4.9950469981455137E-4</v>
          </cell>
          <cell r="I315">
            <v>3.3234741425875083E-2</v>
          </cell>
          <cell r="J315">
            <v>0.1697568523756055</v>
          </cell>
          <cell r="K315">
            <v>0.17330307246946258</v>
          </cell>
          <cell r="L315">
            <v>0.13144509713332833</v>
          </cell>
          <cell r="M315">
            <v>0.15533382937018525</v>
          </cell>
          <cell r="N315">
            <v>9.7202510098978706E-2</v>
          </cell>
          <cell r="O315">
            <v>2.7574958029455133E-2</v>
          </cell>
          <cell r="P315">
            <v>2.4800923091945769E-2</v>
          </cell>
        </row>
        <row r="316">
          <cell r="B316" t="str">
            <v>D-SNGA</v>
          </cell>
          <cell r="C316" t="str">
            <v>VAR_ncap</v>
          </cell>
          <cell r="D316" t="str">
            <v>-</v>
          </cell>
          <cell r="E316">
            <v>7.5222644944573798E-8</v>
          </cell>
          <cell r="F316">
            <v>3.5007128677971701E-8</v>
          </cell>
          <cell r="G316">
            <v>5.64693450065887E-8</v>
          </cell>
          <cell r="H316">
            <v>6.5452306170614704E-8</v>
          </cell>
          <cell r="I316">
            <v>1.04030353426468E-7</v>
          </cell>
          <cell r="J316">
            <v>1.5295375993665301E-7</v>
          </cell>
          <cell r="K316">
            <v>2.7724420686700601E-7</v>
          </cell>
          <cell r="L316">
            <v>0.59009541001733601</v>
          </cell>
          <cell r="M316">
            <v>1.5188766365580399E-7</v>
          </cell>
          <cell r="N316">
            <v>3.67931432129056E-7</v>
          </cell>
          <cell r="O316">
            <v>4.6604863760564502E-7</v>
          </cell>
          <cell r="P316">
            <v>2.1654712840767199E-6</v>
          </cell>
        </row>
        <row r="317">
          <cell r="B317" t="str">
            <v>D-SNGA</v>
          </cell>
          <cell r="C317" t="str">
            <v>VAR_cap</v>
          </cell>
          <cell r="D317" t="str">
            <v>-</v>
          </cell>
          <cell r="E317">
            <v>2.2350522768477852</v>
          </cell>
          <cell r="F317">
            <v>2.2350523118549139</v>
          </cell>
          <cell r="G317">
            <v>2.2350523683242587</v>
          </cell>
          <cell r="H317">
            <v>2.2350524337765649</v>
          </cell>
          <cell r="I317">
            <v>2.2350525378069186</v>
          </cell>
          <cell r="J317">
            <v>2.2350526907606785</v>
          </cell>
          <cell r="K317">
            <v>2.2350529680048852</v>
          </cell>
          <cell r="L317">
            <v>1.353583833986487</v>
          </cell>
          <cell r="M317">
            <v>0.59009632828474501</v>
          </cell>
          <cell r="N317">
            <v>0.59009662342991698</v>
          </cell>
          <cell r="O317">
            <v>0.59009698481837802</v>
          </cell>
          <cell r="P317">
            <v>0.59009909558467399</v>
          </cell>
        </row>
        <row r="318">
          <cell r="B318" t="str">
            <v>RHES-CHPWOD</v>
          </cell>
          <cell r="C318" t="str">
            <v>VAR_fout</v>
          </cell>
          <cell r="D318" t="str">
            <v>RHES_KEV_WOD_ELC_CHP</v>
          </cell>
          <cell r="E318"/>
          <cell r="F318"/>
          <cell r="G318"/>
          <cell r="H318">
            <v>9.3713350604045703E-5</v>
          </cell>
          <cell r="I318">
            <v>1.5359645796529989E-4</v>
          </cell>
          <cell r="J318">
            <v>4.6052361044173271E-4</v>
          </cell>
          <cell r="K318">
            <v>1.7284901351664163E-3</v>
          </cell>
          <cell r="L318">
            <v>1.7897985014857642E-3</v>
          </cell>
          <cell r="M318">
            <v>1.3388611074249513E-3</v>
          </cell>
          <cell r="N318">
            <v>8.0161291128123596E-4</v>
          </cell>
          <cell r="O318">
            <v>7.9785081569926596E-4</v>
          </cell>
          <cell r="P318">
            <v>1.0315588756910534E-3</v>
          </cell>
        </row>
        <row r="319">
          <cell r="B319" t="str">
            <v>RHES-CHPWOD</v>
          </cell>
          <cell r="C319" t="str">
            <v>VAR_fout</v>
          </cell>
          <cell r="D319" t="str">
            <v>RHES_LTH_CHPWOD</v>
          </cell>
          <cell r="E319"/>
          <cell r="F319"/>
          <cell r="G319"/>
          <cell r="H319">
            <v>2.529855458002636E-4</v>
          </cell>
          <cell r="I319">
            <v>4.0607702958482848E-4</v>
          </cell>
          <cell r="J319">
            <v>1.1918422110117905E-3</v>
          </cell>
          <cell r="K319">
            <v>4.384602019428239E-3</v>
          </cell>
          <cell r="L319">
            <v>4.4482155822734987E-3</v>
          </cell>
          <cell r="M319">
            <v>3.3274934779550587E-3</v>
          </cell>
          <cell r="N319">
            <v>1.9922617210556318E-3</v>
          </cell>
          <cell r="O319">
            <v>1.9829117231783097E-3</v>
          </cell>
          <cell r="P319">
            <v>2.5637501992946915E-3</v>
          </cell>
        </row>
        <row r="320">
          <cell r="B320" t="str">
            <v>RHES-CHPWOD</v>
          </cell>
          <cell r="C320" t="str">
            <v>VAR_fin</v>
          </cell>
          <cell r="D320" t="str">
            <v>RWOD</v>
          </cell>
          <cell r="E320"/>
          <cell r="F320"/>
          <cell r="G320"/>
          <cell r="H320">
            <v>5.6173329331306874E-4</v>
          </cell>
          <cell r="I320">
            <v>9.0674196401415981E-4</v>
          </cell>
          <cell r="J320">
            <v>2.0530808193477993E-3</v>
          </cell>
          <cell r="K320">
            <v>6.8033363896046724E-3</v>
          </cell>
          <cell r="L320">
            <v>6.9240659458323535E-3</v>
          </cell>
          <cell r="M320">
            <v>5.1203499428459226E-3</v>
          </cell>
          <cell r="N320">
            <v>3.2006800979640176E-3</v>
          </cell>
          <cell r="O320">
            <v>3.1207266923062465E-3</v>
          </cell>
          <cell r="P320">
            <v>4.3377655304086453E-3</v>
          </cell>
        </row>
        <row r="321">
          <cell r="B321" t="str">
            <v>RHES-CHPWOD</v>
          </cell>
          <cell r="C321" t="str">
            <v>VAR_ncap</v>
          </cell>
          <cell r="D321" t="str">
            <v>-</v>
          </cell>
          <cell r="E321"/>
          <cell r="F321"/>
          <cell r="G321"/>
          <cell r="H321">
            <v>8.3367763567966308E-6</v>
          </cell>
          <cell r="I321">
            <v>5.33583833121918E-6</v>
          </cell>
          <cell r="J321">
            <v>2.8883002595448099E-5</v>
          </cell>
          <cell r="K321">
            <v>1.1943583070661301E-4</v>
          </cell>
          <cell r="L321">
            <v>1.07987706255431E-5</v>
          </cell>
          <cell r="M321">
            <v>2.4821134818224199E-7</v>
          </cell>
          <cell r="N321">
            <v>6.0262615748022997E-5</v>
          </cell>
          <cell r="O321">
            <v>8.6110787917680703E-6</v>
          </cell>
          <cell r="P321">
            <v>2.2940902330762901E-5</v>
          </cell>
        </row>
        <row r="322">
          <cell r="B322" t="str">
            <v>RHES-CHPWOD</v>
          </cell>
          <cell r="C322" t="str">
            <v>VAR_cap</v>
          </cell>
          <cell r="D322" t="str">
            <v>-</v>
          </cell>
          <cell r="E322"/>
          <cell r="F322"/>
          <cell r="G322"/>
          <cell r="H322">
            <v>8.3367763567966308E-6</v>
          </cell>
          <cell r="I322">
            <v>1.36726146880158E-5</v>
          </cell>
          <cell r="J322">
            <v>4.0946871637074594E-5</v>
          </cell>
          <cell r="K322">
            <v>1.5364372390711393E-4</v>
          </cell>
          <cell r="L322">
            <v>1.5910415821115075E-4</v>
          </cell>
          <cell r="M322">
            <v>1.1899864662373068E-4</v>
          </cell>
          <cell r="N322">
            <v>7.1288485266769028E-5</v>
          </cell>
          <cell r="O322">
            <v>7.0920822279752499E-5</v>
          </cell>
          <cell r="P322">
            <v>9.1789628629228585E-5</v>
          </cell>
        </row>
        <row r="323">
          <cell r="B323" t="str">
            <v>G-INTC-RES</v>
          </cell>
          <cell r="C323" t="str">
            <v>VAR_fout</v>
          </cell>
          <cell r="D323" t="str">
            <v>RHNS_ELC</v>
          </cell>
          <cell r="E323">
            <v>12.971694988591674</v>
          </cell>
          <cell r="F323">
            <v>14.928086573120002</v>
          </cell>
          <cell r="G323">
            <v>14.892053023458066</v>
          </cell>
          <cell r="H323">
            <v>15.62714809539408</v>
          </cell>
          <cell r="I323">
            <v>17.72501382028263</v>
          </cell>
          <cell r="J323">
            <v>19.783247251718176</v>
          </cell>
          <cell r="K323">
            <v>19.799258817498309</v>
          </cell>
          <cell r="L323">
            <v>21.626806309033466</v>
          </cell>
          <cell r="M323">
            <v>20.970559972850271</v>
          </cell>
          <cell r="N323">
            <v>21.427660762798791</v>
          </cell>
          <cell r="O323">
            <v>21.824567940436744</v>
          </cell>
          <cell r="P323">
            <v>21.727083461240184</v>
          </cell>
        </row>
        <row r="324">
          <cell r="B324" t="str">
            <v>G-INTC-RES</v>
          </cell>
          <cell r="C324" t="str">
            <v>VAR_fout</v>
          </cell>
          <cell r="D324" t="str">
            <v>ELC35</v>
          </cell>
          <cell r="E324">
            <v>43.659100793664244</v>
          </cell>
          <cell r="F324">
            <v>1.0698011391047989E-3</v>
          </cell>
          <cell r="G324">
            <v>1.551741247651763E-3</v>
          </cell>
          <cell r="H324">
            <v>6.0111201041618419E-4</v>
          </cell>
          <cell r="I324">
            <v>2.6159939076893599E-2</v>
          </cell>
          <cell r="J324">
            <v>1.0676000347618903E-3</v>
          </cell>
          <cell r="K324">
            <v>1.0486336502474249E-3</v>
          </cell>
          <cell r="L324">
            <v>2.5662862002964796E-3</v>
          </cell>
          <cell r="M324">
            <v>2.4229744560632569E-2</v>
          </cell>
          <cell r="N324">
            <v>0.18584806878015933</v>
          </cell>
          <cell r="O324">
            <v>0.337263241268767</v>
          </cell>
          <cell r="P324">
            <v>0.66132066660060618</v>
          </cell>
        </row>
        <row r="325">
          <cell r="B325" t="str">
            <v>G-INTC-RES</v>
          </cell>
          <cell r="C325" t="str">
            <v>VAR_fout</v>
          </cell>
          <cell r="D325" t="str">
            <v>RHES_ELC</v>
          </cell>
          <cell r="E325">
            <v>21.682993640989807</v>
          </cell>
          <cell r="F325">
            <v>18.58818632784951</v>
          </cell>
          <cell r="G325">
            <v>18.241870972309542</v>
          </cell>
          <cell r="H325">
            <v>16.786926365323481</v>
          </cell>
          <cell r="I325">
            <v>17.765938066160963</v>
          </cell>
          <cell r="J325">
            <v>18.948509031140045</v>
          </cell>
          <cell r="K325">
            <v>19.177069342678148</v>
          </cell>
          <cell r="L325">
            <v>21.900253705756217</v>
          </cell>
          <cell r="M325">
            <v>21.567640703769612</v>
          </cell>
          <cell r="N325">
            <v>21.177046940758665</v>
          </cell>
          <cell r="O325">
            <v>21.727108363059639</v>
          </cell>
          <cell r="P325">
            <v>20.948330444875509</v>
          </cell>
        </row>
        <row r="326">
          <cell r="B326" t="str">
            <v>G-INTC-RES</v>
          </cell>
          <cell r="C326" t="str">
            <v>VAR_fout</v>
          </cell>
          <cell r="D326" t="str">
            <v>RHNM_ELC</v>
          </cell>
          <cell r="E326">
            <v>11.048777725446403</v>
          </cell>
          <cell r="F326">
            <v>15.012386295460106</v>
          </cell>
          <cell r="G326">
            <v>14.562640306614181</v>
          </cell>
          <cell r="H326">
            <v>14.960755016605065</v>
          </cell>
          <cell r="I326">
            <v>16.647944529153161</v>
          </cell>
          <cell r="J326">
            <v>18.451328656425506</v>
          </cell>
          <cell r="K326">
            <v>18.52861387471852</v>
          </cell>
          <cell r="L326">
            <v>20.546426799916549</v>
          </cell>
          <cell r="M326">
            <v>20.04261486099119</v>
          </cell>
          <cell r="N326">
            <v>20.514721135474058</v>
          </cell>
          <cell r="O326">
            <v>20.76256134730934</v>
          </cell>
          <cell r="P326">
            <v>20.535880512233984</v>
          </cell>
        </row>
        <row r="327">
          <cell r="B327" t="str">
            <v>G-INTC-RES</v>
          </cell>
          <cell r="C327" t="str">
            <v>VAR_fout</v>
          </cell>
          <cell r="D327" t="str">
            <v>RHEM_ELC</v>
          </cell>
          <cell r="E327">
            <v>22.704766836281415</v>
          </cell>
          <cell r="F327">
            <v>19.425004056939908</v>
          </cell>
          <cell r="G327">
            <v>18.874718703639026</v>
          </cell>
          <cell r="H327">
            <v>18.517384400176748</v>
          </cell>
          <cell r="I327">
            <v>20.857523466741693</v>
          </cell>
          <cell r="J327">
            <v>21.986507666608091</v>
          </cell>
          <cell r="K327">
            <v>22.163345753304039</v>
          </cell>
          <cell r="L327">
            <v>24.207240768967228</v>
          </cell>
          <cell r="M327">
            <v>23.299628190741196</v>
          </cell>
          <cell r="N327">
            <v>23.487880344274515</v>
          </cell>
          <cell r="O327">
            <v>24.260981889741316</v>
          </cell>
          <cell r="P327">
            <v>23.454330419324808</v>
          </cell>
        </row>
        <row r="328">
          <cell r="B328" t="str">
            <v>G-INTC-RES</v>
          </cell>
          <cell r="C328" t="str">
            <v>VAR_fin</v>
          </cell>
          <cell r="D328" t="str">
            <v>ELC5</v>
          </cell>
          <cell r="E328">
            <v>112.06732659573152</v>
          </cell>
          <cell r="F328">
            <v>67.954733054508651</v>
          </cell>
          <cell r="G328">
            <v>66.572834747268487</v>
          </cell>
          <cell r="H328">
            <v>65.892814989509745</v>
          </cell>
          <cell r="I328">
            <v>73.022579821415334</v>
          </cell>
          <cell r="J328">
            <v>79.170660205926609</v>
          </cell>
          <cell r="K328">
            <v>79.669336421849195</v>
          </cell>
          <cell r="L328">
            <v>88.283293869873745</v>
          </cell>
          <cell r="M328">
            <v>85.904673472912933</v>
          </cell>
          <cell r="N328">
            <v>86.793157252086274</v>
          </cell>
          <cell r="O328">
            <v>88.912482781815868</v>
          </cell>
          <cell r="P328">
            <v>87.326945504275088</v>
          </cell>
        </row>
        <row r="329">
          <cell r="B329" t="str">
            <v>G-INTC-RES</v>
          </cell>
          <cell r="C329" t="str">
            <v>VAR_ncap</v>
          </cell>
          <cell r="D329" t="str">
            <v>-</v>
          </cell>
          <cell r="E329">
            <v>1.11870653274805E-8</v>
          </cell>
          <cell r="F329">
            <v>1.1677083151906499E-8</v>
          </cell>
          <cell r="G329"/>
          <cell r="H329">
            <v>1.44076623498183E-8</v>
          </cell>
          <cell r="I329">
            <v>2.0304649458526201E-8</v>
          </cell>
          <cell r="J329">
            <v>2.4560327135995601E-8</v>
          </cell>
          <cell r="K329">
            <v>3.4798767435118298E-8</v>
          </cell>
          <cell r="L329">
            <v>4.5265514238014598E-8</v>
          </cell>
          <cell r="M329">
            <v>5.5993836105768699E-8</v>
          </cell>
          <cell r="N329">
            <v>1.06160446428792E-7</v>
          </cell>
          <cell r="O329">
            <v>1.9538925276375401E-7</v>
          </cell>
        </row>
        <row r="330">
          <cell r="B330" t="str">
            <v>G-INTC-RES</v>
          </cell>
          <cell r="C330" t="str">
            <v>VAR_cap</v>
          </cell>
          <cell r="D330" t="str">
            <v>-</v>
          </cell>
          <cell r="E330">
            <v>4.3300925142827298</v>
          </cell>
          <cell r="F330">
            <v>4.3300925179200602</v>
          </cell>
          <cell r="G330">
            <v>4.3300925371468786</v>
          </cell>
          <cell r="H330">
            <v>4.3300925450738204</v>
          </cell>
          <cell r="I330">
            <v>4.3300925564442636</v>
          </cell>
          <cell r="J330">
            <v>4.3300925813210531</v>
          </cell>
          <cell r="K330">
            <v>4.3300926131747408</v>
          </cell>
          <cell r="L330">
            <v>4.3300926312182844</v>
          </cell>
          <cell r="M330">
            <v>4.3300927072910103</v>
          </cell>
          <cell r="N330">
            <v>4.3300927580429684</v>
          </cell>
          <cell r="O330">
            <v>4.3300929327158579</v>
          </cell>
          <cell r="P330">
            <v>4.3300930340273345</v>
          </cell>
        </row>
        <row r="331">
          <cell r="B331" t="str">
            <v>SCOM-CHPNGA</v>
          </cell>
          <cell r="C331" t="str">
            <v>VAR_fout</v>
          </cell>
          <cell r="D331" t="str">
            <v>CO2_S</v>
          </cell>
          <cell r="E331">
            <v>93.324827692847407</v>
          </cell>
          <cell r="F331">
            <v>98.052961083681097</v>
          </cell>
          <cell r="G331">
            <v>150.50662750108901</v>
          </cell>
          <cell r="H331">
            <v>170.29810909994899</v>
          </cell>
          <cell r="I331">
            <v>157.82738229893201</v>
          </cell>
          <cell r="J331">
            <v>96.192026989687406</v>
          </cell>
          <cell r="K331"/>
          <cell r="L331"/>
          <cell r="M331">
            <v>0.12994831589625799</v>
          </cell>
          <cell r="N331">
            <v>0.12971691869741001</v>
          </cell>
          <cell r="O331">
            <v>9.3250353358794905E-2</v>
          </cell>
          <cell r="P331">
            <v>0.160601864191492</v>
          </cell>
        </row>
        <row r="332">
          <cell r="B332" t="str">
            <v>SCOM-CHPNGA</v>
          </cell>
          <cell r="C332" t="str">
            <v>VAR_fout</v>
          </cell>
          <cell r="D332" t="str">
            <v>SCOM_NKEV_GAS_ELC_CHP</v>
          </cell>
          <cell r="E332">
            <v>0.5943997765211273</v>
          </cell>
          <cell r="F332">
            <v>0.6258657106413863</v>
          </cell>
          <cell r="G332">
            <v>0.96046534662965544</v>
          </cell>
          <cell r="H332">
            <v>1.0859181335897903</v>
          </cell>
          <cell r="I332">
            <v>1.0037712170127806</v>
          </cell>
          <cell r="J332">
            <v>0.6116423901853324</v>
          </cell>
          <cell r="K332"/>
          <cell r="L332"/>
          <cell r="M332">
            <v>8.0197819326735065E-4</v>
          </cell>
          <cell r="N332">
            <v>7.7791643803718782E-4</v>
          </cell>
          <cell r="O332">
            <v>5.4785018317706521E-4</v>
          </cell>
          <cell r="P332">
            <v>9.266089551715471E-4</v>
          </cell>
        </row>
        <row r="333">
          <cell r="B333" t="str">
            <v>SCOM-CHPNGA</v>
          </cell>
          <cell r="C333" t="str">
            <v>VAR_fout</v>
          </cell>
          <cell r="D333" t="str">
            <v>SCOM_LTH_CHPNGA</v>
          </cell>
          <cell r="E333">
            <v>0.69257847478241374</v>
          </cell>
          <cell r="F333">
            <v>0.75019741049638833</v>
          </cell>
          <cell r="G333">
            <v>1.1995056056092124</v>
          </cell>
          <cell r="H333">
            <v>1.4470797572112304</v>
          </cell>
          <cell r="I333">
            <v>1.4216343586593605</v>
          </cell>
          <cell r="J333">
            <v>0.91746358527799832</v>
          </cell>
          <cell r="K333"/>
          <cell r="L333"/>
          <cell r="M333">
            <v>1.2029672899010247E-3</v>
          </cell>
          <cell r="N333">
            <v>1.1668746570557813E-3</v>
          </cell>
          <cell r="O333">
            <v>8.2177527476559858E-4</v>
          </cell>
          <cell r="P333">
            <v>1.3899134327573204E-3</v>
          </cell>
        </row>
        <row r="334">
          <cell r="B334" t="str">
            <v>SCOM-CHPNGA</v>
          </cell>
          <cell r="C334" t="str">
            <v>VAR_fin</v>
          </cell>
          <cell r="D334" t="str">
            <v>SNGA</v>
          </cell>
          <cell r="E334">
            <v>1.6546955264689265</v>
          </cell>
          <cell r="F334">
            <v>1.7385276787886723</v>
          </cell>
          <cell r="G334">
            <v>2.6685572251966216</v>
          </cell>
          <cell r="H334">
            <v>3.0194700195026307</v>
          </cell>
          <cell r="I334">
            <v>2.7983578421796502</v>
          </cell>
          <cell r="J334">
            <v>1.7055323934341733</v>
          </cell>
          <cell r="K334"/>
          <cell r="L334"/>
          <cell r="M334">
            <v>2.3040481541889662E-3</v>
          </cell>
          <cell r="N334">
            <v>2.2999453669753549E-3</v>
          </cell>
          <cell r="O334">
            <v>1.6533750595531011E-3</v>
          </cell>
          <cell r="P334">
            <v>2.8475507835370902E-3</v>
          </cell>
        </row>
        <row r="335">
          <cell r="B335" t="str">
            <v>SCOM-CHPNGA</v>
          </cell>
          <cell r="C335" t="str">
            <v>VAR_ncap</v>
          </cell>
          <cell r="D335" t="str">
            <v>-</v>
          </cell>
          <cell r="E335"/>
          <cell r="F335">
            <v>7.0984241304932E-2</v>
          </cell>
          <cell r="G335"/>
          <cell r="H335"/>
          <cell r="I335"/>
          <cell r="J335"/>
          <cell r="K335"/>
          <cell r="L335"/>
          <cell r="M335">
            <v>8.6595464348373006E-5</v>
          </cell>
          <cell r="N335">
            <v>2.5180212741977099E-6</v>
          </cell>
          <cell r="O335">
            <v>2.2972510271976299E-7</v>
          </cell>
          <cell r="P335">
            <v>5.3857506248560897E-5</v>
          </cell>
        </row>
        <row r="336">
          <cell r="B336" t="str">
            <v>SCOM-CHPNGA</v>
          </cell>
          <cell r="C336" t="str">
            <v>VAR_cap</v>
          </cell>
          <cell r="D336" t="str">
            <v>-</v>
          </cell>
          <cell r="E336">
            <v>6.5199999999999994E-2</v>
          </cell>
          <cell r="F336">
            <v>8.3659002096010085E-2</v>
          </cell>
          <cell r="G336">
            <v>8.3658250741285384E-2</v>
          </cell>
          <cell r="H336">
            <v>8.1998949031996601E-2</v>
          </cell>
          <cell r="I336">
            <v>7.303276995500034E-2</v>
          </cell>
          <cell r="J336">
            <v>4.3637538583628871E-2</v>
          </cell>
          <cell r="K336"/>
          <cell r="L336"/>
          <cell r="M336">
            <v>8.6595464348373006E-5</v>
          </cell>
          <cell r="N336">
            <v>8.9064380699335446E-5</v>
          </cell>
          <cell r="O336">
            <v>8.9083249590522079E-5</v>
          </cell>
          <cell r="P336">
            <v>1.426164197809175E-4</v>
          </cell>
        </row>
        <row r="337">
          <cell r="B337" t="str">
            <v>D-IPLT</v>
          </cell>
          <cell r="C337" t="str">
            <v>VAR_fout</v>
          </cell>
          <cell r="D337" t="str">
            <v>IPLT</v>
          </cell>
          <cell r="E337">
            <v>0.62578762930497855</v>
          </cell>
          <cell r="F337">
            <v>0.73757344867069707</v>
          </cell>
          <cell r="G337">
            <v>0.73632722485362367</v>
          </cell>
          <cell r="H337">
            <v>0.73429121913613005</v>
          </cell>
          <cell r="I337">
            <v>0.73223719902474138</v>
          </cell>
          <cell r="J337">
            <v>0.73019433768610664</v>
          </cell>
          <cell r="K337">
            <v>0.72816472330071602</v>
          </cell>
          <cell r="L337">
            <v>0.72615948197839031</v>
          </cell>
          <cell r="M337">
            <v>0.72616557604025178</v>
          </cell>
          <cell r="N337">
            <v>0.72617400379080688</v>
          </cell>
          <cell r="O337">
            <v>0.72618300090279464</v>
          </cell>
          <cell r="P337">
            <v>0.72619298035320479</v>
          </cell>
        </row>
        <row r="338">
          <cell r="B338" t="str">
            <v>D-IPLT</v>
          </cell>
          <cell r="C338" t="str">
            <v>VAR_fin</v>
          </cell>
          <cell r="D338" t="str">
            <v>PLT</v>
          </cell>
          <cell r="E338">
            <v>0.62578762930497855</v>
          </cell>
          <cell r="F338">
            <v>0.73757344867069707</v>
          </cell>
          <cell r="G338">
            <v>0.73632722485362367</v>
          </cell>
          <cell r="H338">
            <v>0.73429121913613005</v>
          </cell>
          <cell r="I338">
            <v>0.73223719902474138</v>
          </cell>
          <cell r="J338">
            <v>0.73019433768610664</v>
          </cell>
          <cell r="K338">
            <v>0.72816472330071602</v>
          </cell>
          <cell r="L338">
            <v>0.72615948197839031</v>
          </cell>
          <cell r="M338">
            <v>0.72616557604025178</v>
          </cell>
          <cell r="N338">
            <v>0.72617400379080688</v>
          </cell>
          <cell r="O338">
            <v>0.72618300090279464</v>
          </cell>
          <cell r="P338">
            <v>0.72619298035320479</v>
          </cell>
        </row>
        <row r="339">
          <cell r="B339" t="str">
            <v>LTH-STG</v>
          </cell>
          <cell r="C339" t="str">
            <v>VAR_fout</v>
          </cell>
          <cell r="D339" t="str">
            <v>AUX_LTH-STG_OUT</v>
          </cell>
          <cell r="E339">
            <v>6.0605390388767957E-5</v>
          </cell>
          <cell r="F339">
            <v>1.9727525402475654E-4</v>
          </cell>
          <cell r="G339">
            <v>8.7509516173774819E-4</v>
          </cell>
          <cell r="H339">
            <v>1.9377572339187234E-4</v>
          </cell>
          <cell r="I339">
            <v>2.2763516199825903E-4</v>
          </cell>
          <cell r="J339">
            <v>6.5342561471179667E-4</v>
          </cell>
          <cell r="K339">
            <v>5.3716815799791735E-4</v>
          </cell>
          <cell r="L339">
            <v>1.3667971775211361E-3</v>
          </cell>
          <cell r="M339">
            <v>7.6749214889630082E-4</v>
          </cell>
          <cell r="N339">
            <v>1.0735546737073475E-3</v>
          </cell>
          <cell r="O339">
            <v>1.352016798306407E-3</v>
          </cell>
          <cell r="P339">
            <v>2.492096540395743E-3</v>
          </cell>
        </row>
        <row r="340">
          <cell r="B340" t="str">
            <v>LTH-STG</v>
          </cell>
          <cell r="C340" t="str">
            <v>VAR_fout</v>
          </cell>
          <cell r="D340" t="str">
            <v>LTH</v>
          </cell>
          <cell r="E340">
            <v>6.0605390388767767E-5</v>
          </cell>
          <cell r="F340">
            <v>1.9740677086077255E-4</v>
          </cell>
          <cell r="G340">
            <v>8.7600671919789072E-4</v>
          </cell>
          <cell r="H340">
            <v>1.9377572339187234E-4</v>
          </cell>
          <cell r="I340">
            <v>2.2784438549274216E-4</v>
          </cell>
          <cell r="J340">
            <v>6.5342561471179483E-4</v>
          </cell>
          <cell r="K340">
            <v>5.376070208720973E-4</v>
          </cell>
          <cell r="L340">
            <v>1.3667971775211353E-3</v>
          </cell>
          <cell r="M340">
            <v>7.6749214889629996E-4</v>
          </cell>
          <cell r="N340">
            <v>1.073554673707346E-3</v>
          </cell>
          <cell r="O340">
            <v>1.3520167983064059E-3</v>
          </cell>
          <cell r="P340">
            <v>2.4920965403957399E-3</v>
          </cell>
        </row>
        <row r="341">
          <cell r="B341" t="str">
            <v>LTH-STG</v>
          </cell>
          <cell r="C341" t="str">
            <v>VAR_fin</v>
          </cell>
          <cell r="D341" t="str">
            <v>AUX_LTH-STG_IN</v>
          </cell>
          <cell r="E341">
            <v>8.2318623086967296E-5</v>
          </cell>
          <cell r="F341">
            <v>2.5929966761978823E-4</v>
          </cell>
          <cell r="G341">
            <v>1.1299691357262325E-3</v>
          </cell>
          <cell r="H341">
            <v>2.421241901761941E-4</v>
          </cell>
          <cell r="I341">
            <v>2.7609352698901421E-4</v>
          </cell>
          <cell r="J341">
            <v>7.687360173080028E-4</v>
          </cell>
          <cell r="K341">
            <v>6.144062636325514E-4</v>
          </cell>
          <cell r="L341">
            <v>1.5186249000307662E-3</v>
          </cell>
          <cell r="M341">
            <v>8.5277012992753681E-4</v>
          </cell>
          <cell r="N341">
            <v>1.1928385263407892E-3</v>
          </cell>
          <cell r="O341">
            <v>1.502239609879587E-3</v>
          </cell>
          <cell r="P341">
            <v>2.7692412314784267E-3</v>
          </cell>
        </row>
        <row r="342">
          <cell r="B342" t="str">
            <v>LTH-STG</v>
          </cell>
          <cell r="C342" t="str">
            <v>VAR_fin</v>
          </cell>
          <cell r="D342" t="str">
            <v>LTH</v>
          </cell>
          <cell r="E342">
            <v>8.2318623086967296E-5</v>
          </cell>
          <cell r="F342">
            <v>2.5929966761978823E-4</v>
          </cell>
          <cell r="G342">
            <v>1.1299691357262325E-3</v>
          </cell>
          <cell r="H342">
            <v>2.421241901761941E-4</v>
          </cell>
          <cell r="I342">
            <v>2.7609352698901421E-4</v>
          </cell>
          <cell r="J342">
            <v>7.687360173080028E-4</v>
          </cell>
          <cell r="K342">
            <v>6.144062636325514E-4</v>
          </cell>
          <cell r="L342">
            <v>1.5186249000307662E-3</v>
          </cell>
          <cell r="M342">
            <v>8.5277012992753681E-4</v>
          </cell>
          <cell r="N342">
            <v>1.1928385263407892E-3</v>
          </cell>
          <cell r="O342">
            <v>1.502239609879587E-3</v>
          </cell>
          <cell r="P342">
            <v>2.7692412314784267E-3</v>
          </cell>
        </row>
        <row r="343">
          <cell r="B343" t="str">
            <v>LTH-STG</v>
          </cell>
          <cell r="C343" t="str">
            <v>VAR_ncap</v>
          </cell>
          <cell r="D343" t="str">
            <v>-</v>
          </cell>
          <cell r="E343">
            <v>1.38798589525859E-5</v>
          </cell>
          <cell r="F343">
            <v>8.2545934242962896E-7</v>
          </cell>
          <cell r="G343">
            <v>1.30522867085567E-6</v>
          </cell>
          <cell r="H343">
            <v>1.18609269177724E-6</v>
          </cell>
          <cell r="I343">
            <v>4.9812781333799902E-5</v>
          </cell>
          <cell r="J343">
            <v>1.0643283562944801E-5</v>
          </cell>
          <cell r="K343">
            <v>1.0554368858944E-5</v>
          </cell>
          <cell r="L343">
            <v>9.1248120670284398E-5</v>
          </cell>
          <cell r="M343">
            <v>1.29964966786894E-5</v>
          </cell>
          <cell r="N343">
            <v>2.3646716587318201E-5</v>
          </cell>
          <cell r="O343">
            <v>6.16406758265851E-6</v>
          </cell>
          <cell r="P343">
            <v>2.0666471896360801E-4</v>
          </cell>
        </row>
        <row r="344">
          <cell r="B344" t="str">
            <v>LTH-STG</v>
          </cell>
          <cell r="C344" t="str">
            <v>VAR_cap</v>
          </cell>
          <cell r="D344" t="str">
            <v>-</v>
          </cell>
          <cell r="E344">
            <v>1.7864176568167954E-4</v>
          </cell>
          <cell r="F344">
            <v>1.7434310355540647E-4</v>
          </cell>
          <cell r="G344">
            <v>1.7306417738969108E-4</v>
          </cell>
          <cell r="H344">
            <v>9.4444111302968435E-5</v>
          </cell>
          <cell r="I344">
            <v>6.9513380809672326E-5</v>
          </cell>
          <cell r="J344">
            <v>6.7508760864327981E-5</v>
          </cell>
          <cell r="K344">
            <v>7.0738353318353713E-5</v>
          </cell>
          <cell r="L344">
            <v>1.6063195375478815E-4</v>
          </cell>
          <cell r="M344">
            <v>1.3690466562310866E-4</v>
          </cell>
          <cell r="N344">
            <v>1.3650165389523291E-4</v>
          </cell>
          <cell r="O344">
            <v>1.31620688976764E-4</v>
          </cell>
          <cell r="P344">
            <v>2.4688394450112324E-4</v>
          </cell>
        </row>
        <row r="345">
          <cell r="B345" t="str">
            <v>ITOT-CHPOIL</v>
          </cell>
          <cell r="C345" t="str">
            <v>VAR_fout</v>
          </cell>
          <cell r="D345" t="str">
            <v>ITOT_LTH_CHP</v>
          </cell>
          <cell r="E345">
            <v>0.92932821397960896</v>
          </cell>
          <cell r="F345">
            <v>2.0727098903810917</v>
          </cell>
          <cell r="G345">
            <v>9.0380552040381784E-2</v>
          </cell>
          <cell r="H345">
            <v>1.3189430550609258</v>
          </cell>
          <cell r="I345">
            <v>0.8494898863105772</v>
          </cell>
          <cell r="J345"/>
          <cell r="K345"/>
          <cell r="L345"/>
          <cell r="M345">
            <v>4.6656916750264467E-3</v>
          </cell>
          <cell r="N345">
            <v>4.5372456542786838E-3</v>
          </cell>
          <cell r="O345">
            <v>0.37951654291852188</v>
          </cell>
          <cell r="P345">
            <v>0.37869410845269474</v>
          </cell>
        </row>
        <row r="346">
          <cell r="B346" t="str">
            <v>ITOT-CHPOIL</v>
          </cell>
          <cell r="C346" t="str">
            <v>VAR_fout</v>
          </cell>
          <cell r="D346" t="str">
            <v>ITOT_NKEV_OIL_ELC_CHP</v>
          </cell>
          <cell r="E346">
            <v>7.0500761060521999E-2</v>
          </cell>
          <cell r="F346">
            <v>0.17150657878524322</v>
          </cell>
          <cell r="G346">
            <v>8.6566902326043749E-3</v>
          </cell>
          <cell r="H346">
            <v>0.17130756733375688</v>
          </cell>
          <cell r="I346">
            <v>0.1713373992749245</v>
          </cell>
          <cell r="J346"/>
          <cell r="K346"/>
          <cell r="L346"/>
          <cell r="M346">
            <v>2.1047727058214616E-3</v>
          </cell>
          <cell r="N346">
            <v>2.0468285257359362E-3</v>
          </cell>
          <cell r="O346">
            <v>0.17120635407998666</v>
          </cell>
          <cell r="P346">
            <v>0.17083533993319586</v>
          </cell>
        </row>
        <row r="347">
          <cell r="B347" t="str">
            <v>ITOT-CHPOIL</v>
          </cell>
          <cell r="C347" t="str">
            <v>VAR_fout</v>
          </cell>
          <cell r="D347" t="str">
            <v>CO2_I</v>
          </cell>
          <cell r="E347">
            <v>21.528660556225901</v>
          </cell>
          <cell r="F347">
            <v>51.244677258709501</v>
          </cell>
          <cell r="G347">
            <v>2.5619329847272398</v>
          </cell>
          <cell r="H347">
            <v>47.932982680977503</v>
          </cell>
          <cell r="I347">
            <v>47.947077975789</v>
          </cell>
          <cell r="J347"/>
          <cell r="K347"/>
          <cell r="L347"/>
          <cell r="M347">
            <v>0.59968023448786001</v>
          </cell>
          <cell r="N347">
            <v>0.58823312612565803</v>
          </cell>
          <cell r="O347">
            <v>48.021527711388401</v>
          </cell>
          <cell r="P347">
            <v>48.120056843396299</v>
          </cell>
        </row>
        <row r="348">
          <cell r="B348" t="str">
            <v>ITOT-CHPOIL</v>
          </cell>
          <cell r="C348" t="str">
            <v>VAR_fin</v>
          </cell>
          <cell r="D348" t="str">
            <v>ILFO</v>
          </cell>
          <cell r="E348">
            <v>0.29211208353088042</v>
          </cell>
          <cell r="F348">
            <v>0.69531448112224581</v>
          </cell>
          <cell r="G348">
            <v>3.4761641583815936E-2</v>
          </cell>
          <cell r="H348">
            <v>0.6503796835953527</v>
          </cell>
          <cell r="I348">
            <v>0.65057093589944326</v>
          </cell>
          <cell r="J348"/>
          <cell r="K348"/>
          <cell r="L348"/>
          <cell r="M348">
            <v>8.1367738736480306E-3</v>
          </cell>
          <cell r="N348">
            <v>7.9814535430889743E-3</v>
          </cell>
          <cell r="O348">
            <v>0.6515811087026917</v>
          </cell>
          <cell r="P348">
            <v>0.65291800330252858</v>
          </cell>
        </row>
        <row r="349">
          <cell r="B349" t="str">
            <v>ITOT-CHPOIL</v>
          </cell>
          <cell r="C349" t="str">
            <v>VAR_ncap</v>
          </cell>
          <cell r="D349" t="str">
            <v>-</v>
          </cell>
          <cell r="E349"/>
          <cell r="F349">
            <v>2.1245669908495399E-2</v>
          </cell>
          <cell r="G349"/>
          <cell r="H349"/>
          <cell r="I349"/>
          <cell r="J349"/>
          <cell r="K349"/>
          <cell r="L349"/>
          <cell r="M349">
            <v>2.51316829438641E-4</v>
          </cell>
          <cell r="N349">
            <v>5.3254722765772698E-6</v>
          </cell>
          <cell r="O349">
            <v>2.5161193917862899E-2</v>
          </cell>
          <cell r="P349">
            <v>2.3841238032921101E-6</v>
          </cell>
        </row>
        <row r="350">
          <cell r="B350" t="str">
            <v>ITOT-CHPOIL</v>
          </cell>
          <cell r="C350" t="str">
            <v>VAR_cap</v>
          </cell>
          <cell r="D350" t="str">
            <v>-</v>
          </cell>
          <cell r="E350">
            <v>8.3052550808421707E-3</v>
          </cell>
          <cell r="F350">
            <v>2.2178361586122783E-2</v>
          </cell>
          <cell r="G350">
            <v>2.2178172125903318E-2</v>
          </cell>
          <cell r="H350">
            <v>2.2178079105731979E-2</v>
          </cell>
          <cell r="I350">
            <v>1.0892779501093987E-2</v>
          </cell>
          <cell r="J350"/>
          <cell r="K350"/>
          <cell r="L350"/>
          <cell r="M350">
            <v>2.51316829438641E-4</v>
          </cell>
          <cell r="N350">
            <v>2.5652829291683229E-4</v>
          </cell>
          <cell r="O350">
            <v>2.5337834721204728E-2</v>
          </cell>
          <cell r="P350">
            <v>2.5168381447473707E-2</v>
          </cell>
        </row>
        <row r="351">
          <cell r="B351" t="str">
            <v>ENUC_GOE</v>
          </cell>
          <cell r="C351" t="str">
            <v>VAR_fout</v>
          </cell>
          <cell r="D351" t="str">
            <v>ELC</v>
          </cell>
          <cell r="E351">
            <v>29.714400274394556</v>
          </cell>
          <cell r="F351">
            <v>29.714398577079606</v>
          </cell>
          <cell r="G351">
            <v>2.5277880843549553E-3</v>
          </cell>
          <cell r="H351"/>
          <cell r="I351"/>
          <cell r="J351"/>
          <cell r="K351"/>
          <cell r="L351"/>
        </row>
        <row r="352">
          <cell r="B352" t="str">
            <v>ENUC_GOE</v>
          </cell>
          <cell r="C352" t="str">
            <v>VAR_fin</v>
          </cell>
          <cell r="D352" t="str">
            <v>URN</v>
          </cell>
          <cell r="E352">
            <v>89.580576180941875</v>
          </cell>
          <cell r="F352">
            <v>89.580571064013725</v>
          </cell>
          <cell r="G352">
            <v>7.6205715400207621E-3</v>
          </cell>
          <cell r="H352"/>
          <cell r="I352"/>
          <cell r="J352"/>
          <cell r="K352"/>
          <cell r="L352"/>
        </row>
        <row r="353">
          <cell r="B353" t="str">
            <v>ENUC_GOE</v>
          </cell>
          <cell r="C353" t="str">
            <v>VAR_cap</v>
          </cell>
          <cell r="D353" t="str">
            <v>-</v>
          </cell>
          <cell r="E353">
            <v>1.01</v>
          </cell>
          <cell r="F353">
            <v>1.0099999841054863</v>
          </cell>
          <cell r="G353">
            <v>9.6911965200119354E-5</v>
          </cell>
          <cell r="H353"/>
          <cell r="I353"/>
          <cell r="J353"/>
          <cell r="K353"/>
          <cell r="L353"/>
        </row>
        <row r="354">
          <cell r="B354" t="str">
            <v>D-RNGA</v>
          </cell>
          <cell r="C354" t="str">
            <v>VAR_fout</v>
          </cell>
          <cell r="D354" t="str">
            <v>CO2</v>
          </cell>
          <cell r="E354">
            <v>2650.4048598637</v>
          </cell>
          <cell r="F354">
            <v>2731.8339408281499</v>
          </cell>
          <cell r="G354">
            <v>2743.0031331926398</v>
          </cell>
          <cell r="H354">
            <v>2986.52218772881</v>
          </cell>
          <cell r="I354">
            <v>2919.6517565907702</v>
          </cell>
          <cell r="J354">
            <v>2770.8159679892301</v>
          </cell>
          <cell r="K354">
            <v>2177.72243613</v>
          </cell>
          <cell r="L354">
            <v>839.60487718514503</v>
          </cell>
          <cell r="M354">
            <v>420.85832049948903</v>
          </cell>
          <cell r="N354">
            <v>331.883552544954</v>
          </cell>
          <cell r="O354">
            <v>331.61495722715603</v>
          </cell>
          <cell r="P354">
            <v>274.24291857848601</v>
          </cell>
        </row>
        <row r="355">
          <cell r="B355" t="str">
            <v>D-RNGA</v>
          </cell>
          <cell r="C355" t="str">
            <v>VAR_fout</v>
          </cell>
          <cell r="D355" t="str">
            <v>RNGA</v>
          </cell>
          <cell r="E355">
            <v>47.156254208244185</v>
          </cell>
          <cell r="F355">
            <v>48.283015321400732</v>
          </cell>
          <cell r="G355">
            <v>48.480420241238328</v>
          </cell>
          <cell r="H355">
            <v>52.784367926389059</v>
          </cell>
          <cell r="I355">
            <v>51.60235721360857</v>
          </cell>
          <cell r="J355">
            <v>49.122625096529887</v>
          </cell>
          <cell r="K355">
            <v>38.640190530001959</v>
          </cell>
          <cell r="L355">
            <v>15.270901753886507</v>
          </cell>
          <cell r="M355">
            <v>7.8707064693750937</v>
          </cell>
          <cell r="N355">
            <v>6.2983131825533771</v>
          </cell>
          <cell r="O355">
            <v>6.2939816703154721</v>
          </cell>
          <cell r="P355">
            <v>5.2800323436106966</v>
          </cell>
        </row>
        <row r="356">
          <cell r="B356" t="str">
            <v>D-RNGA</v>
          </cell>
          <cell r="C356" t="str">
            <v>VAR_fout</v>
          </cell>
          <cell r="D356" t="str">
            <v>RSH2</v>
          </cell>
          <cell r="E356"/>
          <cell r="F356"/>
          <cell r="G356"/>
          <cell r="H356">
            <v>4.8682502735769248E-4</v>
          </cell>
          <cell r="I356">
            <v>4.4931428997741392E-2</v>
          </cell>
          <cell r="J356">
            <v>0.25374280300535784</v>
          </cell>
          <cell r="K356">
            <v>0.27428655130878771</v>
          </cell>
          <cell r="L356">
            <v>0.47314832181383837</v>
          </cell>
          <cell r="M356">
            <v>0.24314010104131353</v>
          </cell>
          <cell r="N356">
            <v>0.19435184817361612</v>
          </cell>
          <cell r="O356">
            <v>6.6302069452730997E-2</v>
          </cell>
          <cell r="P356">
            <v>5.5156886529454906E-2</v>
          </cell>
        </row>
        <row r="357">
          <cell r="B357" t="str">
            <v>D-RNGA</v>
          </cell>
          <cell r="C357" t="str">
            <v>VAR_fin</v>
          </cell>
          <cell r="D357" t="str">
            <v>NGA</v>
          </cell>
          <cell r="E357">
            <v>46.992993969214616</v>
          </cell>
          <cell r="F357">
            <v>48.43677200049919</v>
          </cell>
          <cell r="G357">
            <v>48.634807326110604</v>
          </cell>
          <cell r="H357">
            <v>52.95252105902145</v>
          </cell>
          <cell r="I357">
            <v>51.766875116857619</v>
          </cell>
          <cell r="J357">
            <v>49.127942694844357</v>
          </cell>
          <cell r="K357">
            <v>38.612099931382929</v>
          </cell>
          <cell r="L357">
            <v>14.886611297608939</v>
          </cell>
          <cell r="M357">
            <v>7.4620269592108075</v>
          </cell>
          <cell r="N357">
            <v>5.8844601515062847</v>
          </cell>
          <cell r="O357">
            <v>5.8796978231765333</v>
          </cell>
          <cell r="P357">
            <v>4.8624630953632284</v>
          </cell>
        </row>
        <row r="358">
          <cell r="B358" t="str">
            <v>D-RNGA</v>
          </cell>
          <cell r="C358" t="str">
            <v>VAR_fin</v>
          </cell>
          <cell r="D358" t="str">
            <v>BNGA</v>
          </cell>
          <cell r="E358">
            <v>0.31390653242286004</v>
          </cell>
          <cell r="F358">
            <v>4.8918741809449509E-4</v>
          </cell>
          <cell r="G358">
            <v>4.8941526788644685E-4</v>
          </cell>
          <cell r="H358">
            <v>4.8971392286427493E-4</v>
          </cell>
          <cell r="I358">
            <v>4.9035199828728019E-4</v>
          </cell>
          <cell r="J358">
            <v>0.15245032252147891</v>
          </cell>
          <cell r="K358">
            <v>0.1524510690831844</v>
          </cell>
          <cell r="L358">
            <v>0.4346279912442379</v>
          </cell>
          <cell r="M358">
            <v>0.43462499889864042</v>
          </cell>
          <cell r="N358">
            <v>0.43462628307327672</v>
          </cell>
          <cell r="O358">
            <v>0.43462986683998711</v>
          </cell>
          <cell r="P358">
            <v>0.43464354652505915</v>
          </cell>
        </row>
        <row r="359">
          <cell r="B359" t="str">
            <v>D-RNGA</v>
          </cell>
          <cell r="C359" t="str">
            <v>VAR_fin</v>
          </cell>
          <cell r="D359" t="str">
            <v>H2</v>
          </cell>
          <cell r="E359"/>
          <cell r="F359"/>
          <cell r="G359"/>
          <cell r="H359">
            <v>4.865018277547169E-4</v>
          </cell>
          <cell r="I359">
            <v>4.4931388262992839E-2</v>
          </cell>
          <cell r="J359">
            <v>0.25374280300536367</v>
          </cell>
          <cell r="K359">
            <v>0.27428520648636456</v>
          </cell>
          <cell r="L359">
            <v>0.47314763306745788</v>
          </cell>
          <cell r="M359">
            <v>0.24314009802942124</v>
          </cell>
          <cell r="N359">
            <v>0.19435184758962196</v>
          </cell>
          <cell r="O359">
            <v>6.6301974583577311E-2</v>
          </cell>
          <cell r="P359">
            <v>5.51561749295661E-2</v>
          </cell>
        </row>
        <row r="360">
          <cell r="B360" t="str">
            <v>D-RNGA</v>
          </cell>
          <cell r="C360" t="str">
            <v>VAR_ncap</v>
          </cell>
          <cell r="D360" t="str">
            <v>-</v>
          </cell>
          <cell r="E360">
            <v>5.5583395114518298E-8</v>
          </cell>
          <cell r="F360">
            <v>2.81010074551305E-8</v>
          </cell>
          <cell r="G360">
            <v>3.53327349166716E-8</v>
          </cell>
          <cell r="H360">
            <v>3.7951179283471402E-8</v>
          </cell>
          <cell r="I360">
            <v>6.3231960070077505E-8</v>
          </cell>
          <cell r="J360">
            <v>5.5989677967092502E-8</v>
          </cell>
          <cell r="K360">
            <v>9.0060299475512398E-8</v>
          </cell>
          <cell r="L360">
            <v>7.1237454330018099E-7</v>
          </cell>
          <cell r="M360">
            <v>0.45961314778844498</v>
          </cell>
          <cell r="N360">
            <v>2.9615860968195799E-7</v>
          </cell>
          <cell r="O360">
            <v>3.7076612924210602E-7</v>
          </cell>
          <cell r="P360">
            <v>1.5130655888130299E-6</v>
          </cell>
        </row>
        <row r="361">
          <cell r="B361" t="str">
            <v>D-RNGA</v>
          </cell>
          <cell r="C361" t="str">
            <v>VAR_cap</v>
          </cell>
          <cell r="D361" t="str">
            <v>-</v>
          </cell>
          <cell r="E361">
            <v>3.0972400629793153</v>
          </cell>
          <cell r="F361">
            <v>3.0972400910803226</v>
          </cell>
          <cell r="G361">
            <v>3.0972401264130576</v>
          </cell>
          <cell r="H361">
            <v>3.0972401643642367</v>
          </cell>
          <cell r="I361">
            <v>3.0972402275961968</v>
          </cell>
          <cell r="J361">
            <v>3.097240283585875</v>
          </cell>
          <cell r="K361">
            <v>3.0972403736461742</v>
          </cell>
          <cell r="L361">
            <v>1.0580097088122675</v>
          </cell>
          <cell r="M361">
            <v>0.45961422641324301</v>
          </cell>
          <cell r="N361">
            <v>0.45961446769952002</v>
          </cell>
          <cell r="O361">
            <v>0.45961476854800298</v>
          </cell>
          <cell r="P361">
            <v>0.45961624943525398</v>
          </cell>
        </row>
        <row r="362">
          <cell r="B362" t="str">
            <v>RHES-CHPGFC</v>
          </cell>
          <cell r="C362" t="str">
            <v>VAR_fout</v>
          </cell>
          <cell r="D362" t="str">
            <v>CO2_R</v>
          </cell>
          <cell r="E362"/>
          <cell r="F362"/>
          <cell r="G362"/>
          <cell r="H362"/>
          <cell r="I362"/>
          <cell r="J362"/>
          <cell r="K362"/>
          <cell r="L362"/>
          <cell r="M362">
            <v>2.59166935314241E-2</v>
          </cell>
          <cell r="N362">
            <v>4.7171837719453102E-2</v>
          </cell>
          <cell r="O362">
            <v>4.7348958464374397E-2</v>
          </cell>
          <cell r="P362">
            <v>8.2494100657355199E-2</v>
          </cell>
        </row>
        <row r="363">
          <cell r="B363" t="str">
            <v>RHES-CHPGFC</v>
          </cell>
          <cell r="C363" t="str">
            <v>VAR_fout</v>
          </cell>
          <cell r="D363" t="str">
            <v>RHES_NKEV_GAS_ELC_CHP</v>
          </cell>
          <cell r="E363"/>
          <cell r="F363"/>
          <cell r="G363"/>
          <cell r="H363"/>
          <cell r="I363"/>
          <cell r="J363"/>
          <cell r="K363"/>
          <cell r="L363"/>
          <cell r="M363">
            <v>2.0678212924008597E-4</v>
          </cell>
          <cell r="N363">
            <v>3.7637104563393431E-4</v>
          </cell>
          <cell r="O363">
            <v>3.7778424306681726E-4</v>
          </cell>
          <cell r="P363">
            <v>6.5819761162783433E-4</v>
          </cell>
        </row>
        <row r="364">
          <cell r="B364" t="str">
            <v>RHES-CHPGFC</v>
          </cell>
          <cell r="C364" t="str">
            <v>VAR_fout</v>
          </cell>
          <cell r="D364" t="str">
            <v>RHES_LTH_CHPNGA</v>
          </cell>
          <cell r="E364"/>
          <cell r="F364"/>
          <cell r="G364"/>
          <cell r="H364"/>
          <cell r="I364"/>
          <cell r="J364"/>
          <cell r="K364"/>
          <cell r="L364"/>
          <cell r="M364">
            <v>2.0678212924008597E-4</v>
          </cell>
          <cell r="N364">
            <v>3.7637104563393431E-4</v>
          </cell>
          <cell r="O364">
            <v>3.7778424306681726E-4</v>
          </cell>
          <cell r="P364">
            <v>6.5819761162783433E-4</v>
          </cell>
        </row>
        <row r="365">
          <cell r="B365" t="str">
            <v>RHES-CHPGFC</v>
          </cell>
          <cell r="C365" t="str">
            <v>VAR_fin</v>
          </cell>
          <cell r="D365" t="str">
            <v>RNGA</v>
          </cell>
          <cell r="E365"/>
          <cell r="F365"/>
          <cell r="G365"/>
          <cell r="H365"/>
          <cell r="I365"/>
          <cell r="J365"/>
          <cell r="K365"/>
          <cell r="L365"/>
          <cell r="M365">
            <v>4.5951584275574699E-4</v>
          </cell>
          <cell r="N365">
            <v>8.3638010140874356E-4</v>
          </cell>
          <cell r="O365">
            <v>8.3952054014848167E-4</v>
          </cell>
          <cell r="P365">
            <v>1.4626613591729664E-3</v>
          </cell>
        </row>
        <row r="366">
          <cell r="B366" t="str">
            <v>RHES-CHPGFC</v>
          </cell>
          <cell r="C366" t="str">
            <v>VAR_ncap</v>
          </cell>
          <cell r="D366" t="str">
            <v>-</v>
          </cell>
          <cell r="E366"/>
          <cell r="F366"/>
          <cell r="G366"/>
          <cell r="H366"/>
          <cell r="I366"/>
          <cell r="J366"/>
          <cell r="K366"/>
          <cell r="L366"/>
          <cell r="M366">
            <v>1.8369396859767799E-5</v>
          </cell>
          <cell r="N366">
            <v>1.51345866035566E-5</v>
          </cell>
          <cell r="O366">
            <v>1.4946420221649999E-7</v>
          </cell>
          <cell r="P366">
            <v>2.5126511886071301E-5</v>
          </cell>
        </row>
        <row r="367">
          <cell r="B367" t="str">
            <v>RHES-CHPGFC</v>
          </cell>
          <cell r="C367" t="str">
            <v>VAR_cap</v>
          </cell>
          <cell r="D367" t="str">
            <v>-</v>
          </cell>
          <cell r="E367"/>
          <cell r="F367"/>
          <cell r="G367"/>
          <cell r="H367"/>
          <cell r="I367"/>
          <cell r="J367"/>
          <cell r="K367"/>
          <cell r="L367"/>
          <cell r="M367">
            <v>1.8369396859767799E-5</v>
          </cell>
          <cell r="N367">
            <v>3.3503983463324498E-5</v>
          </cell>
          <cell r="O367">
            <v>3.3632350348898566E-5</v>
          </cell>
          <cell r="P367">
            <v>5.8696697170319347E-5</v>
          </cell>
        </row>
        <row r="368">
          <cell r="B368" t="str">
            <v>ITOT-CHPHFC</v>
          </cell>
          <cell r="C368" t="str">
            <v>VAR_fout</v>
          </cell>
          <cell r="D368" t="str">
            <v>ITOT_LTH_CHP</v>
          </cell>
          <cell r="E368"/>
          <cell r="F368"/>
          <cell r="G368"/>
          <cell r="H368">
            <v>1.9233364296897756E-3</v>
          </cell>
          <cell r="I368">
            <v>0.45723823571391725</v>
          </cell>
          <cell r="J368">
            <v>2.0200243011181827</v>
          </cell>
          <cell r="K368">
            <v>2.2549229912208739</v>
          </cell>
          <cell r="L368">
            <v>2.4224520861841889</v>
          </cell>
          <cell r="M368">
            <v>2.4224536404995782</v>
          </cell>
          <cell r="N368">
            <v>2.4224533482618567</v>
          </cell>
          <cell r="O368">
            <v>2.422453669684455</v>
          </cell>
          <cell r="P368">
            <v>2.4224542213489419</v>
          </cell>
        </row>
        <row r="369">
          <cell r="B369" t="str">
            <v>ITOT-CHPHFC</v>
          </cell>
          <cell r="C369" t="str">
            <v>VAR_fout</v>
          </cell>
          <cell r="D369" t="str">
            <v>ITOT_KEV_HFC_ELC_CHP</v>
          </cell>
          <cell r="E369"/>
          <cell r="F369"/>
          <cell r="G369"/>
          <cell r="H369">
            <v>2.5731122505309179E-3</v>
          </cell>
          <cell r="I369">
            <v>0.67865945031001174</v>
          </cell>
          <cell r="J369">
            <v>3.3667071685303029</v>
          </cell>
          <cell r="K369">
            <v>4.0998599840379519</v>
          </cell>
          <cell r="L369">
            <v>4.844904172368377</v>
          </cell>
          <cell r="M369">
            <v>4.8449072809991547</v>
          </cell>
          <cell r="N369">
            <v>4.8449066965237124</v>
          </cell>
          <cell r="O369">
            <v>4.8449073393689117</v>
          </cell>
          <cell r="P369">
            <v>4.8449084426978821</v>
          </cell>
        </row>
        <row r="370">
          <cell r="B370" t="str">
            <v>ITOT-CHPHFC</v>
          </cell>
          <cell r="C370" t="str">
            <v>VAR_fin</v>
          </cell>
          <cell r="D370" t="str">
            <v>IH2</v>
          </cell>
          <cell r="E370"/>
          <cell r="F370"/>
          <cell r="G370"/>
          <cell r="H370">
            <v>5.1982065667291206E-3</v>
          </cell>
          <cell r="I370">
            <v>1.2988697613588731</v>
          </cell>
          <cell r="J370">
            <v>6.121285760964188</v>
          </cell>
          <cell r="K370">
            <v>7.1301912765877447</v>
          </cell>
          <cell r="L370">
            <v>8.0748402872806242</v>
          </cell>
          <cell r="M370">
            <v>8.074845468331926</v>
          </cell>
          <cell r="N370">
            <v>8.0748444942061912</v>
          </cell>
          <cell r="O370">
            <v>8.0748455656148472</v>
          </cell>
          <cell r="P370">
            <v>8.0748474044964667</v>
          </cell>
        </row>
        <row r="371">
          <cell r="B371" t="str">
            <v>ITOT-CHPHFC</v>
          </cell>
          <cell r="C371" t="str">
            <v>VAR_ncap</v>
          </cell>
          <cell r="D371" t="str">
            <v>-</v>
          </cell>
          <cell r="E371"/>
          <cell r="F371"/>
          <cell r="G371"/>
          <cell r="H371">
            <v>9.8984846551847597E-5</v>
          </cell>
          <cell r="I371">
            <v>3.8187105325923398E-2</v>
          </cell>
          <cell r="J371">
            <v>8.7330411213094594E-2</v>
          </cell>
          <cell r="K371">
            <v>3.9164185557985301E-2</v>
          </cell>
          <cell r="L371">
            <v>6.7780725196368005E-2</v>
          </cell>
          <cell r="M371">
            <v>7.3012944642177696E-2</v>
          </cell>
          <cell r="N371">
            <v>4.6010536665313698E-2</v>
          </cell>
          <cell r="O371">
            <v>7.2861104698560095E-2</v>
          </cell>
          <cell r="P371">
            <v>6.1900577291454102E-2</v>
          </cell>
        </row>
        <row r="372">
          <cell r="B372" t="str">
            <v>ITOT-CHPHFC</v>
          </cell>
          <cell r="C372" t="str">
            <v>VAR_cap</v>
          </cell>
          <cell r="D372" t="str">
            <v>-</v>
          </cell>
          <cell r="E372"/>
          <cell r="F372"/>
          <cell r="G372"/>
          <cell r="H372">
            <v>9.8984846551847597E-5</v>
          </cell>
          <cell r="I372">
            <v>3.8286070970523993E-2</v>
          </cell>
          <cell r="J372">
            <v>0.1255975904018572</v>
          </cell>
          <cell r="K372">
            <v>0.16468162621638252</v>
          </cell>
          <cell r="L372">
            <v>0.19427518268764829</v>
          </cell>
          <cell r="M372">
            <v>0.18818731112782441</v>
          </cell>
          <cell r="N372">
            <v>0.18680404354697142</v>
          </cell>
          <cell r="O372">
            <v>0.18074372423552898</v>
          </cell>
          <cell r="P372">
            <v>0.18077203588179191</v>
          </cell>
        </row>
        <row r="373">
          <cell r="B373" t="str">
            <v>G-INTC-TRA</v>
          </cell>
          <cell r="C373" t="str">
            <v>VAR_fout</v>
          </cell>
          <cell r="D373" t="str">
            <v>TRAN_ELC</v>
          </cell>
          <cell r="E373">
            <v>8.3770487008882899</v>
          </cell>
          <cell r="F373">
            <v>12.121473243980555</v>
          </cell>
          <cell r="G373">
            <v>15.116671869904312</v>
          </cell>
          <cell r="H373">
            <v>24.260701264665503</v>
          </cell>
          <cell r="I373">
            <v>24.323827923736367</v>
          </cell>
          <cell r="J373">
            <v>24.622540943327394</v>
          </cell>
          <cell r="K373">
            <v>25.433497673143069</v>
          </cell>
          <cell r="L373">
            <v>26.028613109617815</v>
          </cell>
          <cell r="M373">
            <v>26.035279821229199</v>
          </cell>
          <cell r="N373">
            <v>25.916396369527359</v>
          </cell>
          <cell r="O373">
            <v>25.749828968837082</v>
          </cell>
          <cell r="P373">
            <v>25.277286050957883</v>
          </cell>
        </row>
        <row r="374">
          <cell r="B374" t="str">
            <v>G-INTC-TRA</v>
          </cell>
          <cell r="C374" t="str">
            <v>VAR_fin</v>
          </cell>
          <cell r="D374" t="str">
            <v>ELC3</v>
          </cell>
          <cell r="E374">
            <v>7.732660339281499</v>
          </cell>
          <cell r="F374">
            <v>12.120470612389409</v>
          </cell>
          <cell r="G374">
            <v>15.115170865593695</v>
          </cell>
          <cell r="H374">
            <v>17.054552374170811</v>
          </cell>
          <cell r="I374">
            <v>24.13693354491387</v>
          </cell>
          <cell r="J374">
            <v>12.854414757178278</v>
          </cell>
          <cell r="K374">
            <v>25.011356012323191</v>
          </cell>
          <cell r="L374">
            <v>11.94350918004616</v>
          </cell>
          <cell r="M374">
            <v>25.826109796848385</v>
          </cell>
          <cell r="N374">
            <v>25.612912323066393</v>
          </cell>
          <cell r="O374">
            <v>25.337611344020711</v>
          </cell>
          <cell r="P374">
            <v>24.572154488051215</v>
          </cell>
        </row>
        <row r="375">
          <cell r="B375" t="str">
            <v>G-INTC-TRA</v>
          </cell>
          <cell r="C375" t="str">
            <v>VAR_fin</v>
          </cell>
          <cell r="D375" t="str">
            <v>ELC5</v>
          </cell>
          <cell r="E375">
            <v>0.64438836160679214</v>
          </cell>
          <cell r="F375">
            <v>1.0026315911614311E-3</v>
          </cell>
          <cell r="G375">
            <v>1.5010043106079404E-3</v>
          </cell>
          <cell r="H375">
            <v>7.2061488904947071</v>
          </cell>
          <cell r="I375">
            <v>0.18689437882247387</v>
          </cell>
          <cell r="J375">
            <v>11.768126186149116</v>
          </cell>
          <cell r="K375">
            <v>0.42214166081990356</v>
          </cell>
          <cell r="L375">
            <v>14.085103929571657</v>
          </cell>
          <cell r="M375">
            <v>0.20917002438084076</v>
          </cell>
          <cell r="N375">
            <v>0.30348404646096638</v>
          </cell>
          <cell r="O375">
            <v>0.41221762481636104</v>
          </cell>
          <cell r="P375">
            <v>0.70513156290665635</v>
          </cell>
        </row>
        <row r="376">
          <cell r="B376" t="str">
            <v>G-INTC-TRA</v>
          </cell>
          <cell r="C376" t="str">
            <v>VAR_ncap</v>
          </cell>
          <cell r="D376" t="str">
            <v>-</v>
          </cell>
          <cell r="E376">
            <v>4.3928986866071301E-8</v>
          </cell>
          <cell r="F376">
            <v>4.7536757185824102E-8</v>
          </cell>
          <cell r="G376">
            <v>6.1076380431536498E-8</v>
          </cell>
          <cell r="H376">
            <v>7.4121773408204094E-8</v>
          </cell>
          <cell r="I376">
            <v>1.10701628328187E-7</v>
          </cell>
          <cell r="J376">
            <v>1.4754513222663999E-7</v>
          </cell>
          <cell r="K376">
            <v>1.9466668793155001E-7</v>
          </cell>
          <cell r="L376">
            <v>3.1450389016647601E-7</v>
          </cell>
          <cell r="M376">
            <v>3.77657710432969E-7</v>
          </cell>
          <cell r="N376">
            <v>6.4464501777327297E-7</v>
          </cell>
          <cell r="O376">
            <v>1.1270571882059E-6</v>
          </cell>
        </row>
        <row r="377">
          <cell r="B377" t="str">
            <v>G-INTC-TRA</v>
          </cell>
          <cell r="C377" t="str">
            <v>VAR_cap</v>
          </cell>
          <cell r="D377" t="str">
            <v>-</v>
          </cell>
          <cell r="E377">
            <v>0.86351880627381705</v>
          </cell>
          <cell r="F377">
            <v>0.86351882055676332</v>
          </cell>
          <cell r="G377">
            <v>0.86351889773956114</v>
          </cell>
          <cell r="H377">
            <v>0.86351899959695122</v>
          </cell>
          <cell r="I377">
            <v>0.86351905959664599</v>
          </cell>
          <cell r="J377">
            <v>0.86351920048108954</v>
          </cell>
          <cell r="K377">
            <v>0.86351938491434521</v>
          </cell>
          <cell r="L377">
            <v>0.86351948585116345</v>
          </cell>
          <cell r="M377">
            <v>0.86352000813830054</v>
          </cell>
          <cell r="N377">
            <v>0.86352033325480793</v>
          </cell>
          <cell r="O377">
            <v>0.86352136532342472</v>
          </cell>
          <cell r="P377">
            <v>0.86352194971496998</v>
          </cell>
        </row>
        <row r="378">
          <cell r="B378" t="str">
            <v>SCOM-SWHSTG-CHPBIO</v>
          </cell>
          <cell r="C378" t="str">
            <v>VAR_fout</v>
          </cell>
          <cell r="D378" t="str">
            <v>AUX_SCOM-CHPBIO_OUT</v>
          </cell>
          <cell r="E378">
            <v>3.6764622557742201E-6</v>
          </cell>
          <cell r="F378">
            <v>3.050213086271998E-5</v>
          </cell>
          <cell r="G378">
            <v>6.8528276839590575E-3</v>
          </cell>
          <cell r="H378">
            <v>3.3171607565481071E-3</v>
          </cell>
          <cell r="I378">
            <v>3.7251273968923429E-2</v>
          </cell>
          <cell r="J378">
            <v>4.3945129836262392E-2</v>
          </cell>
          <cell r="K378">
            <v>0.35160578044377661</v>
          </cell>
          <cell r="L378">
            <v>0.39512320931393519</v>
          </cell>
          <cell r="M378">
            <v>0.4543161475906049</v>
          </cell>
          <cell r="N378">
            <v>0.34004923789975139</v>
          </cell>
          <cell r="O378">
            <v>0.35122567384070186</v>
          </cell>
          <cell r="P378">
            <v>0.4965429857035642</v>
          </cell>
        </row>
        <row r="379">
          <cell r="B379" t="str">
            <v>SCOM-SWHSTG-CHPBIO</v>
          </cell>
          <cell r="C379" t="str">
            <v>VAR_fout</v>
          </cell>
          <cell r="D379" t="str">
            <v>SCOM_LTH_CHPBIO</v>
          </cell>
          <cell r="E379">
            <v>3.6764622557742278E-6</v>
          </cell>
          <cell r="F379">
            <v>3.0527062361764909E-5</v>
          </cell>
          <cell r="G379">
            <v>6.8615796988811002E-3</v>
          </cell>
          <cell r="H379">
            <v>3.3171607565480985E-3</v>
          </cell>
          <cell r="I379">
            <v>3.7292710313716428E-2</v>
          </cell>
          <cell r="J379">
            <v>4.3945129836262371E-2</v>
          </cell>
          <cell r="K379">
            <v>0.35194948110892171</v>
          </cell>
          <cell r="L379">
            <v>0.39512320931393519</v>
          </cell>
          <cell r="M379">
            <v>0.4543161475906049</v>
          </cell>
          <cell r="N379">
            <v>0.34004923789975139</v>
          </cell>
          <cell r="O379">
            <v>0.35122567384070186</v>
          </cell>
          <cell r="P379">
            <v>0.4965429857035642</v>
          </cell>
        </row>
        <row r="380">
          <cell r="B380" t="str">
            <v>SCOM-SWHSTG-CHPBIO</v>
          </cell>
          <cell r="C380" t="str">
            <v>VAR_fin</v>
          </cell>
          <cell r="D380" t="str">
            <v>SCOM_LTH_CHPBIO</v>
          </cell>
          <cell r="E380">
            <v>3.0174397115733209E-6</v>
          </cell>
          <cell r="F380">
            <v>3.7137545495437917E-5</v>
          </cell>
          <cell r="G380">
            <v>8.168421307580288E-3</v>
          </cell>
          <cell r="H380">
            <v>3.8135602045111638E-3</v>
          </cell>
          <cell r="I380">
            <v>4.1437389345966191E-2</v>
          </cell>
          <cell r="J380">
            <v>4.7253868059066985E-2</v>
          </cell>
          <cell r="K380">
            <v>0.36661556532648204</v>
          </cell>
          <cell r="L380">
            <v>0.39911669833320468</v>
          </cell>
          <cell r="M380">
            <v>0.45890619774608854</v>
          </cell>
          <cell r="N380">
            <v>0.34348625146030176</v>
          </cell>
          <cell r="O380">
            <v>0.3547743748513813</v>
          </cell>
          <cell r="P380">
            <v>0.50156100650892121</v>
          </cell>
        </row>
        <row r="381">
          <cell r="B381" t="str">
            <v>SCOM-SWHSTG-CHPBIO</v>
          </cell>
          <cell r="C381" t="str">
            <v>VAR_fin</v>
          </cell>
          <cell r="D381" t="str">
            <v>AUX_SCOM-CHPBIO_IN</v>
          </cell>
          <cell r="E381">
            <v>3.0174397115733209E-6</v>
          </cell>
          <cell r="F381">
            <v>3.7137545495437917E-5</v>
          </cell>
          <cell r="G381">
            <v>8.168421307580288E-3</v>
          </cell>
          <cell r="H381">
            <v>3.8135602045111638E-3</v>
          </cell>
          <cell r="I381">
            <v>4.1437389345966191E-2</v>
          </cell>
          <cell r="J381">
            <v>4.7253868059066985E-2</v>
          </cell>
          <cell r="K381">
            <v>0.36661556532648204</v>
          </cell>
          <cell r="L381">
            <v>0.39911669833320468</v>
          </cell>
          <cell r="M381">
            <v>0.45890619774608854</v>
          </cell>
          <cell r="N381">
            <v>0.34348625146030176</v>
          </cell>
          <cell r="O381">
            <v>0.3547743748513813</v>
          </cell>
          <cell r="P381">
            <v>0.50156100650892121</v>
          </cell>
        </row>
        <row r="382">
          <cell r="B382" t="str">
            <v>SCOM-SWHSTG-CHPBIO</v>
          </cell>
          <cell r="C382" t="str">
            <v>VAR_ncap</v>
          </cell>
          <cell r="D382" t="str">
            <v>-</v>
          </cell>
          <cell r="E382">
            <v>7.2635529777699396E-4</v>
          </cell>
          <cell r="F382">
            <v>9.3737013944742693E-6</v>
          </cell>
          <cell r="G382">
            <v>3.5178326054006E-4</v>
          </cell>
          <cell r="H382">
            <v>6.6475948879145197E-6</v>
          </cell>
          <cell r="I382">
            <v>9.7229524024062593E-3</v>
          </cell>
          <cell r="J382">
            <v>7.4074551493770799E-5</v>
          </cell>
          <cell r="K382">
            <v>8.6269421131260404E-2</v>
          </cell>
          <cell r="L382">
            <v>1.55465537124016E-3</v>
          </cell>
          <cell r="M382">
            <v>1.6047812201392401E-2</v>
          </cell>
          <cell r="N382">
            <v>4.5826342656185001E-2</v>
          </cell>
          <cell r="O382">
            <v>1.3206921240130299E-2</v>
          </cell>
          <cell r="P382">
            <v>3.3780290266995201E-2</v>
          </cell>
        </row>
        <row r="383">
          <cell r="B383" t="str">
            <v>SCOM-SWHSTG-CHPBIO</v>
          </cell>
          <cell r="C383" t="str">
            <v>VAR_cap</v>
          </cell>
          <cell r="D383" t="str">
            <v>-</v>
          </cell>
          <cell r="E383">
            <v>7.2635529777699396E-4</v>
          </cell>
          <cell r="F383">
            <v>7.3482499129724321E-4</v>
          </cell>
          <cell r="G383">
            <v>1.0843960810235542E-3</v>
          </cell>
          <cell r="H383">
            <v>1.0851862046142894E-3</v>
          </cell>
          <cell r="I383">
            <v>1.0263772654339613E-2</v>
          </cell>
          <cell r="J383">
            <v>9.8694084041794274E-3</v>
          </cell>
          <cell r="K383">
            <v>9.6061243052632639E-2</v>
          </cell>
          <cell r="L383">
            <v>8.7890626761491841E-2</v>
          </cell>
          <cell r="M383">
            <v>9.2442083431075586E-2</v>
          </cell>
          <cell r="N383">
            <v>6.3419513004842054E-2</v>
          </cell>
          <cell r="O383">
            <v>7.0254564328742025E-2</v>
          </cell>
          <cell r="P383">
            <v>9.2804587380915765E-2</v>
          </cell>
        </row>
        <row r="384">
          <cell r="B384" t="str">
            <v>SCOM-SWHSTG-CHPHFC</v>
          </cell>
          <cell r="C384" t="str">
            <v>VAR_fout</v>
          </cell>
          <cell r="D384" t="str">
            <v>AUX_SCOM-CHPHFC_OUT</v>
          </cell>
          <cell r="E384">
            <v>1.9588209296965046E-5</v>
          </cell>
          <cell r="F384">
            <v>1.4896627699623395E-5</v>
          </cell>
          <cell r="G384">
            <v>1.5215841150291764E-5</v>
          </cell>
          <cell r="H384">
            <v>6.5715469690545312E-4</v>
          </cell>
          <cell r="I384">
            <v>2.9010985914595397E-3</v>
          </cell>
          <cell r="J384">
            <v>5.0456013410982983E-3</v>
          </cell>
          <cell r="K384">
            <v>1.0176568654708394E-2</v>
          </cell>
          <cell r="L384">
            <v>1.2404979588283776E-2</v>
          </cell>
          <cell r="M384">
            <v>1.4598028542507016E-2</v>
          </cell>
          <cell r="N384">
            <v>2.6011625443855293E-2</v>
          </cell>
          <cell r="O384">
            <v>3.1647401931279365E-2</v>
          </cell>
          <cell r="P384">
            <v>0.13701904398859827</v>
          </cell>
        </row>
        <row r="385">
          <cell r="B385" t="str">
            <v>SCOM-SWHSTG-CHPHFC</v>
          </cell>
          <cell r="C385" t="str">
            <v>VAR_fout</v>
          </cell>
          <cell r="D385" t="str">
            <v>SCOM_LTH_CHPHFC</v>
          </cell>
          <cell r="E385">
            <v>1.958820929696508E-5</v>
          </cell>
          <cell r="F385">
            <v>1.4908803742698466E-5</v>
          </cell>
          <cell r="G385">
            <v>1.5235273897610148E-5</v>
          </cell>
          <cell r="H385">
            <v>6.5715469690545247E-4</v>
          </cell>
          <cell r="I385">
            <v>2.9043256199261206E-3</v>
          </cell>
          <cell r="J385">
            <v>5.0456013410982931E-3</v>
          </cell>
          <cell r="K385">
            <v>1.0186516424654339E-2</v>
          </cell>
          <cell r="L385">
            <v>1.2404979588283776E-2</v>
          </cell>
          <cell r="M385">
            <v>1.4598028542507012E-2</v>
          </cell>
          <cell r="N385">
            <v>2.6011625443855293E-2</v>
          </cell>
          <cell r="O385">
            <v>3.1647401931279365E-2</v>
          </cell>
          <cell r="P385">
            <v>0.13701904398859827</v>
          </cell>
        </row>
        <row r="386">
          <cell r="B386" t="str">
            <v>SCOM-SWHSTG-CHPHFC</v>
          </cell>
          <cell r="C386" t="str">
            <v>VAR_fin</v>
          </cell>
          <cell r="D386" t="str">
            <v>SCOM_LTH_CHPHFC</v>
          </cell>
          <cell r="E386">
            <v>1.958820929696508E-5</v>
          </cell>
          <cell r="F386">
            <v>1.4908803742698466E-5</v>
          </cell>
          <cell r="G386">
            <v>1.5235273897610148E-5</v>
          </cell>
          <cell r="H386">
            <v>7.5534235426819778E-4</v>
          </cell>
          <cell r="I386">
            <v>3.2269969783372864E-3</v>
          </cell>
          <cell r="J386">
            <v>5.4253777861272999E-3</v>
          </cell>
          <cell r="K386">
            <v>1.0611120381240612E-2</v>
          </cell>
          <cell r="L386">
            <v>1.2530930046542295E-2</v>
          </cell>
          <cell r="M386">
            <v>1.4745478128226948E-2</v>
          </cell>
          <cell r="N386">
            <v>2.6274964706488133E-2</v>
          </cell>
          <cell r="O386">
            <v>3.1966957200953536E-2</v>
          </cell>
          <cell r="P386">
            <v>0.13840380651074441</v>
          </cell>
        </row>
        <row r="387">
          <cell r="B387" t="str">
            <v>SCOM-SWHSTG-CHPHFC</v>
          </cell>
          <cell r="C387" t="str">
            <v>VAR_fin</v>
          </cell>
          <cell r="D387" t="str">
            <v>AUX_SCOM-CHPHFC_IN</v>
          </cell>
          <cell r="E387">
            <v>1.958820929696508E-5</v>
          </cell>
          <cell r="F387">
            <v>1.4908803742698466E-5</v>
          </cell>
          <cell r="G387">
            <v>1.5235273897610148E-5</v>
          </cell>
          <cell r="H387">
            <v>7.5534235426819778E-4</v>
          </cell>
          <cell r="I387">
            <v>3.2269969783372864E-3</v>
          </cell>
          <cell r="J387">
            <v>5.4253777861272999E-3</v>
          </cell>
          <cell r="K387">
            <v>1.0611120381240612E-2</v>
          </cell>
          <cell r="L387">
            <v>1.2530930046542295E-2</v>
          </cell>
          <cell r="M387">
            <v>1.4745478128226948E-2</v>
          </cell>
          <cell r="N387">
            <v>2.6274964706488133E-2</v>
          </cell>
          <cell r="O387">
            <v>3.1966957200953536E-2</v>
          </cell>
          <cell r="P387">
            <v>0.13840380651074441</v>
          </cell>
        </row>
        <row r="388">
          <cell r="B388" t="str">
            <v>SCOM-SWHSTG-CHPHFC</v>
          </cell>
          <cell r="C388" t="str">
            <v>VAR_ncap</v>
          </cell>
          <cell r="D388" t="str">
            <v>-</v>
          </cell>
          <cell r="E388">
            <v>3.2535366758855802E-4</v>
          </cell>
          <cell r="F388">
            <v>8.6179578708237092E-6</v>
          </cell>
          <cell r="G388">
            <v>1.49184512963496E-5</v>
          </cell>
          <cell r="H388">
            <v>1.52527806930446E-5</v>
          </cell>
          <cell r="I388">
            <v>4.65210156002431E-4</v>
          </cell>
          <cell r="J388">
            <v>1.09610201294498E-4</v>
          </cell>
          <cell r="K388">
            <v>9.3237416660879696E-5</v>
          </cell>
          <cell r="L388">
            <v>8.9918971041324299E-4</v>
          </cell>
          <cell r="M388">
            <v>6.3672577330169006E-5</v>
          </cell>
          <cell r="N388">
            <v>6.8692080234400302E-4</v>
          </cell>
          <cell r="O388">
            <v>1.0986078169022201E-3</v>
          </cell>
          <cell r="P388">
            <v>6.7620660637074202E-3</v>
          </cell>
        </row>
        <row r="389">
          <cell r="B389" t="str">
            <v>SCOM-SWHSTG-CHPHFC</v>
          </cell>
          <cell r="C389" t="str">
            <v>VAR_cap</v>
          </cell>
          <cell r="D389" t="str">
            <v>-</v>
          </cell>
          <cell r="E389">
            <v>3.2535366758855802E-4</v>
          </cell>
          <cell r="F389">
            <v>3.3301987166057905E-4</v>
          </cell>
          <cell r="G389">
            <v>3.4564600649114314E-4</v>
          </cell>
          <cell r="H389">
            <v>3.5722108790004137E-4</v>
          </cell>
          <cell r="I389">
            <v>5.736697780170211E-4</v>
          </cell>
          <cell r="J389">
            <v>5.8369856473683326E-4</v>
          </cell>
          <cell r="K389">
            <v>6.626673446237599E-4</v>
          </cell>
          <cell r="L389">
            <v>1.0945520823300522E-3</v>
          </cell>
          <cell r="M389">
            <v>1.0489155696455533E-3</v>
          </cell>
          <cell r="N389">
            <v>1.6404610705101248E-3</v>
          </cell>
          <cell r="O389">
            <v>1.974211287577337E-3</v>
          </cell>
          <cell r="P389">
            <v>8.5388067645007157E-3</v>
          </cell>
        </row>
        <row r="390">
          <cell r="B390" t="str">
            <v>D-IHFO</v>
          </cell>
          <cell r="C390" t="str">
            <v>VAR_fout</v>
          </cell>
          <cell r="D390" t="str">
            <v>CO2</v>
          </cell>
          <cell r="E390">
            <v>213.78046833037999</v>
          </cell>
          <cell r="F390">
            <v>197.86686925474399</v>
          </cell>
          <cell r="G390">
            <v>7.3651369189197E-2</v>
          </cell>
          <cell r="H390">
            <v>1.03839182896204E-2</v>
          </cell>
          <cell r="I390">
            <v>6.6410798068716201E-3</v>
          </cell>
          <cell r="J390">
            <v>4.3590438371188103E-2</v>
          </cell>
          <cell r="K390">
            <v>2.6711323483115602E-2</v>
          </cell>
          <cell r="L390"/>
        </row>
        <row r="391">
          <cell r="B391" t="str">
            <v>D-IHFO</v>
          </cell>
          <cell r="C391" t="str">
            <v>VAR_fout</v>
          </cell>
          <cell r="D391" t="str">
            <v>IHFO</v>
          </cell>
          <cell r="E391">
            <v>2.7300011087076101</v>
          </cell>
          <cell r="F391">
            <v>2.5267826226629686</v>
          </cell>
          <cell r="G391">
            <v>9.4053643494506126E-4</v>
          </cell>
          <cell r="H391">
            <v>1.3260382795861046E-4</v>
          </cell>
          <cell r="I391">
            <v>8.4807351098869287E-5</v>
          </cell>
          <cell r="J391">
            <v>5.5665489935444624E-4</v>
          </cell>
          <cell r="K391">
            <v>3.4110666560641258E-4</v>
          </cell>
          <cell r="L391"/>
        </row>
        <row r="392">
          <cell r="B392" t="str">
            <v>D-IHFO</v>
          </cell>
          <cell r="C392" t="str">
            <v>VAR_fin</v>
          </cell>
          <cell r="D392" t="str">
            <v>HFO</v>
          </cell>
          <cell r="E392">
            <v>2.7763697185763672</v>
          </cell>
          <cell r="F392">
            <v>2.5696996007109654</v>
          </cell>
          <cell r="G392">
            <v>9.5651128817138904E-4</v>
          </cell>
          <cell r="H392">
            <v>1.3485608168338178E-4</v>
          </cell>
          <cell r="I392">
            <v>8.6247789699631428E-5</v>
          </cell>
          <cell r="J392">
            <v>5.6610958923620884E-4</v>
          </cell>
          <cell r="K392">
            <v>3.469003049755275E-4</v>
          </cell>
          <cell r="L392"/>
        </row>
        <row r="393">
          <cell r="B393" t="str">
            <v>RHNM-CHPNGA</v>
          </cell>
          <cell r="C393" t="str">
            <v>VAR_fout</v>
          </cell>
          <cell r="D393" t="str">
            <v>CO2_R</v>
          </cell>
          <cell r="E393"/>
          <cell r="F393">
            <v>0.27345512603889799</v>
          </cell>
          <cell r="G393">
            <v>0.58633035203289097</v>
          </cell>
          <cell r="H393">
            <v>0.52168963554382497</v>
          </cell>
          <cell r="I393">
            <v>0.55347360226247599</v>
          </cell>
          <cell r="J393">
            <v>0.34386872840833699</v>
          </cell>
          <cell r="K393"/>
          <cell r="L393"/>
          <cell r="M393">
            <v>4.55585870158993E-2</v>
          </cell>
          <cell r="N393">
            <v>0.19265125073102499</v>
          </cell>
          <cell r="O393">
            <v>6.3034369230305198E-2</v>
          </cell>
          <cell r="P393">
            <v>9.9682488326104504E-2</v>
          </cell>
        </row>
        <row r="394">
          <cell r="B394" t="str">
            <v>RHNM-CHPNGA</v>
          </cell>
          <cell r="C394" t="str">
            <v>VAR_fout</v>
          </cell>
          <cell r="D394" t="str">
            <v>RHNM_NKEV_GAS_ELC_CHP</v>
          </cell>
          <cell r="E394"/>
          <cell r="F394">
            <v>1.4092042123734685E-3</v>
          </cell>
          <cell r="G394">
            <v>2.8826791701411533E-3</v>
          </cell>
          <cell r="H394">
            <v>2.6961297612647854E-3</v>
          </cell>
          <cell r="I394">
            <v>2.8833493014033271E-3</v>
          </cell>
          <cell r="J394">
            <v>1.7749827328860576E-3</v>
          </cell>
          <cell r="L394"/>
          <cell r="M394">
            <v>2.2467054319631294E-4</v>
          </cell>
          <cell r="N394">
            <v>1.0182502225085763E-3</v>
          </cell>
          <cell r="O394">
            <v>2.9902424898622747E-4</v>
          </cell>
          <cell r="P394">
            <v>4.60768566959336E-4</v>
          </cell>
        </row>
        <row r="395">
          <cell r="B395" t="str">
            <v>RHNM-CHPNGA</v>
          </cell>
          <cell r="C395" t="str">
            <v>VAR_fout</v>
          </cell>
          <cell r="D395" t="str">
            <v>RHNM_LTH_CHPNGA</v>
          </cell>
          <cell r="E395"/>
          <cell r="F395">
            <v>3.0315708090553842E-3</v>
          </cell>
          <cell r="G395">
            <v>6.1099544709658487E-3</v>
          </cell>
          <cell r="H395">
            <v>5.572001506613895E-3</v>
          </cell>
          <cell r="I395">
            <v>5.8864442568540148E-3</v>
          </cell>
          <cell r="J395">
            <v>3.5790635433604091E-3</v>
          </cell>
          <cell r="K395"/>
          <cell r="L395"/>
          <cell r="M395">
            <v>4.4209364951532527E-4</v>
          </cell>
          <cell r="N395">
            <v>2.0036536636459075E-3</v>
          </cell>
          <cell r="O395">
            <v>5.8840255445676991E-4</v>
          </cell>
          <cell r="P395">
            <v>9.0667363175869276E-4</v>
          </cell>
        </row>
        <row r="396">
          <cell r="B396" t="str">
            <v>RHNM-CHPNGA</v>
          </cell>
          <cell r="C396" t="str">
            <v>VAR_fin</v>
          </cell>
          <cell r="D396" t="str">
            <v>RNGA</v>
          </cell>
          <cell r="E396"/>
          <cell r="F396">
            <v>4.848495142533658E-3</v>
          </cell>
          <cell r="G396">
            <v>1.0395928227533529E-2</v>
          </cell>
          <cell r="H396">
            <v>9.2498162330465414E-3</v>
          </cell>
          <cell r="I396">
            <v>9.8133617422424789E-3</v>
          </cell>
          <cell r="J396">
            <v>6.0969632696513641E-3</v>
          </cell>
          <cell r="K396"/>
          <cell r="L396"/>
          <cell r="M396">
            <v>8.077763655301288E-4</v>
          </cell>
          <cell r="N396">
            <v>3.4158023179259806E-3</v>
          </cell>
          <cell r="O396">
            <v>1.1176306601117935E-3</v>
          </cell>
          <cell r="P396">
            <v>1.7674200057819947E-3</v>
          </cell>
        </row>
        <row r="397">
          <cell r="B397" t="str">
            <v>RHNM-CHPNGA</v>
          </cell>
          <cell r="C397" t="str">
            <v>VAR_ncap</v>
          </cell>
          <cell r="D397" t="str">
            <v>-</v>
          </cell>
          <cell r="E397"/>
          <cell r="F397">
            <v>2.1398849076631401E-4</v>
          </cell>
          <cell r="G397"/>
          <cell r="H397"/>
          <cell r="I397"/>
          <cell r="J397"/>
          <cell r="K397"/>
          <cell r="L397"/>
          <cell r="M397">
            <v>3.5380679071324403E-5</v>
          </cell>
          <cell r="N397">
            <v>5.2590895717875301E-5</v>
          </cell>
          <cell r="O397">
            <v>1.28608633299849E-7</v>
          </cell>
          <cell r="P397">
            <v>1.46369486872517E-5</v>
          </cell>
        </row>
        <row r="398">
          <cell r="B398" t="str">
            <v>RHNM-CHPNGA</v>
          </cell>
          <cell r="C398" t="str">
            <v>VAR_cap</v>
          </cell>
          <cell r="D398" t="str">
            <v>-</v>
          </cell>
          <cell r="E398"/>
          <cell r="F398">
            <v>2.1398849076631401E-4</v>
          </cell>
          <cell r="G398">
            <v>2.1398849076631401E-4</v>
          </cell>
          <cell r="H398">
            <v>2.1397597270953546E-4</v>
          </cell>
          <cell r="I398">
            <v>2.1396883777366376E-4</v>
          </cell>
          <cell r="J398">
            <v>1.3152804968972638E-4</v>
          </cell>
          <cell r="K398"/>
          <cell r="L398"/>
          <cell r="M398">
            <v>3.5380679071324403E-5</v>
          </cell>
          <cell r="N398">
            <v>8.7942962610725836E-5</v>
          </cell>
          <cell r="O398">
            <v>8.7681827958826895E-5</v>
          </cell>
          <cell r="P398">
            <v>1.0213518949575818E-4</v>
          </cell>
        </row>
        <row r="399">
          <cell r="B399" t="str">
            <v>G-INTC-EXP00-DE</v>
          </cell>
          <cell r="C399" t="str">
            <v>VAR_fout</v>
          </cell>
          <cell r="D399" t="str">
            <v>ELC_E-DE</v>
          </cell>
          <cell r="E399">
            <v>26.492979875915619</v>
          </cell>
          <cell r="F399">
            <v>1.1364820842560419E-4</v>
          </cell>
          <cell r="G399">
            <v>1.2892564986449965E-4</v>
          </cell>
          <cell r="H399">
            <v>2.0706177120835288E-4</v>
          </cell>
          <cell r="I399">
            <v>2.624370964329774E-4</v>
          </cell>
          <cell r="J399">
            <v>1.6439850427604083E-4</v>
          </cell>
          <cell r="K399">
            <v>1.1399324689075067E-4</v>
          </cell>
          <cell r="L399">
            <v>8.6027421185210049E-5</v>
          </cell>
          <cell r="M399">
            <v>6.0236694041301864E-5</v>
          </cell>
          <cell r="N399">
            <v>1.0019068796721434E-4</v>
          </cell>
          <cell r="O399">
            <v>1.0184135202719279E-4</v>
          </cell>
          <cell r="P399">
            <v>2.1682940695026847E-4</v>
          </cell>
        </row>
        <row r="400">
          <cell r="B400" t="str">
            <v>G-INTC-EXP00-DE</v>
          </cell>
          <cell r="C400" t="str">
            <v>VAR_fin</v>
          </cell>
          <cell r="D400" t="str">
            <v>ELC</v>
          </cell>
          <cell r="E400">
            <v>26.492979875915619</v>
          </cell>
          <cell r="F400">
            <v>1.1364820842560419E-4</v>
          </cell>
          <cell r="G400">
            <v>1.2892564986449965E-4</v>
          </cell>
          <cell r="H400">
            <v>2.0706177120835288E-4</v>
          </cell>
          <cell r="I400">
            <v>2.624370964329774E-4</v>
          </cell>
          <cell r="J400">
            <v>1.6439850427604083E-4</v>
          </cell>
          <cell r="K400">
            <v>1.1399324689075067E-4</v>
          </cell>
          <cell r="L400">
            <v>8.6027421185210049E-5</v>
          </cell>
          <cell r="M400">
            <v>6.0236694041301864E-5</v>
          </cell>
          <cell r="N400">
            <v>1.0019068796721434E-4</v>
          </cell>
          <cell r="O400">
            <v>1.0184135202719279E-4</v>
          </cell>
          <cell r="P400">
            <v>2.1682940695026847E-4</v>
          </cell>
        </row>
        <row r="401">
          <cell r="B401" t="str">
            <v>G-INTC-EXP00-DE</v>
          </cell>
          <cell r="C401" t="str">
            <v>VAR_ncap</v>
          </cell>
          <cell r="D401" t="str">
            <v>-</v>
          </cell>
          <cell r="E401">
            <v>2.5593422958918302E-7</v>
          </cell>
          <cell r="F401">
            <v>3.5823681813041201E-7</v>
          </cell>
          <cell r="G401">
            <v>8.2171375067208201E-7</v>
          </cell>
          <cell r="H401">
            <v>7.9777832659202304E-7</v>
          </cell>
          <cell r="I401">
            <v>1.6328366534802001E-6</v>
          </cell>
          <cell r="J401">
            <v>5.8355265697501198E-5</v>
          </cell>
          <cell r="K401">
            <v>8.4765430880546994E-6</v>
          </cell>
          <cell r="L401">
            <v>4.29576554148962E-5</v>
          </cell>
          <cell r="M401">
            <v>3.7520277983009301E-6</v>
          </cell>
          <cell r="N401">
            <v>1.14978099176193E-4</v>
          </cell>
        </row>
        <row r="402">
          <cell r="B402" t="str">
            <v>G-INTC-EXP00-DE</v>
          </cell>
          <cell r="C402" t="str">
            <v>VAR_cap</v>
          </cell>
          <cell r="D402" t="str">
            <v>-</v>
          </cell>
          <cell r="E402">
            <v>4.0260250241699955</v>
          </cell>
          <cell r="F402">
            <v>1.2727678186941205E-4</v>
          </cell>
          <cell r="G402">
            <v>1.2472932618923238E-4</v>
          </cell>
          <cell r="H402">
            <v>1.2125336980961521E-4</v>
          </cell>
          <cell r="I402">
            <v>1.2172594666015613E-4</v>
          </cell>
          <cell r="J402">
            <v>1.2106418611423919E-4</v>
          </cell>
          <cell r="K402">
            <v>1.2946912338929195E-4</v>
          </cell>
          <cell r="L402">
            <v>1.0026614920599641E-4</v>
          </cell>
          <cell r="M402">
            <v>6.689434842908276E-5</v>
          </cell>
          <cell r="N402">
            <v>1.1126019865350103E-4</v>
          </cell>
          <cell r="O402">
            <v>1.1262247671285441E-4</v>
          </cell>
          <cell r="P402">
            <v>2.2647727935561391E-4</v>
          </cell>
        </row>
        <row r="403">
          <cell r="B403" t="str">
            <v>ENUC_BMGL_EXT</v>
          </cell>
          <cell r="C403" t="str">
            <v>VAR_fout</v>
          </cell>
          <cell r="D403" t="str">
            <v>ELC</v>
          </cell>
          <cell r="E403"/>
          <cell r="F403">
            <v>33.169787633309788</v>
          </cell>
          <cell r="G403">
            <v>33.101180730771766</v>
          </cell>
          <cell r="H403">
            <v>33.169787162589827</v>
          </cell>
          <cell r="I403">
            <v>33.169787178274596</v>
          </cell>
          <cell r="J403">
            <v>33.169787305606029</v>
          </cell>
          <cell r="K403"/>
          <cell r="L403"/>
        </row>
        <row r="404">
          <cell r="B404" t="str">
            <v>ENUC_BMGL_EXT</v>
          </cell>
          <cell r="C404" t="str">
            <v>VAR_fin</v>
          </cell>
          <cell r="D404" t="str">
            <v>URN</v>
          </cell>
          <cell r="E404"/>
          <cell r="F404">
            <v>100.035751418686</v>
          </cell>
          <cell r="G404">
            <v>99.828841952645078</v>
          </cell>
          <cell r="H404">
            <v>100.03574999905609</v>
          </cell>
          <cell r="I404">
            <v>100.03575004635914</v>
          </cell>
          <cell r="J404">
            <v>100.03575043037419</v>
          </cell>
          <cell r="K404"/>
          <cell r="L404"/>
        </row>
        <row r="405">
          <cell r="B405" t="str">
            <v>ENUC_BMGL_EXT</v>
          </cell>
          <cell r="C405" t="str">
            <v>VAR_ncap</v>
          </cell>
          <cell r="D405" t="str">
            <v>-</v>
          </cell>
          <cell r="E405"/>
          <cell r="F405">
            <v>1.23297243255392</v>
          </cell>
          <cell r="G405"/>
          <cell r="H405"/>
          <cell r="I405"/>
          <cell r="J405"/>
          <cell r="K405"/>
          <cell r="L405"/>
        </row>
        <row r="406">
          <cell r="B406" t="str">
            <v>ENUC_BMGL_EXT</v>
          </cell>
          <cell r="C406" t="str">
            <v>VAR_cap</v>
          </cell>
          <cell r="D406" t="str">
            <v>-</v>
          </cell>
          <cell r="E406"/>
          <cell r="F406">
            <v>1.23297243255392</v>
          </cell>
          <cell r="G406">
            <v>1.2329724200548853</v>
          </cell>
          <cell r="H406">
            <v>1.2329724140367981</v>
          </cell>
          <cell r="I406">
            <v>1.2329724081624105</v>
          </cell>
          <cell r="J406">
            <v>1.2329723972527518</v>
          </cell>
          <cell r="K406"/>
          <cell r="L406"/>
        </row>
        <row r="407">
          <cell r="B407" t="str">
            <v>CEN-EBAT</v>
          </cell>
          <cell r="C407" t="str">
            <v>VAR_fout</v>
          </cell>
          <cell r="D407" t="str">
            <v>ELC13</v>
          </cell>
          <cell r="E407">
            <v>1.0329958047662487E-3</v>
          </cell>
          <cell r="F407">
            <v>8.2877843048332299E-4</v>
          </cell>
          <cell r="G407">
            <v>1.0194886159321718E-3</v>
          </cell>
          <cell r="H407">
            <v>1.0303401656017925E-3</v>
          </cell>
          <cell r="I407">
            <v>0.7834310770354701</v>
          </cell>
          <cell r="J407">
            <v>1.1008340934030159</v>
          </cell>
          <cell r="K407">
            <v>1.1010482848954182</v>
          </cell>
          <cell r="L407">
            <v>1.5002443913590482</v>
          </cell>
          <cell r="M407">
            <v>1.7442987381446133</v>
          </cell>
          <cell r="N407">
            <v>1.7853183029090101</v>
          </cell>
          <cell r="O407">
            <v>1.9884892842262727</v>
          </cell>
          <cell r="P407">
            <v>2.0179202523231008</v>
          </cell>
        </row>
        <row r="408">
          <cell r="B408" t="str">
            <v>CEN-EBAT</v>
          </cell>
          <cell r="C408" t="str">
            <v>VAR_fout</v>
          </cell>
          <cell r="D408" t="str">
            <v>AUX_CEN-EBAT_OUT</v>
          </cell>
          <cell r="E408">
            <v>1.0329958047662446E-3</v>
          </cell>
          <cell r="F408">
            <v>8.2877843048331996E-4</v>
          </cell>
          <cell r="G408">
            <v>1.0194886159321682E-3</v>
          </cell>
          <cell r="H408">
            <v>1.0303401656017893E-3</v>
          </cell>
          <cell r="I408">
            <v>0.78343107703546788</v>
          </cell>
          <cell r="J408">
            <v>1.1008340934030127</v>
          </cell>
          <cell r="K408">
            <v>1.1010482848954142</v>
          </cell>
          <cell r="L408">
            <v>1.5002443913590449</v>
          </cell>
          <cell r="M408">
            <v>1.7442987381446067</v>
          </cell>
          <cell r="N408">
            <v>1.7853183029090047</v>
          </cell>
          <cell r="O408">
            <v>1.9884892842262667</v>
          </cell>
          <cell r="P408">
            <v>2.0179202523230946</v>
          </cell>
        </row>
        <row r="409">
          <cell r="B409" t="str">
            <v>CEN-EBAT</v>
          </cell>
          <cell r="C409" t="str">
            <v>VAR_fin</v>
          </cell>
          <cell r="D409" t="str">
            <v>AUX_CEN-EBAT_IN</v>
          </cell>
          <cell r="E409">
            <v>1.1917417834613195E-3</v>
          </cell>
          <cell r="F409">
            <v>9.5638475720422349E-4</v>
          </cell>
          <cell r="G409">
            <v>1.1759309906962054E-3</v>
          </cell>
          <cell r="H409">
            <v>1.1884877685748299E-3</v>
          </cell>
          <cell r="I409">
            <v>0.90357059092702396</v>
          </cell>
          <cell r="J409">
            <v>1.2696472641633971</v>
          </cell>
          <cell r="K409">
            <v>1.2698942914772025</v>
          </cell>
          <cell r="L409">
            <v>1.7303074148847399</v>
          </cell>
          <cell r="M409">
            <v>2.0117873933667174</v>
          </cell>
          <cell r="N409">
            <v>2.0590974006914831</v>
          </cell>
          <cell r="O409">
            <v>2.2934247004119372</v>
          </cell>
          <cell r="P409">
            <v>2.3273692855473351</v>
          </cell>
        </row>
        <row r="410">
          <cell r="B410" t="str">
            <v>CEN-EBAT</v>
          </cell>
          <cell r="C410" t="str">
            <v>VAR_fin</v>
          </cell>
          <cell r="D410" t="str">
            <v>ELC13</v>
          </cell>
          <cell r="E410">
            <v>1.1917417834613195E-3</v>
          </cell>
          <cell r="F410">
            <v>9.5638475720422349E-4</v>
          </cell>
          <cell r="G410">
            <v>1.1759309906962054E-3</v>
          </cell>
          <cell r="H410">
            <v>1.1884877685748299E-3</v>
          </cell>
          <cell r="I410">
            <v>0.90357059092702396</v>
          </cell>
          <cell r="J410">
            <v>1.2696472641633971</v>
          </cell>
          <cell r="K410">
            <v>1.2698942914772025</v>
          </cell>
          <cell r="L410">
            <v>1.7303074148847399</v>
          </cell>
          <cell r="M410">
            <v>2.0117873933667174</v>
          </cell>
          <cell r="N410">
            <v>2.0590974006914831</v>
          </cell>
          <cell r="O410">
            <v>2.2934247004119372</v>
          </cell>
          <cell r="P410">
            <v>2.3273692855473351</v>
          </cell>
        </row>
        <row r="411">
          <cell r="B411" t="str">
            <v>CEN-EBAT</v>
          </cell>
          <cell r="C411" t="str">
            <v>VAR_ncap</v>
          </cell>
          <cell r="D411" t="str">
            <v>-</v>
          </cell>
          <cell r="E411">
            <v>1.7671841677395901E-4</v>
          </cell>
          <cell r="F411">
            <v>2.6907388735077702E-7</v>
          </cell>
          <cell r="G411">
            <v>9.1199364437633201E-7</v>
          </cell>
          <cell r="H411">
            <v>4.58053324316391E-5</v>
          </cell>
          <cell r="I411">
            <v>0.30256009914114601</v>
          </cell>
          <cell r="J411">
            <v>0.254976104855903</v>
          </cell>
          <cell r="K411">
            <v>0.14570603241595001</v>
          </cell>
          <cell r="L411">
            <v>0.32476141714277001</v>
          </cell>
          <cell r="M411">
            <v>0.167267015315786</v>
          </cell>
          <cell r="N411">
            <v>0.22391858786979199</v>
          </cell>
          <cell r="O411">
            <v>0.30403669613318801</v>
          </cell>
          <cell r="P411">
            <v>0.102466710887615</v>
          </cell>
        </row>
        <row r="412">
          <cell r="B412" t="str">
            <v>CEN-EBAT</v>
          </cell>
          <cell r="C412" t="str">
            <v>VAR_cap</v>
          </cell>
          <cell r="D412" t="str">
            <v>-</v>
          </cell>
          <cell r="E412">
            <v>1.7671841677395901E-4</v>
          </cell>
          <cell r="F412">
            <v>1.769363566495092E-4</v>
          </cell>
          <cell r="G412">
            <v>1.7772369839500363E-4</v>
          </cell>
          <cell r="H412">
            <v>1.7593971731089318E-4</v>
          </cell>
          <cell r="I412">
            <v>0.30260614539339492</v>
          </cell>
          <cell r="J412">
            <v>0.55754556613716755</v>
          </cell>
          <cell r="K412">
            <v>0.55756258863228148</v>
          </cell>
          <cell r="L412">
            <v>0.55756592325221199</v>
          </cell>
          <cell r="M412">
            <v>0.55756816222996841</v>
          </cell>
          <cell r="N412">
            <v>0.55757436111092029</v>
          </cell>
          <cell r="O412">
            <v>0.55758138904039989</v>
          </cell>
          <cell r="P412">
            <v>0.55761664983077575</v>
          </cell>
        </row>
        <row r="413">
          <cell r="B413" t="str">
            <v>ESOL-PV</v>
          </cell>
          <cell r="C413" t="str">
            <v>VAR_fout</v>
          </cell>
          <cell r="D413" t="str">
            <v>ELC35</v>
          </cell>
          <cell r="E413"/>
          <cell r="F413"/>
          <cell r="G413">
            <v>0.15619207185326314</v>
          </cell>
          <cell r="H413">
            <v>0.30072282744024448</v>
          </cell>
          <cell r="I413">
            <v>1.0480919127006261</v>
          </cell>
          <cell r="J413">
            <v>1.7954519117679977</v>
          </cell>
          <cell r="K413">
            <v>4.6036275837885405</v>
          </cell>
          <cell r="L413">
            <v>7.4118039997200373</v>
          </cell>
          <cell r="M413">
            <v>7.4118032586855422</v>
          </cell>
          <cell r="N413">
            <v>7.4118025039370448</v>
          </cell>
          <cell r="O413">
            <v>7.4118029874169773</v>
          </cell>
          <cell r="P413">
            <v>7.4117892834390906</v>
          </cell>
        </row>
        <row r="414">
          <cell r="B414" t="str">
            <v>ESOL-PV</v>
          </cell>
          <cell r="C414" t="str">
            <v>VAR_fin</v>
          </cell>
          <cell r="D414" t="str">
            <v>SOL</v>
          </cell>
          <cell r="E414"/>
          <cell r="F414"/>
          <cell r="G414">
            <v>0.15619207185326314</v>
          </cell>
          <cell r="H414">
            <v>0.30072282744024448</v>
          </cell>
          <cell r="I414">
            <v>1.0480919127006261</v>
          </cell>
          <cell r="J414">
            <v>1.7954519117679977</v>
          </cell>
          <cell r="K414">
            <v>4.6036275837885405</v>
          </cell>
          <cell r="L414">
            <v>7.4118039997200373</v>
          </cell>
          <cell r="M414">
            <v>7.4118032586855422</v>
          </cell>
          <cell r="N414">
            <v>7.4118025039370448</v>
          </cell>
          <cell r="O414">
            <v>7.4118029874169773</v>
          </cell>
          <cell r="P414">
            <v>7.4117892834390906</v>
          </cell>
        </row>
        <row r="415">
          <cell r="B415" t="str">
            <v>ESOL-PV</v>
          </cell>
          <cell r="C415" t="str">
            <v>VAR_fin</v>
          </cell>
          <cell r="D415" t="str">
            <v>SOLPVC</v>
          </cell>
          <cell r="E415"/>
          <cell r="F415"/>
          <cell r="G415">
            <v>0.156192071853263</v>
          </cell>
          <cell r="H415">
            <v>0.30072282744024398</v>
          </cell>
          <cell r="I415">
            <v>1.0480919127006301</v>
          </cell>
          <cell r="J415">
            <v>1.7954519117679999</v>
          </cell>
          <cell r="K415">
            <v>4.6036275837885396</v>
          </cell>
          <cell r="L415">
            <v>7.41180399972004</v>
          </cell>
          <cell r="M415">
            <v>7.4118032586855396</v>
          </cell>
          <cell r="N415">
            <v>7.4118025039370403</v>
          </cell>
          <cell r="O415">
            <v>7.4118029874169702</v>
          </cell>
          <cell r="P415">
            <v>7.4117892834390897</v>
          </cell>
        </row>
        <row r="416">
          <cell r="B416" t="str">
            <v>ESOL-PV</v>
          </cell>
          <cell r="C416" t="str">
            <v>VAR_ncap</v>
          </cell>
          <cell r="D416" t="str">
            <v>-</v>
          </cell>
          <cell r="E416"/>
          <cell r="F416"/>
          <cell r="G416">
            <v>4.4925250391578297E-2</v>
          </cell>
          <cell r="H416">
            <v>2.3696839294946301E-2</v>
          </cell>
          <cell r="I416">
            <v>0.17054262172538101</v>
          </cell>
          <cell r="J416">
            <v>0.17054057055845501</v>
          </cell>
          <cell r="K416">
            <v>0.68527954721624096</v>
          </cell>
          <cell r="L416">
            <v>0.66494135116530295</v>
          </cell>
          <cell r="M416">
            <v>0.14136833638469101</v>
          </cell>
          <cell r="N416">
            <v>0.199714561301612</v>
          </cell>
          <cell r="O416">
            <v>0.68527982439465196</v>
          </cell>
          <cell r="P416">
            <v>0.664938481247346</v>
          </cell>
        </row>
        <row r="417">
          <cell r="B417" t="str">
            <v>ESOL-PV</v>
          </cell>
          <cell r="C417" t="str">
            <v>VAR_cap</v>
          </cell>
          <cell r="D417" t="str">
            <v>-</v>
          </cell>
          <cell r="E417"/>
          <cell r="F417"/>
          <cell r="G417">
            <v>4.4925250391578297E-2</v>
          </cell>
          <cell r="H417">
            <v>6.8622089686524695E-2</v>
          </cell>
          <cell r="I417">
            <v>0.23916471141190601</v>
          </cell>
          <cell r="J417">
            <v>0.40970528197035999</v>
          </cell>
          <cell r="K417">
            <v>1.0505046030729801</v>
          </cell>
          <cell r="L417">
            <v>1.69130409066538</v>
          </cell>
          <cell r="M417">
            <v>1.6913039620828401</v>
          </cell>
          <cell r="N417">
            <v>1.6913037960678501</v>
          </cell>
          <cell r="O417">
            <v>1.6913040732462601</v>
          </cell>
          <cell r="P417">
            <v>1.6913012033282999</v>
          </cell>
        </row>
        <row r="418">
          <cell r="B418" t="str">
            <v>RHEM-SHSTG-CHPNGA</v>
          </cell>
          <cell r="C418" t="str">
            <v>VAR_fout</v>
          </cell>
          <cell r="D418" t="str">
            <v>RHEM_LTH_CHPNGA</v>
          </cell>
          <cell r="E418">
            <v>4.4009551612248003E-2</v>
          </cell>
          <cell r="F418">
            <v>2.2797325655844504E-5</v>
          </cell>
          <cell r="G418">
            <v>6.1071665789775402E-3</v>
          </cell>
          <cell r="H418">
            <v>1.3365466309911327E-2</v>
          </cell>
          <cell r="I418">
            <v>1.6559325175784127E-2</v>
          </cell>
          <cell r="J418">
            <v>7.073645393845026E-3</v>
          </cell>
          <cell r="K418">
            <v>8.3105494311937531E-5</v>
          </cell>
          <cell r="L418">
            <v>1.1793417863627148E-4</v>
          </cell>
          <cell r="M418">
            <v>5.4401707189406161E-4</v>
          </cell>
          <cell r="N418">
            <v>9.1350689489097807E-4</v>
          </cell>
          <cell r="O418">
            <v>8.1736672298194789E-4</v>
          </cell>
          <cell r="P418">
            <v>1.5869874486758345E-3</v>
          </cell>
        </row>
        <row r="419">
          <cell r="B419" t="str">
            <v>RHEM-SHSTG-CHPNGA</v>
          </cell>
          <cell r="C419" t="str">
            <v>VAR_fout</v>
          </cell>
          <cell r="D419" t="str">
            <v>AUX_REM-CHPNGA_OUT</v>
          </cell>
          <cell r="E419">
            <v>4.4009551612248121E-2</v>
          </cell>
          <cell r="F419">
            <v>2.2782137564135111E-5</v>
          </cell>
          <cell r="G419">
            <v>6.1008115669286614E-3</v>
          </cell>
          <cell r="H419">
            <v>1.3365466309911327E-2</v>
          </cell>
          <cell r="I419">
            <v>1.6544119183887193E-2</v>
          </cell>
          <cell r="J419">
            <v>7.0736453938450468E-3</v>
          </cell>
          <cell r="K419">
            <v>8.3037653092091161E-5</v>
          </cell>
          <cell r="L419">
            <v>1.1793417863627159E-4</v>
          </cell>
          <cell r="M419">
            <v>5.4401707189406204E-4</v>
          </cell>
          <cell r="N419">
            <v>9.1350689489097915E-4</v>
          </cell>
          <cell r="O419">
            <v>8.1736672298194854E-4</v>
          </cell>
          <cell r="P419">
            <v>1.5869874486758363E-3</v>
          </cell>
        </row>
        <row r="420">
          <cell r="B420" t="str">
            <v>RHEM-SHSTG-CHPNGA</v>
          </cell>
          <cell r="C420" t="str">
            <v>VAR_fin</v>
          </cell>
          <cell r="D420" t="str">
            <v>AUX_REM-CHPNGA_IN</v>
          </cell>
          <cell r="E420">
            <v>5.8682425021466027E-2</v>
          </cell>
          <cell r="F420">
            <v>2.9665198927709552E-5</v>
          </cell>
          <cell r="G420">
            <v>7.8803700571287976E-3</v>
          </cell>
          <cell r="H420">
            <v>1.6706820320429507E-2</v>
          </cell>
          <cell r="I420">
            <v>2.0071656044896895E-2</v>
          </cell>
          <cell r="J420">
            <v>8.3219325823243075E-3</v>
          </cell>
          <cell r="K420">
            <v>6.870878280172159E-5</v>
          </cell>
          <cell r="L420">
            <v>1.0049923516587462E-4</v>
          </cell>
          <cell r="M420">
            <v>6.0447343308659817E-4</v>
          </cell>
          <cell r="N420">
            <v>1.0157977723079244E-3</v>
          </cell>
          <cell r="O420">
            <v>9.0840734773108879E-4</v>
          </cell>
          <cell r="P420">
            <v>1.7643616854828021E-3</v>
          </cell>
        </row>
        <row r="421">
          <cell r="B421" t="str">
            <v>RHEM-SHSTG-CHPNGA</v>
          </cell>
          <cell r="C421" t="str">
            <v>VAR_fin</v>
          </cell>
          <cell r="D421" t="str">
            <v>RHEM_LTH_CHPNGA</v>
          </cell>
          <cell r="E421">
            <v>5.8682425021466027E-2</v>
          </cell>
          <cell r="F421">
            <v>2.9665198927709552E-5</v>
          </cell>
          <cell r="G421">
            <v>7.8803700571287976E-3</v>
          </cell>
          <cell r="H421">
            <v>1.6706820320429507E-2</v>
          </cell>
          <cell r="I421">
            <v>2.0071656044896895E-2</v>
          </cell>
          <cell r="J421">
            <v>8.3219325823243075E-3</v>
          </cell>
          <cell r="K421">
            <v>6.870878280172159E-5</v>
          </cell>
          <cell r="L421">
            <v>1.0049923516587462E-4</v>
          </cell>
          <cell r="M421">
            <v>6.0447343308659817E-4</v>
          </cell>
          <cell r="N421">
            <v>1.0157977723079244E-3</v>
          </cell>
          <cell r="O421">
            <v>9.0840734773108879E-4</v>
          </cell>
          <cell r="P421">
            <v>1.7643616854828021E-3</v>
          </cell>
        </row>
        <row r="422">
          <cell r="B422" t="str">
            <v>RHEM-SHSTG-CHPNGA</v>
          </cell>
          <cell r="C422" t="str">
            <v>VAR_ncap</v>
          </cell>
          <cell r="D422" t="str">
            <v>-</v>
          </cell>
          <cell r="E422">
            <v>2.9314323123204502E-3</v>
          </cell>
          <cell r="F422">
            <v>8.7684185765206002E-6</v>
          </cell>
          <cell r="G422">
            <v>1.1630723429591401E-3</v>
          </cell>
          <cell r="H422">
            <v>1.0174434760883699E-3</v>
          </cell>
          <cell r="I422">
            <v>7.6930129302922702E-3</v>
          </cell>
          <cell r="J422">
            <v>3.4274987339874E-5</v>
          </cell>
          <cell r="K422">
            <v>1.2056803430925099E-5</v>
          </cell>
          <cell r="L422">
            <v>8.8800755698850199E-4</v>
          </cell>
          <cell r="M422">
            <v>7.3506741660524306E-5</v>
          </cell>
          <cell r="N422">
            <v>8.9735300257213504E-4</v>
          </cell>
          <cell r="O422">
            <v>3.2018751169225599E-4</v>
          </cell>
          <cell r="P422">
            <v>1.9048626470062301E-3</v>
          </cell>
        </row>
        <row r="423">
          <cell r="B423" t="str">
            <v>RHEM-SHSTG-CHPNGA</v>
          </cell>
          <cell r="C423" t="str">
            <v>VAR_cap</v>
          </cell>
          <cell r="D423" t="str">
            <v>-</v>
          </cell>
          <cell r="E423">
            <v>2.9314323123204502E-3</v>
          </cell>
          <cell r="F423">
            <v>2.937044579167436E-3</v>
          </cell>
          <cell r="G423">
            <v>4.0953442473139721E-3</v>
          </cell>
          <cell r="H423">
            <v>5.1030795921176699E-3</v>
          </cell>
          <cell r="I423">
            <v>1.0624745540608783E-2</v>
          </cell>
          <cell r="J423">
            <v>4.3361969608441304E-3</v>
          </cell>
          <cell r="K423">
            <v>1.0311045313779596E-3</v>
          </cell>
          <cell r="L423">
            <v>9.2425190508156022E-4</v>
          </cell>
          <cell r="M423">
            <v>9.6594197223196974E-4</v>
          </cell>
          <cell r="N423">
            <v>1.8438818575183162E-3</v>
          </cell>
          <cell r="O423">
            <v>1.4028433313847345E-3</v>
          </cell>
          <cell r="P423">
            <v>3.1087964279566129E-3</v>
          </cell>
        </row>
        <row r="424">
          <cell r="B424" t="str">
            <v>RHNS-ESOLPV</v>
          </cell>
          <cell r="C424" t="str">
            <v>VAR_fout</v>
          </cell>
          <cell r="D424" t="str">
            <v>RHNS_SOL_ELC</v>
          </cell>
          <cell r="E424"/>
          <cell r="F424">
            <v>2.6356318125019649E-6</v>
          </cell>
          <cell r="G424">
            <v>2.7086022218611515E-4</v>
          </cell>
          <cell r="H424">
            <v>5.2988671523325438E-4</v>
          </cell>
          <cell r="I424">
            <v>5.5904765131283799E-4</v>
          </cell>
          <cell r="J424">
            <v>5.877763686038918E-4</v>
          </cell>
          <cell r="K424">
            <v>6.1844356841058215E-4</v>
          </cell>
          <cell r="L424">
            <v>6.5305483791241591E-4</v>
          </cell>
          <cell r="M424">
            <v>6.8769229007082028E-4</v>
          </cell>
          <cell r="N424">
            <v>7.2853420695088403E-4</v>
          </cell>
          <cell r="O424">
            <v>7.6957938575552534E-4</v>
          </cell>
          <cell r="P424">
            <v>1.1508097553957946E-3</v>
          </cell>
        </row>
        <row r="425">
          <cell r="B425" t="str">
            <v>RHNS-ESOLPV</v>
          </cell>
          <cell r="C425" t="str">
            <v>VAR_fin</v>
          </cell>
          <cell r="D425" t="str">
            <v>SOL</v>
          </cell>
          <cell r="E425"/>
          <cell r="F425">
            <v>2.6356318125019649E-6</v>
          </cell>
          <cell r="G425">
            <v>2.7086022218611515E-4</v>
          </cell>
          <cell r="H425">
            <v>5.2988671523325438E-4</v>
          </cell>
          <cell r="I425">
            <v>5.5904765131283799E-4</v>
          </cell>
          <cell r="J425">
            <v>5.877763686038918E-4</v>
          </cell>
          <cell r="K425">
            <v>6.1844356841058215E-4</v>
          </cell>
          <cell r="L425">
            <v>6.5305483791241591E-4</v>
          </cell>
          <cell r="M425">
            <v>6.8769229007082028E-4</v>
          </cell>
          <cell r="N425">
            <v>7.2853420695088403E-4</v>
          </cell>
          <cell r="O425">
            <v>7.6957938575552534E-4</v>
          </cell>
          <cell r="P425">
            <v>1.1508097553957946E-3</v>
          </cell>
        </row>
        <row r="426">
          <cell r="B426" t="str">
            <v>RHNS-ESOLPV</v>
          </cell>
          <cell r="C426" t="str">
            <v>VAR_fin</v>
          </cell>
          <cell r="D426" t="str">
            <v>SOLPVC</v>
          </cell>
          <cell r="E426"/>
          <cell r="F426">
            <v>2.6356318125019602E-6</v>
          </cell>
          <cell r="G426">
            <v>2.7086022218611498E-4</v>
          </cell>
          <cell r="H426">
            <v>5.2988671523325405E-4</v>
          </cell>
          <cell r="I426">
            <v>5.5904765131283799E-4</v>
          </cell>
          <cell r="J426">
            <v>5.8777636860389202E-4</v>
          </cell>
          <cell r="K426">
            <v>6.1844356841058204E-4</v>
          </cell>
          <cell r="L426">
            <v>6.5305483791241602E-4</v>
          </cell>
          <cell r="M426">
            <v>6.8769229007082104E-4</v>
          </cell>
          <cell r="N426">
            <v>7.2853420695088501E-4</v>
          </cell>
          <cell r="O426">
            <v>7.6957938575552502E-4</v>
          </cell>
          <cell r="P426">
            <v>1.1508097553958E-3</v>
          </cell>
        </row>
        <row r="427">
          <cell r="B427" t="str">
            <v>RHNS-ESOLPV</v>
          </cell>
          <cell r="C427" t="str">
            <v>VAR_ncap</v>
          </cell>
          <cell r="D427" t="str">
            <v>-</v>
          </cell>
          <cell r="E427"/>
          <cell r="F427">
            <v>1.01481182410241E-6</v>
          </cell>
          <cell r="G427">
            <v>8.5443782824222303E-5</v>
          </cell>
          <cell r="H427">
            <v>6.6371587142519098E-5</v>
          </cell>
          <cell r="I427">
            <v>8.3234681585166494E-6</v>
          </cell>
          <cell r="J427">
            <v>8.7357795785614699E-6</v>
          </cell>
          <cell r="K427">
            <v>1.0080339023049E-4</v>
          </cell>
          <cell r="L427">
            <v>7.0447969917115493E-5</v>
          </cell>
          <cell r="M427">
            <v>1.6968876540329599E-5</v>
          </cell>
          <cell r="N427">
            <v>2.1884359809532801E-5</v>
          </cell>
          <cell r="O427">
            <v>1.12705794175116E-4</v>
          </cell>
          <cell r="P427">
            <v>1.8044831377954799E-4</v>
          </cell>
        </row>
        <row r="428">
          <cell r="B428" t="str">
            <v>RHNS-ESOLPV</v>
          </cell>
          <cell r="C428" t="str">
            <v>VAR_cap</v>
          </cell>
          <cell r="D428" t="str">
            <v>-</v>
          </cell>
          <cell r="E428"/>
          <cell r="F428">
            <v>1.01481182410241E-6</v>
          </cell>
          <cell r="G428">
            <v>8.6458594648324699E-5</v>
          </cell>
          <cell r="H428">
            <v>1.52830181790844E-4</v>
          </cell>
          <cell r="I428">
            <v>1.6115364994935999E-4</v>
          </cell>
          <cell r="J428">
            <v>1.69498473382099E-4</v>
          </cell>
          <cell r="K428">
            <v>1.7832749048056099E-4</v>
          </cell>
          <cell r="L428">
            <v>1.8831060788468399E-4</v>
          </cell>
          <cell r="M428">
            <v>1.9832524152526201E-4</v>
          </cell>
          <cell r="N428">
            <v>2.10104596497468E-4</v>
          </cell>
          <cell r="O428">
            <v>2.2200700044209401E-4</v>
          </cell>
          <cell r="P428">
            <v>3.32007344304527E-4</v>
          </cell>
        </row>
        <row r="429">
          <cell r="B429" t="str">
            <v>RHSA-WHSTG-CHP</v>
          </cell>
          <cell r="C429" t="str">
            <v>VAR_fout</v>
          </cell>
          <cell r="D429" t="str">
            <v>AUX_RHSA-CHP_OUT</v>
          </cell>
          <cell r="E429">
            <v>8.0245645654368651</v>
          </cell>
          <cell r="F429">
            <v>3.2645600901710345E-5</v>
          </cell>
          <cell r="G429">
            <v>1.1622237109243257E-3</v>
          </cell>
          <cell r="H429">
            <v>2.2446108697252662</v>
          </cell>
          <cell r="I429">
            <v>2.5169438669266926</v>
          </cell>
          <cell r="J429">
            <v>0.81862377345986714</v>
          </cell>
          <cell r="K429">
            <v>3.8362440465585115</v>
          </cell>
          <cell r="L429">
            <v>1.3145386951979159</v>
          </cell>
          <cell r="M429">
            <v>1.6178277949858797</v>
          </cell>
          <cell r="N429">
            <v>1.8143286610385192</v>
          </cell>
          <cell r="O429">
            <v>1.4236234164022288</v>
          </cell>
          <cell r="P429">
            <v>2.596748139265789</v>
          </cell>
        </row>
        <row r="430">
          <cell r="B430" t="str">
            <v>RHSA-WHSTG-CHP</v>
          </cell>
          <cell r="C430" t="str">
            <v>VAR_fout</v>
          </cell>
          <cell r="D430" t="str">
            <v>RHSA_LTH</v>
          </cell>
          <cell r="E430">
            <v>8.0245645654368385</v>
          </cell>
          <cell r="F430">
            <v>3.2667364635644776E-5</v>
          </cell>
          <cell r="G430">
            <v>1.1634343606232035E-3</v>
          </cell>
          <cell r="H430">
            <v>2.2446108697252662</v>
          </cell>
          <cell r="I430">
            <v>2.5192572344514361</v>
          </cell>
          <cell r="J430">
            <v>0.81862377345986448</v>
          </cell>
          <cell r="K430">
            <v>3.8393782328710535</v>
          </cell>
          <cell r="L430">
            <v>1.314538695197915</v>
          </cell>
          <cell r="M430">
            <v>1.6178277949858786</v>
          </cell>
          <cell r="N430">
            <v>1.8143286610385174</v>
          </cell>
          <cell r="O430">
            <v>1.4236234164022279</v>
          </cell>
          <cell r="P430">
            <v>2.5967481392657867</v>
          </cell>
        </row>
        <row r="431">
          <cell r="B431" t="str">
            <v>RHSA-WHSTG-CHP</v>
          </cell>
          <cell r="C431" t="str">
            <v>VAR_fin</v>
          </cell>
          <cell r="D431" t="str">
            <v>RHSA_LTH</v>
          </cell>
          <cell r="E431">
            <v>10.699419420582538</v>
          </cell>
          <cell r="F431">
            <v>3.8939562480875266E-5</v>
          </cell>
          <cell r="G431">
            <v>1.5028737221551695E-3</v>
          </cell>
          <cell r="H431">
            <v>2.8057648631137302</v>
          </cell>
          <cell r="I431">
            <v>3.0536465775581605</v>
          </cell>
          <cell r="J431">
            <v>0.96308731442448925</v>
          </cell>
          <cell r="K431">
            <v>4.387862027136558</v>
          </cell>
          <cell r="L431">
            <v>1.4606003099763025</v>
          </cell>
          <cell r="M431">
            <v>1.7975869999885636</v>
          </cell>
          <cell r="N431">
            <v>2.0159224873330346</v>
          </cell>
          <cell r="O431">
            <v>1.5818052129736158</v>
          </cell>
          <cell r="P431">
            <v>2.8852783238199278</v>
          </cell>
        </row>
        <row r="432">
          <cell r="B432" t="str">
            <v>RHSA-WHSTG-CHP</v>
          </cell>
          <cell r="C432" t="str">
            <v>VAR_fin</v>
          </cell>
          <cell r="D432" t="str">
            <v>AUX_RHSA-CHP_IN</v>
          </cell>
          <cell r="E432">
            <v>10.699419420582538</v>
          </cell>
          <cell r="F432">
            <v>3.8939562480875266E-5</v>
          </cell>
          <cell r="G432">
            <v>1.5028737221551695E-3</v>
          </cell>
          <cell r="H432">
            <v>2.8057648631137302</v>
          </cell>
          <cell r="I432">
            <v>3.0536465775581605</v>
          </cell>
          <cell r="J432">
            <v>0.96308731442448925</v>
          </cell>
          <cell r="K432">
            <v>4.387862027136558</v>
          </cell>
          <cell r="L432">
            <v>1.4606003099763025</v>
          </cell>
          <cell r="M432">
            <v>1.7975869999885636</v>
          </cell>
          <cell r="N432">
            <v>2.0159224873330346</v>
          </cell>
          <cell r="O432">
            <v>1.5818052129736158</v>
          </cell>
          <cell r="P432">
            <v>2.8852783238199278</v>
          </cell>
        </row>
        <row r="433">
          <cell r="B433" t="str">
            <v>RHSA-WHSTG-CHP</v>
          </cell>
          <cell r="C433" t="str">
            <v>VAR_ncap</v>
          </cell>
          <cell r="D433" t="str">
            <v>-</v>
          </cell>
          <cell r="E433">
            <v>0.50823157430240395</v>
          </cell>
          <cell r="F433">
            <v>4.3469151015829902E-6</v>
          </cell>
          <cell r="G433">
            <v>5.2957830298277497E-6</v>
          </cell>
          <cell r="H433">
            <v>5.3922299223968101E-6</v>
          </cell>
          <cell r="I433">
            <v>0.122781303732581</v>
          </cell>
          <cell r="J433">
            <v>5.3502537910575102E-5</v>
          </cell>
          <cell r="K433">
            <v>0.12056222413619901</v>
          </cell>
          <cell r="L433">
            <v>6.3571497598554597E-5</v>
          </cell>
          <cell r="M433">
            <v>3.1830363469773002E-5</v>
          </cell>
          <cell r="N433">
            <v>0.115003454235728</v>
          </cell>
          <cell r="O433">
            <v>1.31714246419208E-5</v>
          </cell>
          <cell r="P433">
            <v>4.9723137159841398E-2</v>
          </cell>
        </row>
        <row r="434">
          <cell r="B434" t="str">
            <v>RHSA-WHSTG-CHP</v>
          </cell>
          <cell r="C434" t="str">
            <v>VAR_cap</v>
          </cell>
          <cell r="D434" t="str">
            <v>-</v>
          </cell>
          <cell r="E434">
            <v>0.50891643584521451</v>
          </cell>
          <cell r="F434">
            <v>0.14240511304728498</v>
          </cell>
          <cell r="G434">
            <v>0.14237721801258596</v>
          </cell>
          <cell r="H434">
            <v>0.14235919972482114</v>
          </cell>
          <cell r="I434">
            <v>0.15970089038186169</v>
          </cell>
          <cell r="J434">
            <v>0.12283398844099785</v>
          </cell>
          <cell r="K434">
            <v>0.24339086130090462</v>
          </cell>
          <cell r="L434">
            <v>0.11842987798871971</v>
          </cell>
          <cell r="M434">
            <v>0.10263196311080358</v>
          </cell>
          <cell r="N434">
            <v>0.11509031174394058</v>
          </cell>
          <cell r="O434">
            <v>0.11500559616896605</v>
          </cell>
          <cell r="P434">
            <v>0.16471195603996491</v>
          </cell>
        </row>
        <row r="435">
          <cell r="B435" t="str">
            <v>G-INTC-SER</v>
          </cell>
          <cell r="C435" t="str">
            <v>VAR_fout</v>
          </cell>
          <cell r="D435" t="str">
            <v>ELC35</v>
          </cell>
          <cell r="E435">
            <v>49.789694025880856</v>
          </cell>
          <cell r="F435">
            <v>1.0929808342365122E-3</v>
          </cell>
          <cell r="G435">
            <v>1.5545926592471324E-3</v>
          </cell>
          <cell r="H435">
            <v>6.0509766085556881E-4</v>
          </cell>
          <cell r="I435">
            <v>3.3345411387427457E-2</v>
          </cell>
          <cell r="J435">
            <v>1.0826548029840241E-3</v>
          </cell>
          <cell r="K435">
            <v>1.0659746996320033E-3</v>
          </cell>
          <cell r="L435">
            <v>2.6206607068438815E-3</v>
          </cell>
          <cell r="M435">
            <v>2.549382971424179E-2</v>
          </cell>
          <cell r="N435">
            <v>0.22681264097241191</v>
          </cell>
          <cell r="O435">
            <v>0.4548172308141511</v>
          </cell>
          <cell r="P435">
            <v>0.89901221390020447</v>
          </cell>
        </row>
        <row r="436">
          <cell r="B436" t="str">
            <v>G-INTC-SER</v>
          </cell>
          <cell r="C436" t="str">
            <v>VAR_fout</v>
          </cell>
          <cell r="D436" t="str">
            <v>SCOM_ELC</v>
          </cell>
          <cell r="E436">
            <v>59.24892997204114</v>
          </cell>
          <cell r="F436">
            <v>58.58611826638019</v>
          </cell>
          <cell r="G436">
            <v>62.014700036928176</v>
          </cell>
          <cell r="H436">
            <v>63.736689752389829</v>
          </cell>
          <cell r="I436">
            <v>60.325951295376839</v>
          </cell>
          <cell r="J436">
            <v>62.848907457700605</v>
          </cell>
          <cell r="K436">
            <v>61.786865158268583</v>
          </cell>
          <cell r="L436">
            <v>65.551672695127195</v>
          </cell>
          <cell r="M436">
            <v>64.259304826287575</v>
          </cell>
          <cell r="N436">
            <v>64.664915769172069</v>
          </cell>
          <cell r="O436">
            <v>64.875825376389741</v>
          </cell>
          <cell r="P436">
            <v>64.386693476060287</v>
          </cell>
        </row>
        <row r="437">
          <cell r="B437" t="str">
            <v>G-INTC-SER</v>
          </cell>
          <cell r="C437" t="str">
            <v>VAR_fin</v>
          </cell>
          <cell r="D437" t="str">
            <v>ELC5</v>
          </cell>
          <cell r="E437">
            <v>109.03862289845738</v>
          </cell>
          <cell r="F437">
            <v>58.587211247214469</v>
          </cell>
          <cell r="G437">
            <v>62.016254629587358</v>
          </cell>
          <cell r="H437">
            <v>63.737294850050695</v>
          </cell>
          <cell r="I437">
            <v>60.359296706764233</v>
          </cell>
          <cell r="J437">
            <v>62.849990112503676</v>
          </cell>
          <cell r="K437">
            <v>61.787931132968225</v>
          </cell>
          <cell r="L437">
            <v>65.554293355834048</v>
          </cell>
          <cell r="M437">
            <v>64.28479865600184</v>
          </cell>
          <cell r="N437">
            <v>64.891728410144538</v>
          </cell>
          <cell r="O437">
            <v>65.330642607203842</v>
          </cell>
          <cell r="P437">
            <v>65.285705689960508</v>
          </cell>
        </row>
        <row r="438">
          <cell r="B438" t="str">
            <v>G-INTC-SER</v>
          </cell>
          <cell r="C438" t="str">
            <v>VAR_ncap</v>
          </cell>
          <cell r="D438" t="str">
            <v>-</v>
          </cell>
          <cell r="E438">
            <v>1.2983899628739199E-8</v>
          </cell>
          <cell r="F438">
            <v>1.27758296808118E-8</v>
          </cell>
          <cell r="G438">
            <v>1.3339703544440501E-8</v>
          </cell>
          <cell r="H438">
            <v>1.5159191853648501E-8</v>
          </cell>
          <cell r="I438">
            <v>2.9104090973871601E-8</v>
          </cell>
          <cell r="J438">
            <v>3.5227769221775499E-8</v>
          </cell>
          <cell r="K438">
            <v>4.5567328815192098E-8</v>
          </cell>
          <cell r="L438">
            <v>6.1228424761064503E-8</v>
          </cell>
          <cell r="M438">
            <v>7.7451535630674096E-8</v>
          </cell>
          <cell r="N438">
            <v>1.39648053216582E-7</v>
          </cell>
          <cell r="O438">
            <v>2.7262068031684903E-7</v>
          </cell>
        </row>
        <row r="439">
          <cell r="B439" t="str">
            <v>G-INTC-SER</v>
          </cell>
          <cell r="C439" t="str">
            <v>VAR_cap</v>
          </cell>
          <cell r="D439" t="str">
            <v>-</v>
          </cell>
          <cell r="E439">
            <v>4.3683888589490198</v>
          </cell>
          <cell r="F439">
            <v>4.3683888631705683</v>
          </cell>
          <cell r="G439">
            <v>4.3683888847087493</v>
          </cell>
          <cell r="H439">
            <v>4.3683889063888781</v>
          </cell>
          <cell r="I439">
            <v>4.3683889202164297</v>
          </cell>
          <cell r="J439">
            <v>4.3683889558832298</v>
          </cell>
          <cell r="K439">
            <v>4.3683889994796727</v>
          </cell>
          <cell r="L439">
            <v>4.3683890231068334</v>
          </cell>
          <cell r="M439">
            <v>4.3683891269482675</v>
          </cell>
          <cell r="N439">
            <v>4.3683891954165412</v>
          </cell>
          <cell r="O439">
            <v>4.3683894326987067</v>
          </cell>
          <cell r="P439">
            <v>4.3683895740555272</v>
          </cell>
        </row>
        <row r="440">
          <cell r="B440" t="str">
            <v>CHPWOD</v>
          </cell>
          <cell r="C440" t="str">
            <v>VAR_fout</v>
          </cell>
          <cell r="D440" t="str">
            <v>ELC35</v>
          </cell>
          <cell r="E440">
            <v>6.5825573619662611E-2</v>
          </cell>
          <cell r="F440">
            <v>1.113913652158503E-4</v>
          </cell>
          <cell r="G440">
            <v>1.0762145406833663E-2</v>
          </cell>
          <cell r="H440">
            <v>3.604056753480139E-4</v>
          </cell>
          <cell r="I440">
            <v>6.0275402194521273E-4</v>
          </cell>
          <cell r="J440">
            <v>0.89867868865902534</v>
          </cell>
          <cell r="K440">
            <v>1.2578448681492329</v>
          </cell>
          <cell r="L440">
            <v>1.0606220048200932</v>
          </cell>
          <cell r="M440">
            <v>1.0511301371409589</v>
          </cell>
          <cell r="N440">
            <v>1.0523833716255107</v>
          </cell>
          <cell r="O440">
            <v>1.051845995444525</v>
          </cell>
          <cell r="P440">
            <v>1.0520846290399657</v>
          </cell>
        </row>
        <row r="441">
          <cell r="B441" t="str">
            <v>CHPWOD</v>
          </cell>
          <cell r="C441" t="str">
            <v>VAR_fout</v>
          </cell>
          <cell r="D441" t="str">
            <v>LTH</v>
          </cell>
          <cell r="E441">
            <v>0.17214603533425005</v>
          </cell>
          <cell r="F441">
            <v>2.913089979765889E-4</v>
          </cell>
          <cell r="G441">
            <v>2.8144998388950168E-2</v>
          </cell>
          <cell r="H441">
            <v>9.4252742074990277E-4</v>
          </cell>
          <cell r="I441">
            <v>1.5763131174393202E-3</v>
          </cell>
          <cell r="J441">
            <v>2.3502107886808101</v>
          </cell>
          <cell r="K441">
            <v>3.289496698783688</v>
          </cell>
          <cell r="L441">
            <v>2.7737224771179823</v>
          </cell>
          <cell r="M441">
            <v>2.7488994896523313</v>
          </cell>
          <cell r="N441">
            <v>2.752176929346307</v>
          </cell>
          <cell r="O441">
            <v>2.750771591360583</v>
          </cell>
          <cell r="P441">
            <v>2.7513956622967544</v>
          </cell>
        </row>
        <row r="442">
          <cell r="B442" t="str">
            <v>CHPWOD</v>
          </cell>
          <cell r="C442" t="str">
            <v>VAR_fin</v>
          </cell>
          <cell r="D442" t="str">
            <v>EWOD</v>
          </cell>
          <cell r="E442">
            <v>0.2699619285516956</v>
          </cell>
          <cell r="F442">
            <v>5.0310599581161308E-4</v>
          </cell>
          <cell r="G442">
            <v>4.1752274824611725E-2</v>
          </cell>
          <cell r="H442">
            <v>1.5493230161287958E-3</v>
          </cell>
          <cell r="I442">
            <v>2.4610258699791798E-3</v>
          </cell>
          <cell r="J442">
            <v>2.9348772600807074</v>
          </cell>
          <cell r="K442">
            <v>4.1136554968557171</v>
          </cell>
          <cell r="L442">
            <v>3.4673716785867481</v>
          </cell>
          <cell r="M442">
            <v>3.4351404004869504</v>
          </cell>
          <cell r="N442">
            <v>3.4380612373356172</v>
          </cell>
          <cell r="O442">
            <v>3.4365448805734169</v>
          </cell>
          <cell r="P442">
            <v>3.4380584641976029</v>
          </cell>
        </row>
        <row r="443">
          <cell r="B443" t="str">
            <v>CHPWOD</v>
          </cell>
          <cell r="C443" t="str">
            <v>VAR_ncap</v>
          </cell>
          <cell r="D443" t="str">
            <v>-</v>
          </cell>
          <cell r="E443"/>
          <cell r="F443">
            <v>4.3484167195552099E-8</v>
          </cell>
          <cell r="G443">
            <v>3.8127092282117702E-4</v>
          </cell>
          <cell r="H443">
            <v>1.35082595317498E-7</v>
          </cell>
          <cell r="I443">
            <v>3.09978971896887E-5</v>
          </cell>
          <cell r="J443">
            <v>7.0084982428151602E-2</v>
          </cell>
          <cell r="K443">
            <v>5.5565541010517901E-7</v>
          </cell>
          <cell r="L443">
            <v>5.4878985678863001E-7</v>
          </cell>
          <cell r="M443">
            <v>5.9721225859846799E-3</v>
          </cell>
          <cell r="N443">
            <v>5.17977627243714E-2</v>
          </cell>
          <cell r="O443">
            <v>6.55934765046316E-3</v>
          </cell>
          <cell r="P443">
            <v>2.30512567333813E-7</v>
          </cell>
        </row>
        <row r="444">
          <cell r="B444" t="str">
            <v>CHPWOD</v>
          </cell>
          <cell r="C444" t="str">
            <v>VAR_cap</v>
          </cell>
          <cell r="D444" t="str">
            <v>-</v>
          </cell>
          <cell r="E444">
            <v>2.4619793887402999E-3</v>
          </cell>
          <cell r="F444">
            <v>2.0329579872503667E-5</v>
          </cell>
          <cell r="G444">
            <v>4.0152922175277356E-4</v>
          </cell>
          <cell r="H444">
            <v>6.5681988247186934E-5</v>
          </cell>
          <cell r="I444">
            <v>9.6470216439877715E-5</v>
          </cell>
          <cell r="J444">
            <v>7.0181178714883538E-2</v>
          </cell>
          <cell r="K444">
            <v>7.0127918837176936E-2</v>
          </cell>
          <cell r="L444">
            <v>5.9719405073640701E-2</v>
          </cell>
          <cell r="M444">
            <v>5.7778359014812992E-2</v>
          </cell>
          <cell r="N444">
            <v>5.7770576316945314E-2</v>
          </cell>
          <cell r="O444">
            <v>6.4329460857600301E-2</v>
          </cell>
          <cell r="P444">
            <v>5.8356424641721819E-2</v>
          </cell>
        </row>
        <row r="445">
          <cell r="B445" t="str">
            <v>D-EH2R</v>
          </cell>
          <cell r="C445" t="str">
            <v>VAR_fout</v>
          </cell>
          <cell r="D445" t="str">
            <v>EH2</v>
          </cell>
          <cell r="E445"/>
          <cell r="F445"/>
          <cell r="G445"/>
          <cell r="H445"/>
          <cell r="I445"/>
          <cell r="J445">
            <v>5.1043760326119285E-2</v>
          </cell>
          <cell r="K445">
            <v>0.19572966087721019</v>
          </cell>
          <cell r="L445">
            <v>0.20741253698515294</v>
          </cell>
          <cell r="M445">
            <v>2.539167014636411E-2</v>
          </cell>
          <cell r="N445">
            <v>3.2103201765363832E-3</v>
          </cell>
          <cell r="O445">
            <v>1.9435989380315996E-3</v>
          </cell>
          <cell r="P445">
            <v>5.5049713029608439E-3</v>
          </cell>
        </row>
        <row r="446">
          <cell r="B446" t="str">
            <v>D-EH2R</v>
          </cell>
          <cell r="C446" t="str">
            <v>VAR_fin</v>
          </cell>
          <cell r="D446" t="str">
            <v>H2</v>
          </cell>
          <cell r="E446"/>
          <cell r="F446"/>
          <cell r="G446"/>
          <cell r="H446"/>
          <cell r="I446"/>
          <cell r="J446">
            <v>5.1043760326119285E-2</v>
          </cell>
          <cell r="K446">
            <v>0.19572966087721019</v>
          </cell>
          <cell r="L446">
            <v>0.20741253698515294</v>
          </cell>
          <cell r="M446">
            <v>2.539167014636411E-2</v>
          </cell>
          <cell r="N446">
            <v>3.2103201765363832E-3</v>
          </cell>
          <cell r="O446">
            <v>1.9435989380315996E-3</v>
          </cell>
          <cell r="P446">
            <v>5.5049713029608439E-3</v>
          </cell>
        </row>
        <row r="447">
          <cell r="B447" t="str">
            <v>D-EH2R</v>
          </cell>
          <cell r="C447" t="str">
            <v>VAR_ncap</v>
          </cell>
          <cell r="D447" t="str">
            <v>-</v>
          </cell>
          <cell r="I447">
            <v>2.6396805279701902E-7</v>
          </cell>
          <cell r="J447">
            <v>2.2860247709367799E-3</v>
          </cell>
          <cell r="K447">
            <v>7.3623498861218302E-3</v>
          </cell>
          <cell r="L447">
            <v>4.7303246842003102E-6</v>
          </cell>
          <cell r="M447">
            <v>1.04300251180882E-6</v>
          </cell>
          <cell r="N447">
            <v>1.63315815048285E-4</v>
          </cell>
          <cell r="O447">
            <v>8.8476076307359504E-5</v>
          </cell>
          <cell r="P447">
            <v>2.4772822585931E-4</v>
          </cell>
        </row>
        <row r="448">
          <cell r="B448" t="str">
            <v>D-EH2R</v>
          </cell>
          <cell r="C448" t="str">
            <v>VAR_cap</v>
          </cell>
          <cell r="D448" t="str">
            <v>-</v>
          </cell>
          <cell r="I448">
            <v>2.6396805279701902E-7</v>
          </cell>
          <cell r="J448">
            <v>2.28608020341957E-3</v>
          </cell>
          <cell r="K448">
            <v>7.3623498861218302E-3</v>
          </cell>
          <cell r="L448">
            <v>7.3670802108060304E-3</v>
          </cell>
          <cell r="M448">
            <v>1.1337340251652301E-3</v>
          </cell>
          <cell r="N448">
            <v>1.6410764391063001E-4</v>
          </cell>
          <cell r="O448">
            <v>1.1740288756766099E-4</v>
          </cell>
          <cell r="P448">
            <v>3.3620430216666901E-4</v>
          </cell>
        </row>
        <row r="449">
          <cell r="B449" t="str">
            <v>G-INTC1</v>
          </cell>
          <cell r="C449" t="str">
            <v>VAR_fout</v>
          </cell>
          <cell r="D449" t="str">
            <v>ELC13</v>
          </cell>
          <cell r="E449">
            <v>124.97543170170347</v>
          </cell>
          <cell r="F449">
            <v>139.94692881446869</v>
          </cell>
          <cell r="G449">
            <v>123.6096850781159</v>
          </cell>
          <cell r="H449">
            <v>113.68470507520519</v>
          </cell>
          <cell r="I449">
            <v>120.18705562182012</v>
          </cell>
          <cell r="J449">
            <v>119.82032948111993</v>
          </cell>
          <cell r="K449">
            <v>114.68299743465766</v>
          </cell>
          <cell r="L449">
            <v>124.44234404426331</v>
          </cell>
          <cell r="M449">
            <v>121.76837788364473</v>
          </cell>
          <cell r="N449">
            <v>127.97617517931468</v>
          </cell>
          <cell r="O449">
            <v>128.19846953187206</v>
          </cell>
          <cell r="P449">
            <v>123.9505340173925</v>
          </cell>
        </row>
        <row r="450">
          <cell r="B450" t="str">
            <v>G-INTC1</v>
          </cell>
          <cell r="C450" t="str">
            <v>VAR_fin</v>
          </cell>
          <cell r="D450" t="str">
            <v>ELC</v>
          </cell>
          <cell r="E450">
            <v>126.29155264403518</v>
          </cell>
          <cell r="F450">
            <v>143.5743301040298</v>
          </cell>
          <cell r="G450">
            <v>126.53834486859039</v>
          </cell>
          <cell r="H450">
            <v>115.95868214477524</v>
          </cell>
          <cell r="I450">
            <v>122.15075430700982</v>
          </cell>
          <cell r="J450">
            <v>121.34218080816419</v>
          </cell>
          <cell r="K450">
            <v>115.72540635795033</v>
          </cell>
          <cell r="L450">
            <v>125.12721494582068</v>
          </cell>
          <cell r="M450">
            <v>122.43853255955374</v>
          </cell>
          <cell r="N450">
            <v>128.68049459041268</v>
          </cell>
          <cell r="O450">
            <v>128.90401234433571</v>
          </cell>
          <cell r="P450">
            <v>124.63269823274047</v>
          </cell>
        </row>
        <row r="451">
          <cell r="B451" t="str">
            <v>G-INTC1</v>
          </cell>
          <cell r="C451" t="str">
            <v>VAR_ncap</v>
          </cell>
          <cell r="D451" t="str">
            <v>-</v>
          </cell>
          <cell r="E451">
            <v>2.3282042741749799E-8</v>
          </cell>
          <cell r="F451">
            <v>2.2246785091715899E-8</v>
          </cell>
          <cell r="G451">
            <v>2.45859591909157E-8</v>
          </cell>
          <cell r="H451">
            <v>3.0501869430452402E-8</v>
          </cell>
          <cell r="I451">
            <v>3.8460232145372601E-8</v>
          </cell>
          <cell r="J451">
            <v>6.0205301685653407E-8</v>
          </cell>
          <cell r="K451">
            <v>6.4349750280627306E-8</v>
          </cell>
          <cell r="L451">
            <v>1.0038912424844499E-7</v>
          </cell>
          <cell r="M451">
            <v>1.4616883100538899E-7</v>
          </cell>
          <cell r="N451">
            <v>5.4802028873787697E-7</v>
          </cell>
        </row>
        <row r="452">
          <cell r="B452" t="str">
            <v>G-INTC1</v>
          </cell>
          <cell r="C452" t="str">
            <v>VAR_cap</v>
          </cell>
          <cell r="D452" t="str">
            <v>-</v>
          </cell>
          <cell r="E452">
            <v>15.305609183965201</v>
          </cell>
          <cell r="F452">
            <v>15.305609183965201</v>
          </cell>
          <cell r="G452">
            <v>15.305609183965201</v>
          </cell>
          <cell r="H452">
            <v>15.305609205840437</v>
          </cell>
          <cell r="I452">
            <v>15.305609261425383</v>
          </cell>
          <cell r="J452">
            <v>15.305609284581857</v>
          </cell>
          <cell r="K452">
            <v>15.305609325655077</v>
          </cell>
          <cell r="L452">
            <v>15.305609383247392</v>
          </cell>
          <cell r="M452">
            <v>15.30560943770954</v>
          </cell>
          <cell r="N452">
            <v>15.305609583186333</v>
          </cell>
          <cell r="O452">
            <v>15.305609694155097</v>
          </cell>
          <cell r="P452">
            <v>15.305610242175385</v>
          </cell>
        </row>
        <row r="453">
          <cell r="B453" t="str">
            <v>EHYD-RUNS00</v>
          </cell>
          <cell r="C453" t="str">
            <v>VAR_fout</v>
          </cell>
          <cell r="D453" t="str">
            <v>ELC35</v>
          </cell>
          <cell r="E453">
            <v>12.240000083346676</v>
          </cell>
          <cell r="F453">
            <v>12.242766785145161</v>
          </cell>
          <cell r="G453">
            <v>12.24688337492177</v>
          </cell>
          <cell r="H453">
            <v>12.25482517620566</v>
          </cell>
          <cell r="I453">
            <v>12.262925196062845</v>
          </cell>
          <cell r="J453">
            <v>12.271086114303129</v>
          </cell>
          <cell r="K453">
            <v>12.27925325228723</v>
          </cell>
          <cell r="L453">
            <v>12.287472548899363</v>
          </cell>
          <cell r="M453">
            <v>12.287433742055143</v>
          </cell>
          <cell r="N453">
            <v>12.287458829534456</v>
          </cell>
          <cell r="O453">
            <v>12.287429756656159</v>
          </cell>
          <cell r="P453">
            <v>12.286591505631282</v>
          </cell>
        </row>
        <row r="454">
          <cell r="B454" t="str">
            <v>EHYD-RUNS00</v>
          </cell>
          <cell r="C454" t="str">
            <v>VAR_fin</v>
          </cell>
          <cell r="D454" t="str">
            <v>HYDR</v>
          </cell>
          <cell r="E454">
            <v>12.240000083346676</v>
          </cell>
          <cell r="F454">
            <v>12.242766785145161</v>
          </cell>
          <cell r="G454">
            <v>12.24688337492177</v>
          </cell>
          <cell r="H454">
            <v>12.25482517620566</v>
          </cell>
          <cell r="I454">
            <v>12.262925196062845</v>
          </cell>
          <cell r="J454">
            <v>12.271086114303129</v>
          </cell>
          <cell r="K454">
            <v>12.27925325228723</v>
          </cell>
          <cell r="L454">
            <v>12.287472548899363</v>
          </cell>
          <cell r="M454">
            <v>12.287433742055143</v>
          </cell>
          <cell r="N454">
            <v>12.287458829534456</v>
          </cell>
          <cell r="O454">
            <v>12.287429756656159</v>
          </cell>
          <cell r="P454">
            <v>12.286591505631282</v>
          </cell>
        </row>
        <row r="455">
          <cell r="B455" t="str">
            <v>EHYD-RUNS00</v>
          </cell>
          <cell r="C455" t="str">
            <v>VAR_cap</v>
          </cell>
          <cell r="D455" t="str">
            <v>-</v>
          </cell>
          <cell r="E455">
            <v>0.85785999999999896</v>
          </cell>
          <cell r="F455">
            <v>0.88297936593724102</v>
          </cell>
          <cell r="G455">
            <v>0.89707999999999899</v>
          </cell>
          <cell r="H455">
            <v>0.89707999999999899</v>
          </cell>
          <cell r="I455">
            <v>0.89707999999999899</v>
          </cell>
          <cell r="J455">
            <v>0.89707999999999899</v>
          </cell>
          <cell r="K455">
            <v>0.89707999999999899</v>
          </cell>
          <cell r="L455">
            <v>0.89707999999999899</v>
          </cell>
          <cell r="M455">
            <v>0.89707999999999899</v>
          </cell>
          <cell r="N455">
            <v>0.89707999999999899</v>
          </cell>
          <cell r="O455">
            <v>0.89707999999999899</v>
          </cell>
          <cell r="P455">
            <v>0.89707999999999899</v>
          </cell>
        </row>
        <row r="456">
          <cell r="B456" t="str">
            <v>RHNS-SHSTG-CHPWOD</v>
          </cell>
          <cell r="C456" t="str">
            <v>VAR_fout</v>
          </cell>
          <cell r="D456" t="str">
            <v>AUX_RNS-CHPWOD_OUT</v>
          </cell>
          <cell r="E456">
            <v>3.2961887259998103E-5</v>
          </cell>
          <cell r="F456">
            <v>2.6479560858680738E-5</v>
          </cell>
          <cell r="G456">
            <v>4.2137814816540595E-5</v>
          </cell>
          <cell r="H456">
            <v>2.5058953415472263E-4</v>
          </cell>
          <cell r="I456">
            <v>2.7984555849661308E-4</v>
          </cell>
          <cell r="J456">
            <v>7.3560082648254884E-4</v>
          </cell>
          <cell r="K456">
            <v>6.5914053178154058E-4</v>
          </cell>
          <cell r="L456">
            <v>6.0070254109811547E-4</v>
          </cell>
          <cell r="M456">
            <v>5.0762585507680596E-4</v>
          </cell>
          <cell r="N456">
            <v>1.3689417972074188E-3</v>
          </cell>
          <cell r="O456">
            <v>1.0288444419593664E-3</v>
          </cell>
          <cell r="P456">
            <v>2.4584253519423171E-3</v>
          </cell>
        </row>
        <row r="457">
          <cell r="B457" t="str">
            <v>RHNS-SHSTG-CHPWOD</v>
          </cell>
          <cell r="C457" t="str">
            <v>VAR_fout</v>
          </cell>
          <cell r="D457" t="str">
            <v>RHNS_LTH_CHPWOD</v>
          </cell>
          <cell r="E457">
            <v>3.2961887259998015E-5</v>
          </cell>
          <cell r="F457">
            <v>2.6497213899253165E-5</v>
          </cell>
          <cell r="G457">
            <v>4.2181708373641125E-5</v>
          </cell>
          <cell r="H457">
            <v>2.5058953415472263E-4</v>
          </cell>
          <cell r="I457">
            <v>2.8010276948787778E-4</v>
          </cell>
          <cell r="J457">
            <v>7.3560082648254624E-4</v>
          </cell>
          <cell r="K457">
            <v>6.5967904528789587E-4</v>
          </cell>
          <cell r="L457">
            <v>6.0070254109811493E-4</v>
          </cell>
          <cell r="M457">
            <v>5.0762585507680542E-4</v>
          </cell>
          <cell r="N457">
            <v>1.3689417972074167E-3</v>
          </cell>
          <cell r="O457">
            <v>1.0288444419593655E-3</v>
          </cell>
          <cell r="P457">
            <v>2.4584253519423153E-3</v>
          </cell>
        </row>
        <row r="458">
          <cell r="B458" t="str">
            <v>RHNS-SHSTG-CHPWOD</v>
          </cell>
          <cell r="C458" t="str">
            <v>VAR_fin</v>
          </cell>
          <cell r="D458" t="str">
            <v>AUX_RNS-CHPWOD_IN</v>
          </cell>
          <cell r="E458">
            <v>2.6147826827759253E-5</v>
          </cell>
          <cell r="F458">
            <v>1.2947691586280348E-5</v>
          </cell>
          <cell r="G458">
            <v>3.3465640823177094E-5</v>
          </cell>
          <cell r="H458">
            <v>3.1311523884607675E-4</v>
          </cell>
          <cell r="I458">
            <v>3.3951440458046311E-4</v>
          </cell>
          <cell r="J458">
            <v>8.6548042338296569E-4</v>
          </cell>
          <cell r="K458">
            <v>7.5426640105192828E-4</v>
          </cell>
          <cell r="L458">
            <v>6.6808740319023927E-4</v>
          </cell>
          <cell r="M458">
            <v>5.6402872786199642E-4</v>
          </cell>
          <cell r="N458">
            <v>1.5217732307520365E-3</v>
          </cell>
          <cell r="O458">
            <v>1.1432486673176468E-3</v>
          </cell>
          <cell r="P458">
            <v>2.7324836155805331E-3</v>
          </cell>
        </row>
        <row r="459">
          <cell r="B459" t="str">
            <v>RHNS-SHSTG-CHPWOD</v>
          </cell>
          <cell r="C459" t="str">
            <v>VAR_fin</v>
          </cell>
          <cell r="D459" t="str">
            <v>RHNS_LTH_CHPWOD</v>
          </cell>
          <cell r="E459">
            <v>2.6147826827759253E-5</v>
          </cell>
          <cell r="F459">
            <v>1.2947691586280348E-5</v>
          </cell>
          <cell r="G459">
            <v>3.3465640823177094E-5</v>
          </cell>
          <cell r="H459">
            <v>3.1311523884607675E-4</v>
          </cell>
          <cell r="I459">
            <v>3.3951440458046311E-4</v>
          </cell>
          <cell r="J459">
            <v>8.6548042338296569E-4</v>
          </cell>
          <cell r="K459">
            <v>7.5426640105192828E-4</v>
          </cell>
          <cell r="L459">
            <v>6.6808740319023927E-4</v>
          </cell>
          <cell r="M459">
            <v>5.6402872786199642E-4</v>
          </cell>
          <cell r="N459">
            <v>1.5217732307520365E-3</v>
          </cell>
          <cell r="O459">
            <v>1.1432486673176468E-3</v>
          </cell>
          <cell r="P459">
            <v>2.7324836155805331E-3</v>
          </cell>
        </row>
        <row r="460">
          <cell r="B460" t="str">
            <v>RHNS-SHSTG-CHPWOD</v>
          </cell>
          <cell r="C460" t="str">
            <v>VAR_ncap</v>
          </cell>
          <cell r="D460" t="str">
            <v>-</v>
          </cell>
          <cell r="E460">
            <v>3.5803722109522E-4</v>
          </cell>
          <cell r="F460">
            <v>8.3424635718868192E-6</v>
          </cell>
          <cell r="G460">
            <v>1.48170149758767E-5</v>
          </cell>
          <cell r="H460">
            <v>1.27359821464859E-5</v>
          </cell>
          <cell r="I460">
            <v>4.0939175094353901E-4</v>
          </cell>
          <cell r="J460">
            <v>1.717581779531E-4</v>
          </cell>
          <cell r="K460">
            <v>2.9213533665901099E-5</v>
          </cell>
          <cell r="L460">
            <v>6.6060641551028199E-4</v>
          </cell>
          <cell r="M460">
            <v>1.5391746379391799E-5</v>
          </cell>
          <cell r="N460">
            <v>4.9336173707447404E-4</v>
          </cell>
          <cell r="O460">
            <v>2.65382242033471E-4</v>
          </cell>
          <cell r="P460">
            <v>1.1883689672597801E-3</v>
          </cell>
        </row>
        <row r="461">
          <cell r="B461" t="str">
            <v>RHNS-SHSTG-CHPWOD</v>
          </cell>
          <cell r="C461" t="str">
            <v>VAR_cap</v>
          </cell>
          <cell r="D461" t="str">
            <v>-</v>
          </cell>
          <cell r="E461">
            <v>3.5803722109522E-4</v>
          </cell>
          <cell r="F461">
            <v>3.6544921861744967E-4</v>
          </cell>
          <cell r="G461">
            <v>3.7778595108126041E-4</v>
          </cell>
          <cell r="H461">
            <v>3.8638118840386682E-4</v>
          </cell>
          <cell r="I461">
            <v>5.2421692556814013E-4</v>
          </cell>
          <cell r="J461">
            <v>5.8806666864215785E-4</v>
          </cell>
          <cell r="K461">
            <v>6.0444170478431451E-4</v>
          </cell>
          <cell r="L461">
            <v>8.5525836129416875E-4</v>
          </cell>
          <cell r="M461">
            <v>7.1394669337749477E-4</v>
          </cell>
          <cell r="N461">
            <v>1.160091178363678E-3</v>
          </cell>
          <cell r="O461">
            <v>8.7320350938408235E-4</v>
          </cell>
          <cell r="P461">
            <v>1.9383255504502931E-3</v>
          </cell>
        </row>
        <row r="462">
          <cell r="B462" t="str">
            <v>HPLOIL</v>
          </cell>
          <cell r="C462" t="str">
            <v>VAR_fout</v>
          </cell>
          <cell r="D462" t="str">
            <v>LTH</v>
          </cell>
          <cell r="E462">
            <v>0.18406587926606541</v>
          </cell>
          <cell r="F462">
            <v>0.18586337060125313</v>
          </cell>
          <cell r="G462">
            <v>5.346827961875926E-2</v>
          </cell>
          <cell r="H462">
            <v>5.3631234756674688E-2</v>
          </cell>
          <cell r="I462">
            <v>1.88998906927503E-4</v>
          </cell>
          <cell r="J462">
            <v>2.4372143362802935E-5</v>
          </cell>
          <cell r="K462">
            <v>5.0293491263287009E-5</v>
          </cell>
          <cell r="L462">
            <v>3.1458405265468248E-5</v>
          </cell>
          <cell r="M462">
            <v>3.1958637704679582E-7</v>
          </cell>
          <cell r="O462">
            <v>5.1194888462321799E-8</v>
          </cell>
          <cell r="P462">
            <v>1.00161258951833E-8</v>
          </cell>
        </row>
        <row r="463">
          <cell r="B463" t="str">
            <v>HPLOIL</v>
          </cell>
          <cell r="C463" t="str">
            <v>VAR_fout</v>
          </cell>
          <cell r="D463" t="str">
            <v>CO2_E</v>
          </cell>
          <cell r="E463">
            <v>15.876383338503899</v>
          </cell>
          <cell r="F463">
            <v>16.0314238142231</v>
          </cell>
          <cell r="G463">
            <v>4.6118428198780199</v>
          </cell>
          <cell r="H463">
            <v>4.6258983213476004</v>
          </cell>
          <cell r="I463">
            <v>1.6301875768087899E-2</v>
          </cell>
          <cell r="J463">
            <v>2.10219021771826E-3</v>
          </cell>
          <cell r="K463">
            <v>4.3380052289509301E-3</v>
          </cell>
          <cell r="L463">
            <v>2.7134073039720799E-3</v>
          </cell>
          <cell r="M463">
            <v>2.7565542576331301E-5</v>
          </cell>
          <cell r="O463">
            <v>4.4157541714990701E-6</v>
          </cell>
          <cell r="P463">
            <v>8.6392901776642899E-7</v>
          </cell>
        </row>
        <row r="464">
          <cell r="B464" t="str">
            <v>HPLOIL</v>
          </cell>
          <cell r="C464" t="str">
            <v>VAR_fin</v>
          </cell>
          <cell r="D464" t="str">
            <v>ELFO</v>
          </cell>
          <cell r="E464">
            <v>0.21541904122800415</v>
          </cell>
          <cell r="F464">
            <v>0.21752271118348868</v>
          </cell>
          <cell r="G464">
            <v>6.2575886294138683E-2</v>
          </cell>
          <cell r="H464">
            <v>6.276659866143286E-2</v>
          </cell>
          <cell r="I464">
            <v>2.2119234420743398E-4</v>
          </cell>
          <cell r="J464">
            <v>2.8523612180709091E-5</v>
          </cell>
          <cell r="K464">
            <v>5.886031518250917E-5</v>
          </cell>
          <cell r="L464">
            <v>3.6816924070177393E-5</v>
          </cell>
          <cell r="M464">
            <v>3.7402364418359915E-7</v>
          </cell>
          <cell r="O464">
            <v>5.9915253344627698E-8</v>
          </cell>
          <cell r="P464">
            <v>1.1722239047034299E-8</v>
          </cell>
        </row>
        <row r="465">
          <cell r="B465" t="str">
            <v>HPLOIL</v>
          </cell>
          <cell r="C465" t="str">
            <v>VAR_ncap</v>
          </cell>
          <cell r="D465" t="str">
            <v>-</v>
          </cell>
          <cell r="E465">
            <v>2.74561619863835E-6</v>
          </cell>
          <cell r="F465">
            <v>2.1883569611246698E-6</v>
          </cell>
          <cell r="G465">
            <v>2.2328090432747998E-6</v>
          </cell>
          <cell r="H465">
            <v>2.25250752206788E-6</v>
          </cell>
          <cell r="I465">
            <v>1.28445714733732E-4</v>
          </cell>
          <cell r="J465">
            <v>5.8873599148849197E-6</v>
          </cell>
          <cell r="K465">
            <v>1.34181717493694E-5</v>
          </cell>
          <cell r="L465">
            <v>1.30078965492454E-4</v>
          </cell>
          <cell r="M465">
            <v>8.9593443705670697E-6</v>
          </cell>
          <cell r="N465">
            <v>4.8964398898668499E-5</v>
          </cell>
          <cell r="O465">
            <v>4.6223180258036101E-6</v>
          </cell>
          <cell r="P465">
            <v>3.7716029730770098E-6</v>
          </cell>
        </row>
        <row r="466">
          <cell r="B466" t="str">
            <v>HPLOIL</v>
          </cell>
          <cell r="C466" t="str">
            <v>VAR_cap</v>
          </cell>
          <cell r="D466" t="str">
            <v>-</v>
          </cell>
          <cell r="E466">
            <v>2.3671166299798541E-2</v>
          </cell>
          <cell r="F466">
            <v>2.3589413440545361E-2</v>
          </cell>
          <cell r="G466">
            <v>1.5135616150693434E-2</v>
          </cell>
          <cell r="H466">
            <v>6.8068393401088043E-3</v>
          </cell>
          <cell r="I466">
            <v>1.3446631401694157E-4</v>
          </cell>
          <cell r="J466">
            <v>1.3726191505058518E-4</v>
          </cell>
          <cell r="K466">
            <v>1.4698049415520569E-4</v>
          </cell>
          <cell r="L466">
            <v>2.7330376298220272E-4</v>
          </cell>
          <cell r="M466">
            <v>1.9063438366725673E-4</v>
          </cell>
          <cell r="N466">
            <v>1.9723425739789598E-4</v>
          </cell>
          <cell r="O466">
            <v>1.8764801517524721E-4</v>
          </cell>
          <cell r="P466">
            <v>5.692075250997331E-5</v>
          </cell>
        </row>
        <row r="467">
          <cell r="B467" t="str">
            <v>V2G</v>
          </cell>
          <cell r="C467" t="str">
            <v>VAR_fout</v>
          </cell>
          <cell r="D467" t="str">
            <v>ELC35</v>
          </cell>
          <cell r="H467">
            <v>0.21673120219436529</v>
          </cell>
          <cell r="I467">
            <v>1.3981945408098519</v>
          </cell>
          <cell r="J467">
            <v>1.1377831128456597</v>
          </cell>
          <cell r="K467">
            <v>2.1756329024578038</v>
          </cell>
          <cell r="L467">
            <v>2.3541001087426285</v>
          </cell>
          <cell r="M467">
            <v>2.7060759578024154</v>
          </cell>
          <cell r="N467">
            <v>2.1764545901078942</v>
          </cell>
          <cell r="O467">
            <v>2.2079910810777656</v>
          </cell>
          <cell r="P467">
            <v>2.6162034863869956</v>
          </cell>
        </row>
        <row r="468">
          <cell r="B468" t="str">
            <v>V2G</v>
          </cell>
          <cell r="C468" t="str">
            <v>VAR_fin</v>
          </cell>
          <cell r="D468" t="str">
            <v>T-ELC-Bus_c_BatSTGout_S1</v>
          </cell>
          <cell r="H468">
            <v>7.5785516398135875E-4</v>
          </cell>
          <cell r="I468">
            <v>2.9125535874326824E-3</v>
          </cell>
          <cell r="J468">
            <v>1.9061186458438541E-3</v>
          </cell>
          <cell r="K468">
            <v>1.9724665477204042E-3</v>
          </cell>
          <cell r="L468">
            <v>2.0544788243620658E-3</v>
          </cell>
          <cell r="M468">
            <v>1.5426231547502119E-3</v>
          </cell>
          <cell r="N468">
            <v>1.9955856961701465E-3</v>
          </cell>
          <cell r="O468">
            <v>1.6063333572725429E-3</v>
          </cell>
          <cell r="P468">
            <v>2.8799799469926097E-3</v>
          </cell>
        </row>
        <row r="469">
          <cell r="B469" t="str">
            <v>V2G</v>
          </cell>
          <cell r="C469" t="str">
            <v>VAR_fin</v>
          </cell>
          <cell r="D469" t="str">
            <v>T-ELC-Bus_c_BatSTGout_S2</v>
          </cell>
          <cell r="H469">
            <v>7.272916513444014E-4</v>
          </cell>
          <cell r="I469">
            <v>1.8513549559296722E-3</v>
          </cell>
          <cell r="J469">
            <v>2.055828413033351E-3</v>
          </cell>
          <cell r="K469">
            <v>2.066467484270155E-3</v>
          </cell>
          <cell r="L469">
            <v>2.4427357462496525E-3</v>
          </cell>
          <cell r="M469">
            <v>1.5973516093631714E-3</v>
          </cell>
          <cell r="N469">
            <v>2.1182732030964359E-3</v>
          </cell>
          <cell r="O469">
            <v>1.6862735888748506E-3</v>
          </cell>
          <cell r="P469">
            <v>3.0011402027885262E-3</v>
          </cell>
        </row>
        <row r="470">
          <cell r="B470" t="str">
            <v>V2G</v>
          </cell>
          <cell r="C470" t="str">
            <v>VAR_fin</v>
          </cell>
          <cell r="D470" t="str">
            <v>T-ELC-Bus_c_BatSTGout_S3</v>
          </cell>
          <cell r="H470">
            <v>1.5662215994917319E-4</v>
          </cell>
          <cell r="I470">
            <v>9.8242046856179582E-4</v>
          </cell>
          <cell r="J470">
            <v>1.1531206015318065E-3</v>
          </cell>
          <cell r="K470">
            <v>1.1413108649524118E-3</v>
          </cell>
          <cell r="L470">
            <v>1.5918572241982241E-3</v>
          </cell>
          <cell r="M470">
            <v>1.0513324671243469E-3</v>
          </cell>
          <cell r="N470">
            <v>1.449571242202428E-3</v>
          </cell>
          <cell r="O470">
            <v>1.1609616485117457E-3</v>
          </cell>
          <cell r="P470">
            <v>1.9236843578578021E-3</v>
          </cell>
        </row>
        <row r="471">
          <cell r="B471" t="str">
            <v>V2G</v>
          </cell>
          <cell r="C471" t="str">
            <v>VAR_fin</v>
          </cell>
          <cell r="D471" t="str">
            <v>T-ELC-Bus_c_BatSTGout_S4</v>
          </cell>
          <cell r="H471">
            <v>3.2773653688580244E-6</v>
          </cell>
          <cell r="I471">
            <v>7.3615461512539379E-6</v>
          </cell>
          <cell r="J471">
            <v>9.388103284493782E-5</v>
          </cell>
          <cell r="K471">
            <v>1.3063990424682761E-4</v>
          </cell>
          <cell r="L471">
            <v>2.2367003795619489E-4</v>
          </cell>
          <cell r="M471">
            <v>2.1040849588828186E-4</v>
          </cell>
          <cell r="N471">
            <v>2.2542634874173358E-4</v>
          </cell>
          <cell r="O471">
            <v>2.7925953561153821E-4</v>
          </cell>
          <cell r="P471">
            <v>4.283551790709697E-4</v>
          </cell>
        </row>
        <row r="472">
          <cell r="B472" t="str">
            <v>V2G</v>
          </cell>
          <cell r="C472" t="str">
            <v>VAR_fin</v>
          </cell>
          <cell r="D472" t="str">
            <v>T-ELC-car-BatSTGOut_S1</v>
          </cell>
          <cell r="H472">
            <v>4.1313057959848049E-2</v>
          </cell>
          <cell r="I472">
            <v>0.3961150372232996</v>
          </cell>
          <cell r="J472">
            <v>0.45615693279908609</v>
          </cell>
          <cell r="K472">
            <v>0.90765416365248652</v>
          </cell>
          <cell r="L472">
            <v>0.94626440201231965</v>
          </cell>
          <cell r="M472">
            <v>0.84586162206471749</v>
          </cell>
          <cell r="N472">
            <v>0.74612027779473533</v>
          </cell>
          <cell r="O472">
            <v>0.80653489437498727</v>
          </cell>
          <cell r="P472">
            <v>0.85189965460390493</v>
          </cell>
        </row>
        <row r="473">
          <cell r="B473" t="str">
            <v>V2G</v>
          </cell>
          <cell r="C473" t="str">
            <v>VAR_fin</v>
          </cell>
          <cell r="D473" t="str">
            <v>T-ELC-car-BatSTGOut_S2</v>
          </cell>
          <cell r="H473">
            <v>3.2101419679117331E-2</v>
          </cell>
          <cell r="I473">
            <v>0.16863772664118235</v>
          </cell>
          <cell r="J473">
            <v>0.17026649452360726</v>
          </cell>
          <cell r="K473">
            <v>0.26190972892494546</v>
          </cell>
          <cell r="L473">
            <v>0.31106068843967694</v>
          </cell>
          <cell r="M473">
            <v>0.31030079546001793</v>
          </cell>
          <cell r="N473">
            <v>0.27191373949348957</v>
          </cell>
          <cell r="O473">
            <v>0.26211205833254753</v>
          </cell>
          <cell r="P473">
            <v>0.33211082791792579</v>
          </cell>
        </row>
        <row r="474">
          <cell r="B474" t="str">
            <v>V2G</v>
          </cell>
          <cell r="C474" t="str">
            <v>VAR_fin</v>
          </cell>
          <cell r="D474" t="str">
            <v>T-ELC-car-BatSTGOut_S3</v>
          </cell>
          <cell r="H474">
            <v>1.5574022899871061E-2</v>
          </cell>
          <cell r="I474">
            <v>0.31287869626630938</v>
          </cell>
          <cell r="J474">
            <v>0.16935741177200025</v>
          </cell>
          <cell r="K474">
            <v>0.4027764914317965</v>
          </cell>
          <cell r="L474">
            <v>0.30269147928018209</v>
          </cell>
          <cell r="M474">
            <v>0.29004805363101288</v>
          </cell>
          <cell r="N474">
            <v>0.27126427398496478</v>
          </cell>
          <cell r="O474">
            <v>0.25326994313295764</v>
          </cell>
          <cell r="P474">
            <v>0.28527251894335326</v>
          </cell>
        </row>
        <row r="475">
          <cell r="B475" t="str">
            <v>V2G</v>
          </cell>
          <cell r="C475" t="str">
            <v>VAR_fin</v>
          </cell>
          <cell r="D475" t="str">
            <v>T-ELC-car-BatSTGOut_S4</v>
          </cell>
          <cell r="H475">
            <v>3.7109003598858645E-2</v>
          </cell>
          <cell r="I475">
            <v>0.17217381804526022</v>
          </cell>
          <cell r="J475">
            <v>0.16857028251899664</v>
          </cell>
          <cell r="K475">
            <v>0.24626486789130309</v>
          </cell>
          <cell r="L475">
            <v>0.30563086474790557</v>
          </cell>
          <cell r="M475">
            <v>0.30634837840440937</v>
          </cell>
          <cell r="N475">
            <v>0.26684448113583925</v>
          </cell>
          <cell r="O475">
            <v>0.27089761355533215</v>
          </cell>
          <cell r="P475">
            <v>0.32378321626447742</v>
          </cell>
        </row>
        <row r="476">
          <cell r="B476" t="str">
            <v>V2G</v>
          </cell>
          <cell r="C476" t="str">
            <v>VAR_fin</v>
          </cell>
          <cell r="D476" t="str">
            <v>T-ELC-car-PlgSTGOut_S1</v>
          </cell>
          <cell r="H476">
            <v>1.4745243980411439E-4</v>
          </cell>
          <cell r="I476">
            <v>3.1860531029293698E-4</v>
          </cell>
          <cell r="J476">
            <v>2.4859181849083185E-4</v>
          </cell>
          <cell r="K476">
            <v>7.0078000331786218E-4</v>
          </cell>
          <cell r="L476">
            <v>6.1517441235005386E-4</v>
          </cell>
          <cell r="M476">
            <v>2.8961023970032152E-3</v>
          </cell>
          <cell r="N476">
            <v>3.2755125238801588E-3</v>
          </cell>
          <cell r="O476">
            <v>2.8360027756207246E-3</v>
          </cell>
          <cell r="P476">
            <v>2.2616788875876887E-3</v>
          </cell>
        </row>
        <row r="477">
          <cell r="B477" t="str">
            <v>V2G</v>
          </cell>
          <cell r="C477" t="str">
            <v>VAR_fin</v>
          </cell>
          <cell r="D477" t="str">
            <v>T-ELC-car-PlgSTGOut_S2</v>
          </cell>
          <cell r="H477">
            <v>4.8561071640023278E-5</v>
          </cell>
          <cell r="I477">
            <v>1.7804357209143579E-4</v>
          </cell>
          <cell r="J477">
            <v>7.8887640158440081E-4</v>
          </cell>
          <cell r="K477">
            <v>4.2738815101082213E-4</v>
          </cell>
          <cell r="L477">
            <v>1.1332545482214877E-3</v>
          </cell>
          <cell r="M477">
            <v>1.1975821546654252E-3</v>
          </cell>
          <cell r="N477">
            <v>1.972933587280329E-3</v>
          </cell>
          <cell r="O477">
            <v>2.1112769266834813E-3</v>
          </cell>
          <cell r="P477">
            <v>3.2001004571478777E-3</v>
          </cell>
        </row>
        <row r="478">
          <cell r="B478" t="str">
            <v>V2G</v>
          </cell>
          <cell r="C478" t="str">
            <v>VAR_fin</v>
          </cell>
          <cell r="D478" t="str">
            <v>T-ELC-car-PlgSTGOut_S3</v>
          </cell>
          <cell r="H478">
            <v>8.4519141135202286E-2</v>
          </cell>
          <cell r="I478">
            <v>0.31852162390122402</v>
          </cell>
          <cell r="J478">
            <v>0.13457656042042646</v>
          </cell>
          <cell r="K478">
            <v>0.316843998071415</v>
          </cell>
          <cell r="L478">
            <v>0.42528815535241193</v>
          </cell>
          <cell r="M478">
            <v>0.35000456595090096</v>
          </cell>
          <cell r="N478">
            <v>2.8788680896679546E-3</v>
          </cell>
          <cell r="O478">
            <v>2.6286787086079273E-3</v>
          </cell>
          <cell r="P478">
            <v>1.5560323736568493E-3</v>
          </cell>
        </row>
        <row r="479">
          <cell r="B479" t="str">
            <v>V2G</v>
          </cell>
          <cell r="C479" t="str">
            <v>VAR_fin</v>
          </cell>
          <cell r="D479" t="str">
            <v>T-ELC-TWSTGout_S1</v>
          </cell>
          <cell r="H479">
            <v>5.7611968882146953E-4</v>
          </cell>
          <cell r="I479">
            <v>1.3372406817017731E-3</v>
          </cell>
          <cell r="J479">
            <v>1.1778647568367563E-3</v>
          </cell>
          <cell r="K479">
            <v>8.7141392244559194E-4</v>
          </cell>
          <cell r="L479">
            <v>1.2204231981238144E-3</v>
          </cell>
          <cell r="M479">
            <v>6.2804310096184837E-4</v>
          </cell>
          <cell r="N479">
            <v>1.3069847860850653E-3</v>
          </cell>
          <cell r="O479">
            <v>9.6355659704406486E-4</v>
          </cell>
          <cell r="P479">
            <v>2.4487995516720299E-3</v>
          </cell>
        </row>
        <row r="480">
          <cell r="B480" t="str">
            <v>V2G</v>
          </cell>
          <cell r="C480" t="str">
            <v>VAR_fin</v>
          </cell>
          <cell r="D480" t="str">
            <v>T-ELC-car-PlgSTGOut_S4</v>
          </cell>
          <cell r="H480">
            <v>3.988769969793988E-5</v>
          </cell>
          <cell r="I480">
            <v>4.3304372718562414E-4</v>
          </cell>
          <cell r="J480">
            <v>4.3181045097970272E-3</v>
          </cell>
          <cell r="K480">
            <v>5.1628129390981813E-3</v>
          </cell>
          <cell r="L480">
            <v>4.7277391964069913E-3</v>
          </cell>
          <cell r="M480">
            <v>0.56155308258899916</v>
          </cell>
          <cell r="N480">
            <v>0.54875586895531614</v>
          </cell>
          <cell r="O480">
            <v>0.55594429709754989</v>
          </cell>
          <cell r="P480">
            <v>0.71419719305920792</v>
          </cell>
        </row>
        <row r="481">
          <cell r="B481" t="str">
            <v>V2G</v>
          </cell>
          <cell r="C481" t="str">
            <v>VAR_fin</v>
          </cell>
          <cell r="D481" t="str">
            <v>T-ELC-TWSTGout_S2</v>
          </cell>
          <cell r="H481">
            <v>8.163651722699097E-4</v>
          </cell>
          <cell r="I481">
            <v>1.608563962479761E-3</v>
          </cell>
          <cell r="J481">
            <v>1.5204771981433009E-3</v>
          </cell>
          <cell r="K481">
            <v>1.4480342039732293E-3</v>
          </cell>
          <cell r="L481">
            <v>2.8256299324839296E-3</v>
          </cell>
          <cell r="M481">
            <v>2.482857516214609E-3</v>
          </cell>
          <cell r="N481">
            <v>4.004747125093743E-3</v>
          </cell>
          <cell r="O481">
            <v>3.0624878477782239E-3</v>
          </cell>
          <cell r="P481">
            <v>6.5679403399399386E-3</v>
          </cell>
        </row>
        <row r="482">
          <cell r="B482" t="str">
            <v>V2G</v>
          </cell>
          <cell r="C482" t="str">
            <v>VAR_fin</v>
          </cell>
          <cell r="D482" t="str">
            <v>T-ELC-TWSTGout_S3</v>
          </cell>
          <cell r="H482">
            <v>1.0822172856875005E-3</v>
          </cell>
          <cell r="I482">
            <v>2.6652967741469863E-3</v>
          </cell>
          <cell r="J482">
            <v>2.5684163970698909E-3</v>
          </cell>
          <cell r="K482">
            <v>2.2698502015123549E-3</v>
          </cell>
          <cell r="L482">
            <v>4.6975048333389039E-3</v>
          </cell>
          <cell r="M482">
            <v>3.5786204737912712E-3</v>
          </cell>
          <cell r="N482">
            <v>5.1164043522886841E-3</v>
          </cell>
          <cell r="O482">
            <v>5.0164682810437278E-3</v>
          </cell>
          <cell r="P482">
            <v>9.402212206543234E-3</v>
          </cell>
        </row>
        <row r="483">
          <cell r="B483" t="str">
            <v>V2G</v>
          </cell>
          <cell r="C483" t="str">
            <v>VAR_fin</v>
          </cell>
          <cell r="D483" t="str">
            <v>T-ELC-TWSTGout_S4</v>
          </cell>
          <cell r="H483">
            <v>1.3315233207122775E-3</v>
          </cell>
          <cell r="I483">
            <v>2.7467187911117642E-3</v>
          </cell>
          <cell r="J483">
            <v>2.9577552771982885E-3</v>
          </cell>
          <cell r="K483">
            <v>3.1198893631449289E-3</v>
          </cell>
          <cell r="L483">
            <v>5.5670361044274745E-3</v>
          </cell>
          <cell r="M483">
            <v>4.513755022152198E-3</v>
          </cell>
          <cell r="N483">
            <v>6.7887395765336813E-3</v>
          </cell>
          <cell r="O483">
            <v>6.5087865002247045E-3</v>
          </cell>
          <cell r="P483">
            <v>1.2359449009172503E-2</v>
          </cell>
        </row>
        <row r="484">
          <cell r="B484" t="str">
            <v>V2G</v>
          </cell>
          <cell r="C484" t="str">
            <v>VAR_fin</v>
          </cell>
          <cell r="D484" t="str">
            <v>T-ELC-Bus_u_BatSTGout_S1</v>
          </cell>
          <cell r="H484">
            <v>3.4135552177163711E-5</v>
          </cell>
          <cell r="I484">
            <v>6.0186082989000657E-5</v>
          </cell>
          <cell r="J484">
            <v>5.4408556163202377E-5</v>
          </cell>
          <cell r="K484">
            <v>6.8080299646038436E-5</v>
          </cell>
          <cell r="L484">
            <v>1.5991489919076472E-4</v>
          </cell>
          <cell r="M484">
            <v>9.5713074210274153E-5</v>
          </cell>
          <cell r="N484">
            <v>1.9036104978419906E-4</v>
          </cell>
          <cell r="O484">
            <v>1.3882732001531403E-4</v>
          </cell>
          <cell r="P484">
            <v>3.4186767721369553E-4</v>
          </cell>
        </row>
        <row r="485">
          <cell r="B485" t="str">
            <v>V2G</v>
          </cell>
          <cell r="C485" t="str">
            <v>VAR_fin</v>
          </cell>
          <cell r="D485" t="str">
            <v>T-ELC-Bus_u_BatSTGout_S2</v>
          </cell>
          <cell r="H485">
            <v>2.7814652816674594E-5</v>
          </cell>
          <cell r="I485">
            <v>5.0865842173194736E-5</v>
          </cell>
          <cell r="J485">
            <v>4.6968405411176243E-5</v>
          </cell>
          <cell r="K485">
            <v>6.0201621103034166E-5</v>
          </cell>
          <cell r="L485">
            <v>1.4400786414054832E-4</v>
          </cell>
          <cell r="M485">
            <v>8.9337872428207682E-5</v>
          </cell>
          <cell r="N485">
            <v>1.7816153224061273E-4</v>
          </cell>
          <cell r="O485">
            <v>1.2976313212330115E-4</v>
          </cell>
          <cell r="P485">
            <v>3.2057484388557569E-4</v>
          </cell>
        </row>
        <row r="486">
          <cell r="B486" t="str">
            <v>V2G</v>
          </cell>
          <cell r="C486" t="str">
            <v>VAR_fin</v>
          </cell>
          <cell r="D486" t="str">
            <v>T-ELC-Bus_u_BatSTGout_S3</v>
          </cell>
          <cell r="H486">
            <v>1.5051479299026668E-5</v>
          </cell>
          <cell r="I486">
            <v>2.4074446237743693E-5</v>
          </cell>
          <cell r="J486">
            <v>2.4335068374637136E-5</v>
          </cell>
          <cell r="K486">
            <v>3.2985364041702575E-5</v>
          </cell>
          <cell r="L486">
            <v>7.607933745860567E-5</v>
          </cell>
          <cell r="M486">
            <v>4.668630885994308E-5</v>
          </cell>
          <cell r="N486">
            <v>7.7040565909639185E-5</v>
          </cell>
          <cell r="O486">
            <v>6.2758547123223339E-5</v>
          </cell>
          <cell r="P486">
            <v>1.3774831478046459E-4</v>
          </cell>
        </row>
        <row r="487">
          <cell r="B487" t="str">
            <v>V2G</v>
          </cell>
          <cell r="C487" t="str">
            <v>VAR_fin</v>
          </cell>
          <cell r="D487" t="str">
            <v>T-ELC-Bus_u_BatSTGout_S4</v>
          </cell>
          <cell r="H487">
            <v>3.4373070470768331E-5</v>
          </cell>
          <cell r="I487">
            <v>1.8581987792179371E-3</v>
          </cell>
          <cell r="J487">
            <v>6.7935060061959847E-5</v>
          </cell>
          <cell r="K487">
            <v>7.5104189939758262E-5</v>
          </cell>
          <cell r="L487">
            <v>1.6834897028404535E-4</v>
          </cell>
          <cell r="M487">
            <v>1.2345640048154715E-4</v>
          </cell>
          <cell r="N487">
            <v>1.6819768647915643E-4</v>
          </cell>
          <cell r="O487">
            <v>1.7158588211718201E-4</v>
          </cell>
          <cell r="P487">
            <v>2.9910897508070712E-4</v>
          </cell>
        </row>
        <row r="488">
          <cell r="B488" t="str">
            <v>V2G</v>
          </cell>
          <cell r="C488" t="str">
            <v>VAR_fin</v>
          </cell>
          <cell r="D488" t="str">
            <v>T-ELC-LGV_BatSTGout</v>
          </cell>
          <cell r="H488">
            <v>1.6871696550928473E-4</v>
          </cell>
          <cell r="I488">
            <v>2.0504878902297835E-4</v>
          </cell>
          <cell r="J488">
            <v>1.7162485482921454E-4</v>
          </cell>
          <cell r="K488">
            <v>1.8210895272008744E-4</v>
          </cell>
          <cell r="L488">
            <v>3.8528239112956757E-4</v>
          </cell>
          <cell r="M488">
            <v>2.0218476689624283E-4</v>
          </cell>
          <cell r="N488">
            <v>3.9869975949035822E-4</v>
          </cell>
          <cell r="O488">
            <v>2.9399560752522589E-4</v>
          </cell>
          <cell r="P488">
            <v>6.7767130022031565E-4</v>
          </cell>
        </row>
        <row r="489">
          <cell r="B489" t="str">
            <v>V2G</v>
          </cell>
          <cell r="C489" t="str">
            <v>VAR_fin</v>
          </cell>
          <cell r="D489" t="str">
            <v>T-ELC-HGV_BatSTGout</v>
          </cell>
          <cell r="H489">
            <v>1.6030012181407084E-4</v>
          </cell>
          <cell r="I489">
            <v>1.2642497610375251E-2</v>
          </cell>
          <cell r="J489">
            <v>1.9716691691267579E-2</v>
          </cell>
          <cell r="K489">
            <v>2.0470788776621996E-2</v>
          </cell>
          <cell r="L489">
            <v>3.5157032942761041E-2</v>
          </cell>
          <cell r="M489">
            <v>2.1722883453043736E-2</v>
          </cell>
          <cell r="N489">
            <v>3.9442224158512229E-2</v>
          </cell>
          <cell r="O489">
            <v>3.0598281931116633E-2</v>
          </cell>
          <cell r="P489">
            <v>6.1167235066885234E-2</v>
          </cell>
        </row>
        <row r="490">
          <cell r="B490" t="str">
            <v>V2G</v>
          </cell>
          <cell r="C490" t="str">
            <v>VAR_ncap</v>
          </cell>
          <cell r="D490" t="str">
            <v>-</v>
          </cell>
          <cell r="H490">
            <v>7.6693216814990806E-2</v>
          </cell>
          <cell r="I490">
            <v>1.23520234106711</v>
          </cell>
          <cell r="J490">
            <v>1.2881746857787699</v>
          </cell>
          <cell r="K490">
            <v>1.48173210608268</v>
          </cell>
          <cell r="L490">
            <v>1.2245841269989099</v>
          </cell>
          <cell r="M490">
            <v>1.33660235211397</v>
          </cell>
          <cell r="N490">
            <v>1.2990478832010199</v>
          </cell>
          <cell r="O490">
            <v>1.4382583561592399</v>
          </cell>
          <cell r="P490">
            <v>1.46726919748783</v>
          </cell>
        </row>
        <row r="491">
          <cell r="B491" t="str">
            <v>V2G</v>
          </cell>
          <cell r="C491" t="str">
            <v>VAR_cap</v>
          </cell>
          <cell r="D491" t="str">
            <v>-</v>
          </cell>
          <cell r="H491">
            <v>7.6693216814990806E-2</v>
          </cell>
          <cell r="I491">
            <v>1.3118946318934146</v>
          </cell>
          <cell r="J491">
            <v>2.5854766051650158</v>
          </cell>
          <cell r="K491">
            <v>4.0051061961224157</v>
          </cell>
          <cell r="L491">
            <v>3.9944858849495617</v>
          </cell>
          <cell r="M491">
            <v>4.0445235475295265</v>
          </cell>
          <cell r="N491">
            <v>3.8602289945990171</v>
          </cell>
          <cell r="O491">
            <v>3.8670799295772187</v>
          </cell>
          <cell r="P491">
            <v>4.2045695470613946</v>
          </cell>
        </row>
        <row r="492">
          <cell r="B492" t="str">
            <v>D-EBIO</v>
          </cell>
          <cell r="C492" t="str">
            <v>VAR_fout</v>
          </cell>
          <cell r="D492" t="str">
            <v>EBIO</v>
          </cell>
          <cell r="E492">
            <v>1.1839510663446045</v>
          </cell>
          <cell r="F492">
            <v>1.1839495874591059</v>
          </cell>
          <cell r="G492">
            <v>1.1839497455811783</v>
          </cell>
          <cell r="H492">
            <v>1.1839497368616154</v>
          </cell>
          <cell r="I492">
            <v>1.1839503828405458</v>
          </cell>
          <cell r="J492">
            <v>1.1839505108503956</v>
          </cell>
          <cell r="K492">
            <v>1.1839482584263561</v>
          </cell>
          <cell r="L492">
            <v>1.1839505297815649</v>
          </cell>
          <cell r="M492">
            <v>1.1839483222038303</v>
          </cell>
          <cell r="N492">
            <v>5.9326325919245244</v>
          </cell>
          <cell r="O492">
            <v>8.601647512354031</v>
          </cell>
          <cell r="P492">
            <v>11.183203594266143</v>
          </cell>
        </row>
        <row r="493">
          <cell r="B493" t="str">
            <v>D-EBIO</v>
          </cell>
          <cell r="C493" t="str">
            <v>VAR_fin</v>
          </cell>
          <cell r="D493" t="str">
            <v>BIO</v>
          </cell>
          <cell r="E493">
            <v>1.1839510663446045</v>
          </cell>
          <cell r="F493">
            <v>1.1839495874591059</v>
          </cell>
          <cell r="G493">
            <v>1.1839497455811783</v>
          </cell>
          <cell r="H493">
            <v>1.1839497368616154</v>
          </cell>
          <cell r="I493">
            <v>1.1839503828405458</v>
          </cell>
          <cell r="J493">
            <v>1.1839505108503956</v>
          </cell>
          <cell r="K493">
            <v>1.1839482584263561</v>
          </cell>
          <cell r="L493">
            <v>1.1839505297815649</v>
          </cell>
          <cell r="M493">
            <v>1.1839483222038303</v>
          </cell>
          <cell r="N493">
            <v>5.9326325919245244</v>
          </cell>
          <cell r="O493">
            <v>8.601647512354031</v>
          </cell>
          <cell r="P493">
            <v>11.183203594266143</v>
          </cell>
        </row>
        <row r="494">
          <cell r="B494" t="str">
            <v>G-INTC3</v>
          </cell>
          <cell r="C494" t="str">
            <v>VAR_fout</v>
          </cell>
          <cell r="D494" t="str">
            <v>ELC35</v>
          </cell>
          <cell r="E494">
            <v>142.18557945081477</v>
          </cell>
          <cell r="F494">
            <v>105.95737895860091</v>
          </cell>
          <cell r="G494">
            <v>101.42064538135607</v>
          </cell>
          <cell r="H494">
            <v>118.2469938863477</v>
          </cell>
          <cell r="I494">
            <v>86.598252686212803</v>
          </cell>
          <cell r="J494">
            <v>131.9626737820571</v>
          </cell>
          <cell r="K494">
            <v>80.600081221340389</v>
          </cell>
          <cell r="L494">
            <v>138.6429410655881</v>
          </cell>
          <cell r="M494">
            <v>90.681792305261411</v>
          </cell>
          <cell r="N494">
            <v>104.99850551074937</v>
          </cell>
          <cell r="O494">
            <v>109.88788628569741</v>
          </cell>
          <cell r="P494">
            <v>106.64348473824074</v>
          </cell>
        </row>
        <row r="495">
          <cell r="B495" t="str">
            <v>G-INTC3</v>
          </cell>
          <cell r="C495" t="str">
            <v>VAR_fout</v>
          </cell>
          <cell r="D495" t="str">
            <v>ELC3</v>
          </cell>
          <cell r="E495">
            <v>33.481578033330848</v>
          </cell>
          <cell r="F495">
            <v>69.250070160779003</v>
          </cell>
          <cell r="G495">
            <v>68.050381125731491</v>
          </cell>
          <cell r="H495">
            <v>41.61622482758235</v>
          </cell>
          <cell r="I495">
            <v>78.800613532428969</v>
          </cell>
          <cell r="J495">
            <v>32.45024904552389</v>
          </cell>
          <cell r="K495">
            <v>78.411128776533459</v>
          </cell>
          <cell r="L495">
            <v>31.011710537525349</v>
          </cell>
          <cell r="M495">
            <v>78.725023294488238</v>
          </cell>
          <cell r="N495">
            <v>70.793434888524686</v>
          </cell>
          <cell r="O495">
            <v>66.010623568061078</v>
          </cell>
          <cell r="P495">
            <v>64.630580243955151</v>
          </cell>
        </row>
        <row r="496">
          <cell r="B496" t="str">
            <v>G-INTC3</v>
          </cell>
          <cell r="C496" t="str">
            <v>VAR_fout</v>
          </cell>
          <cell r="D496" t="str">
            <v>ELC</v>
          </cell>
          <cell r="E496">
            <v>6.3515402639662205E-3</v>
          </cell>
          <cell r="F496">
            <v>6.4412943582888656E-4</v>
          </cell>
          <cell r="G496">
            <v>8.8887231770225542E-4</v>
          </cell>
          <cell r="H496">
            <v>0.1729096078279852</v>
          </cell>
          <cell r="I496">
            <v>0.83978761131397595</v>
          </cell>
          <cell r="J496">
            <v>1.1618197341971661</v>
          </cell>
          <cell r="K496">
            <v>1.7119427321848866</v>
          </cell>
          <cell r="L496">
            <v>0.5252380800892994</v>
          </cell>
          <cell r="M496">
            <v>0.66451569008278155</v>
          </cell>
          <cell r="N496">
            <v>0.62499963220966726</v>
          </cell>
          <cell r="O496">
            <v>0.81837546723706578</v>
          </cell>
          <cell r="P496">
            <v>1.3177547141691244</v>
          </cell>
        </row>
        <row r="497">
          <cell r="B497" t="str">
            <v>G-INTC3</v>
          </cell>
          <cell r="C497" t="str">
            <v>VAR_fin</v>
          </cell>
          <cell r="D497" t="str">
            <v>ELC13</v>
          </cell>
          <cell r="E497">
            <v>179.35367046294144</v>
          </cell>
          <cell r="F497">
            <v>183.46513513298746</v>
          </cell>
          <cell r="G497">
            <v>176.87552100646698</v>
          </cell>
          <cell r="H497">
            <v>166.11778435512429</v>
          </cell>
          <cell r="I497">
            <v>171.62126048623296</v>
          </cell>
          <cell r="J497">
            <v>170.01485169431388</v>
          </cell>
          <cell r="K497">
            <v>164.14874782441689</v>
          </cell>
          <cell r="L497">
            <v>172.88055674670503</v>
          </cell>
          <cell r="M497">
            <v>172.77028430990001</v>
          </cell>
          <cell r="N497">
            <v>179.21659491439675</v>
          </cell>
          <cell r="O497">
            <v>179.52130019631181</v>
          </cell>
          <cell r="P497">
            <v>175.33077169653865</v>
          </cell>
        </row>
        <row r="498">
          <cell r="B498" t="str">
            <v>G-INTC3</v>
          </cell>
          <cell r="C498" t="str">
            <v>VAR_ncap</v>
          </cell>
          <cell r="D498" t="str">
            <v>-</v>
          </cell>
          <cell r="E498">
            <v>2.92649212782565E-8</v>
          </cell>
          <cell r="F498">
            <v>3.06659963365639E-8</v>
          </cell>
          <cell r="G498">
            <v>3.5541621985248597E-8</v>
          </cell>
          <cell r="H498">
            <v>4.4648896713839298E-8</v>
          </cell>
          <cell r="I498">
            <v>5.7131705331226199E-8</v>
          </cell>
          <cell r="J498">
            <v>7.9665175459316194E-8</v>
          </cell>
          <cell r="K498">
            <v>1.0909033594655499E-7</v>
          </cell>
          <cell r="L498">
            <v>1.7236957434843001E-7</v>
          </cell>
          <cell r="M498">
            <v>1.9213188739249501E-7</v>
          </cell>
          <cell r="N498">
            <v>8.5322729656260697E-7</v>
          </cell>
        </row>
        <row r="499">
          <cell r="B499" t="str">
            <v>G-INTC3</v>
          </cell>
          <cell r="C499" t="str">
            <v>VAR_cap</v>
          </cell>
          <cell r="D499" t="str">
            <v>-</v>
          </cell>
          <cell r="E499">
            <v>13.914190167241101</v>
          </cell>
          <cell r="F499">
            <v>13.914190167241101</v>
          </cell>
          <cell r="G499">
            <v>13.914190167241101</v>
          </cell>
          <cell r="H499">
            <v>13.914190195838934</v>
          </cell>
          <cell r="I499">
            <v>13.914190273465893</v>
          </cell>
          <cell r="J499">
            <v>13.914190307362537</v>
          </cell>
          <cell r="K499">
            <v>13.914190366846546</v>
          </cell>
          <cell r="L499">
            <v>13.914190444159418</v>
          </cell>
          <cell r="M499">
            <v>13.914190536487579</v>
          </cell>
          <cell r="N499">
            <v>13.914190771888121</v>
          </cell>
          <cell r="O499">
            <v>13.914190917751215</v>
          </cell>
          <cell r="P499">
            <v>13.914191770978512</v>
          </cell>
        </row>
        <row r="500">
          <cell r="B500" t="str">
            <v>HPLBIO</v>
          </cell>
          <cell r="C500" t="str">
            <v>VAR_fout</v>
          </cell>
          <cell r="D500" t="str">
            <v>LTH</v>
          </cell>
          <cell r="E500">
            <v>0.90177510829181529</v>
          </cell>
          <cell r="F500">
            <v>0.90177398187521951</v>
          </cell>
          <cell r="G500">
            <v>0.9017741023114032</v>
          </cell>
          <cell r="H500">
            <v>0.90177409567001077</v>
          </cell>
          <cell r="I500">
            <v>0.90177458769010976</v>
          </cell>
          <cell r="J500">
            <v>0.90177468519084092</v>
          </cell>
          <cell r="K500">
            <v>0.90177296959634701</v>
          </cell>
          <cell r="L500">
            <v>0.90177469961006462</v>
          </cell>
          <cell r="M500">
            <v>0.90177301817347089</v>
          </cell>
          <cell r="N500">
            <v>4.5186837109373723</v>
          </cell>
          <cell r="O500">
            <v>6.5515812582438153</v>
          </cell>
          <cell r="P500">
            <v>8.5178643940116014</v>
          </cell>
        </row>
        <row r="501">
          <cell r="B501" t="str">
            <v>HPLBIO</v>
          </cell>
          <cell r="C501" t="str">
            <v>VAR_fin</v>
          </cell>
          <cell r="D501" t="str">
            <v>EBIO</v>
          </cell>
          <cell r="E501">
            <v>1.1839510663446045</v>
          </cell>
          <cell r="F501">
            <v>1.1839495874591059</v>
          </cell>
          <cell r="G501">
            <v>1.1839497455811783</v>
          </cell>
          <cell r="H501">
            <v>1.1839497368616154</v>
          </cell>
          <cell r="I501">
            <v>1.1839503828405458</v>
          </cell>
          <cell r="J501">
            <v>1.1839505108503956</v>
          </cell>
          <cell r="K501">
            <v>1.1839482584263561</v>
          </cell>
          <cell r="L501">
            <v>1.1839505297815649</v>
          </cell>
          <cell r="M501">
            <v>1.1839483222038303</v>
          </cell>
          <cell r="N501">
            <v>5.9326325919245244</v>
          </cell>
          <cell r="O501">
            <v>8.601647512354031</v>
          </cell>
          <cell r="P501">
            <v>11.183203594266143</v>
          </cell>
        </row>
        <row r="502">
          <cell r="B502" t="str">
            <v>HPLBIO</v>
          </cell>
          <cell r="C502" t="str">
            <v>VAR_ncap</v>
          </cell>
          <cell r="D502" t="str">
            <v>-</v>
          </cell>
          <cell r="E502">
            <v>4.3709204123738404E-6</v>
          </cell>
          <cell r="F502">
            <v>3.3217329581839699E-6</v>
          </cell>
          <cell r="G502">
            <v>3.4556621934051301E-6</v>
          </cell>
          <cell r="H502">
            <v>6.2924073192959395E-2</v>
          </cell>
          <cell r="I502">
            <v>5.1449631846658198E-2</v>
          </cell>
          <cell r="J502">
            <v>7.7480576166054405E-6</v>
          </cell>
          <cell r="K502">
            <v>1.9952296047923399E-2</v>
          </cell>
          <cell r="L502">
            <v>4.2985329979834598E-2</v>
          </cell>
          <cell r="M502">
            <v>3.58258937145731E-2</v>
          </cell>
          <cell r="N502">
            <v>0.47438928225729698</v>
          </cell>
          <cell r="O502">
            <v>0.27780228682055302</v>
          </cell>
          <cell r="P502">
            <v>0.29238806449962101</v>
          </cell>
        </row>
        <row r="503">
          <cell r="B503" t="str">
            <v>HPLBIO</v>
          </cell>
          <cell r="C503" t="str">
            <v>VAR_cap</v>
          </cell>
          <cell r="D503" t="str">
            <v>-</v>
          </cell>
          <cell r="E503">
            <v>0.11438376521364048</v>
          </cell>
          <cell r="F503">
            <v>0.11438522212760967</v>
          </cell>
          <cell r="G503">
            <v>0.11438708514713376</v>
          </cell>
          <cell r="H503">
            <v>0.11438092967136461</v>
          </cell>
          <cell r="I503">
            <v>0.11438145252027307</v>
          </cell>
          <cell r="J503">
            <v>0.11438325890947502</v>
          </cell>
          <cell r="K503">
            <v>0.11438308982531033</v>
          </cell>
          <cell r="L503">
            <v>0.11439093920999285</v>
          </cell>
          <cell r="M503">
            <v>0.11438336625893375</v>
          </cell>
          <cell r="N503">
            <v>0.5731474669793496</v>
          </cell>
          <cell r="O503">
            <v>0.83099759930116779</v>
          </cell>
          <cell r="P503">
            <v>1.0803982606080611</v>
          </cell>
        </row>
        <row r="504">
          <cell r="B504" t="str">
            <v>G-INTC5</v>
          </cell>
          <cell r="C504" t="str">
            <v>VAR_fout</v>
          </cell>
          <cell r="D504" t="str">
            <v>ELC5</v>
          </cell>
          <cell r="E504">
            <v>249.27043257315881</v>
          </cell>
          <cell r="F504">
            <v>120.41087245843502</v>
          </cell>
          <cell r="G504">
            <v>116.26922877196192</v>
          </cell>
          <cell r="H504">
            <v>135.13161020555378</v>
          </cell>
          <cell r="I504">
            <v>93.178694631374299</v>
          </cell>
          <cell r="J504">
            <v>139.68643938209325</v>
          </cell>
          <cell r="K504">
            <v>97.821226228550373</v>
          </cell>
          <cell r="L504">
            <v>151.62007955285227</v>
          </cell>
          <cell r="M504">
            <v>104.11035511343015</v>
          </cell>
          <cell r="N504">
            <v>107.21450009980593</v>
          </cell>
          <cell r="O504">
            <v>108.65633384074951</v>
          </cell>
          <cell r="P504">
            <v>104.80117049174953</v>
          </cell>
        </row>
        <row r="505">
          <cell r="B505" t="str">
            <v>G-INTC5</v>
          </cell>
          <cell r="C505" t="str">
            <v>VAR_fout</v>
          </cell>
          <cell r="D505" t="str">
            <v>ELC13</v>
          </cell>
          <cell r="E505">
            <v>2.5332902730445833E-2</v>
          </cell>
          <cell r="F505">
            <v>5.5065685255862456E-4</v>
          </cell>
          <cell r="G505">
            <v>7.9751028290923291E-4</v>
          </cell>
          <cell r="H505">
            <v>3.235226382240543E-4</v>
          </cell>
          <cell r="I505">
            <v>0.10311940821568896</v>
          </cell>
          <cell r="J505">
            <v>6.9374088758863636E-4</v>
          </cell>
          <cell r="K505">
            <v>0.34146388853143245</v>
          </cell>
          <cell r="L505">
            <v>8.2159458764122048E-2</v>
          </cell>
          <cell r="M505">
            <v>3.4791387960065694E-2</v>
          </cell>
          <cell r="N505">
            <v>8.1646264164750987E-3</v>
          </cell>
          <cell r="O505">
            <v>6.7119765725566063E-2</v>
          </cell>
          <cell r="P505">
            <v>7.439915663993503E-2</v>
          </cell>
        </row>
        <row r="506">
          <cell r="B506" t="str">
            <v>G-INTC5</v>
          </cell>
          <cell r="C506" t="str">
            <v>VAR_fin</v>
          </cell>
          <cell r="D506" t="str">
            <v>ELC35</v>
          </cell>
          <cell r="E506">
            <v>257.16946387642179</v>
          </cell>
          <cell r="F506">
            <v>126.10605995151698</v>
          </cell>
          <cell r="G506">
            <v>121.50447140659443</v>
          </cell>
          <cell r="H506">
            <v>140.70646935331072</v>
          </cell>
          <cell r="I506">
            <v>96.781039661881408</v>
          </cell>
          <cell r="J506">
            <v>144.40842565973409</v>
          </cell>
          <cell r="K506">
            <v>101.11858256342749</v>
          </cell>
          <cell r="L506">
            <v>155.71499226933705</v>
          </cell>
          <cell r="M506">
            <v>106.89994286182667</v>
          </cell>
          <cell r="N506">
            <v>110.0588660900578</v>
          </cell>
          <cell r="O506">
            <v>111.59935310204307</v>
          </cell>
          <cell r="P506">
            <v>107.64968680383672</v>
          </cell>
        </row>
        <row r="507">
          <cell r="B507" t="str">
            <v>G-INTC5</v>
          </cell>
          <cell r="C507" t="str">
            <v>VAR_ncap</v>
          </cell>
          <cell r="D507" t="str">
            <v>-</v>
          </cell>
          <cell r="E507">
            <v>1.2920161653225801E-7</v>
          </cell>
          <cell r="F507">
            <v>1.34228685162999E-7</v>
          </cell>
          <cell r="G507">
            <v>1.51809914527233E-7</v>
          </cell>
          <cell r="H507">
            <v>2.3994910312105499E-7</v>
          </cell>
          <cell r="I507">
            <v>2.6431857290322499E-7</v>
          </cell>
          <cell r="J507">
            <v>4.3560120674089198E-7</v>
          </cell>
          <cell r="K507">
            <v>5.9107680894686699E-7</v>
          </cell>
          <cell r="L507">
            <v>9.5147023847389E-7</v>
          </cell>
          <cell r="M507">
            <v>1.23595123665465E-6</v>
          </cell>
          <cell r="N507">
            <v>5.1279456527823201E-6</v>
          </cell>
        </row>
        <row r="508">
          <cell r="B508" t="str">
            <v>G-INTC5</v>
          </cell>
          <cell r="C508" t="str">
            <v>VAR_cap</v>
          </cell>
          <cell r="D508" t="str">
            <v>-</v>
          </cell>
          <cell r="E508">
            <v>12.649263788401001</v>
          </cell>
          <cell r="F508">
            <v>12.649263788401001</v>
          </cell>
          <cell r="G508">
            <v>12.649263788401001</v>
          </cell>
          <cell r="H508">
            <v>12.649263914185381</v>
          </cell>
          <cell r="I508">
            <v>12.64926426142525</v>
          </cell>
          <cell r="J508">
            <v>12.649264443590321</v>
          </cell>
          <cell r="K508">
            <v>12.649264729285635</v>
          </cell>
          <cell r="L508">
            <v>12.6492651435101</v>
          </cell>
          <cell r="M508">
            <v>12.649265643765547</v>
          </cell>
          <cell r="N508">
            <v>12.649266983696299</v>
          </cell>
          <cell r="O508">
            <v>12.649267922008384</v>
          </cell>
          <cell r="P508">
            <v>12.649273049954036</v>
          </cell>
        </row>
        <row r="509">
          <cell r="B509" t="str">
            <v>D-SLFO</v>
          </cell>
          <cell r="C509" t="str">
            <v>VAR_fout</v>
          </cell>
          <cell r="D509" t="str">
            <v>CO2</v>
          </cell>
          <cell r="E509">
            <v>2267.7886650247201</v>
          </cell>
          <cell r="F509">
            <v>1993.20104146464</v>
          </cell>
          <cell r="G509">
            <v>1878.46239161217</v>
          </cell>
          <cell r="H509">
            <v>1572.0255581706199</v>
          </cell>
          <cell r="I509">
            <v>1085.96073393503</v>
          </cell>
          <cell r="J509">
            <v>568.66382149458798</v>
          </cell>
          <cell r="K509">
            <v>309.79579712841399</v>
          </cell>
          <cell r="M509">
            <v>4.7729782549884E-3</v>
          </cell>
          <cell r="N509">
            <v>7.1540518707051502E-3</v>
          </cell>
          <cell r="O509">
            <v>6.8024276418061098E-3</v>
          </cell>
          <cell r="P509">
            <v>1.0660288425387399E-2</v>
          </cell>
        </row>
        <row r="510">
          <cell r="B510" t="str">
            <v>D-SLFO</v>
          </cell>
          <cell r="C510" t="str">
            <v>VAR_fout</v>
          </cell>
          <cell r="D510" t="str">
            <v>SLFO</v>
          </cell>
          <cell r="E510">
            <v>30.256634348009488</v>
          </cell>
          <cell r="F510">
            <v>26.593110735479414</v>
          </cell>
          <cell r="G510">
            <v>25.062296503556279</v>
          </cell>
          <cell r="H510">
            <v>20.973962256174357</v>
          </cell>
          <cell r="I510">
            <v>14.489003499419281</v>
          </cell>
          <cell r="J510">
            <v>7.5871251163467388</v>
          </cell>
          <cell r="K510">
            <v>4.1335523939468546</v>
          </cell>
          <cell r="L510">
            <v>0.8703759017586522</v>
          </cell>
          <cell r="M510">
            <v>1.0526977208833614</v>
          </cell>
          <cell r="N510">
            <v>0.86329243471081873</v>
          </cell>
          <cell r="O510">
            <v>0.8635296893204828</v>
          </cell>
          <cell r="P510">
            <v>0.86378236847573542</v>
          </cell>
        </row>
        <row r="511">
          <cell r="B511" t="str">
            <v>D-SLFO</v>
          </cell>
          <cell r="C511" t="str">
            <v>VAR_fin</v>
          </cell>
          <cell r="D511" t="str">
            <v>LFO</v>
          </cell>
          <cell r="E511">
            <v>30.770538195722082</v>
          </cell>
          <cell r="F511">
            <v>27.044790250537872</v>
          </cell>
          <cell r="G511">
            <v>25.487956466922341</v>
          </cell>
          <cell r="H511">
            <v>21.330061847633939</v>
          </cell>
          <cell r="I511">
            <v>14.734881057463072</v>
          </cell>
          <cell r="J511">
            <v>7.715927021636193</v>
          </cell>
          <cell r="K511">
            <v>4.2034707887166007</v>
          </cell>
          <cell r="M511">
            <v>6.4762255834306594E-5</v>
          </cell>
          <cell r="N511">
            <v>9.7069903266012932E-5</v>
          </cell>
          <cell r="O511">
            <v>9.2298882521114201E-5</v>
          </cell>
          <cell r="P511">
            <v>1.4464434769860822E-4</v>
          </cell>
        </row>
        <row r="512">
          <cell r="B512" t="str">
            <v>D-SLFO</v>
          </cell>
          <cell r="C512" t="str">
            <v>VAR_fin</v>
          </cell>
          <cell r="D512" t="str">
            <v>BDS</v>
          </cell>
          <cell r="G512">
            <v>1.9047365356159798E-5</v>
          </cell>
          <cell r="H512">
            <v>1.3975071485325315E-4</v>
          </cell>
          <cell r="I512">
            <v>2.1573688634151598E-4</v>
          </cell>
          <cell r="J512">
            <v>6.4832543992870625E-5</v>
          </cell>
          <cell r="K512">
            <v>2.9020443730574182E-4</v>
          </cell>
          <cell r="L512">
            <v>0.88515923002811814</v>
          </cell>
          <cell r="M512">
            <v>1.0705133586958857</v>
          </cell>
          <cell r="N512">
            <v>0.8778589794402647</v>
          </cell>
          <cell r="O512">
            <v>0.87810491469457885</v>
          </cell>
          <cell r="P512">
            <v>0.87830963317718869</v>
          </cell>
        </row>
        <row r="513">
          <cell r="B513" t="str">
            <v>D-RCOA</v>
          </cell>
          <cell r="C513" t="str">
            <v>VAR_fout</v>
          </cell>
          <cell r="D513" t="str">
            <v>CO2</v>
          </cell>
          <cell r="E513">
            <v>9.2700412864716402</v>
          </cell>
          <cell r="F513">
            <v>9.2700133145970405</v>
          </cell>
          <cell r="G513">
            <v>5.3640066552239199E-2</v>
          </cell>
          <cell r="H513">
            <v>3.2382614697499597E-2</v>
          </cell>
          <cell r="I513">
            <v>1.23472012021514E-2</v>
          </cell>
        </row>
        <row r="514">
          <cell r="B514" t="str">
            <v>D-RCOA</v>
          </cell>
          <cell r="C514" t="str">
            <v>VAR_fout</v>
          </cell>
          <cell r="D514" t="str">
            <v>RCOA</v>
          </cell>
          <cell r="E514">
            <v>0.10000044537725621</v>
          </cell>
          <cell r="F514">
            <v>0.1000001436310361</v>
          </cell>
          <cell r="G514">
            <v>5.7864149463041168E-4</v>
          </cell>
          <cell r="H514">
            <v>3.4932701939050268E-4</v>
          </cell>
          <cell r="I514">
            <v>1.3319526647412544E-4</v>
          </cell>
        </row>
        <row r="515">
          <cell r="B515" t="str">
            <v>D-RCOA</v>
          </cell>
          <cell r="C515" t="str">
            <v>VAR_fin</v>
          </cell>
          <cell r="D515" t="str">
            <v>COA</v>
          </cell>
          <cell r="E515">
            <v>0.10000044537725621</v>
          </cell>
          <cell r="F515">
            <v>0.1000001436310361</v>
          </cell>
          <cell r="G515">
            <v>5.7864149463041168E-4</v>
          </cell>
          <cell r="H515">
            <v>3.4932701939050268E-4</v>
          </cell>
          <cell r="I515">
            <v>1.3319526647412544E-4</v>
          </cell>
        </row>
        <row r="516">
          <cell r="B516" t="str">
            <v>EHYD-RUN00</v>
          </cell>
          <cell r="C516" t="str">
            <v>VAR_fout</v>
          </cell>
          <cell r="D516" t="str">
            <v>ELC13</v>
          </cell>
          <cell r="E516">
            <v>54.39240056639791</v>
          </cell>
          <cell r="F516">
            <v>43.519816935114598</v>
          </cell>
          <cell r="G516">
            <v>53.297978798351302</v>
          </cell>
          <cell r="H516">
            <v>52.204798180951919</v>
          </cell>
          <cell r="I516">
            <v>51.111593384835665</v>
          </cell>
          <cell r="J516">
            <v>50.018550732501659</v>
          </cell>
          <cell r="K516">
            <v>48.925468035064007</v>
          </cell>
          <cell r="L516">
            <v>47.832481506235105</v>
          </cell>
          <cell r="M516">
            <v>47.832479380875114</v>
          </cell>
          <cell r="N516">
            <v>47.832490378796841</v>
          </cell>
          <cell r="O516">
            <v>47.832514282197472</v>
          </cell>
          <cell r="P516">
            <v>47.831956839042931</v>
          </cell>
        </row>
        <row r="517">
          <cell r="B517" t="str">
            <v>EHYD-RUN00</v>
          </cell>
          <cell r="C517" t="str">
            <v>VAR_fin</v>
          </cell>
          <cell r="D517" t="str">
            <v>HYDR</v>
          </cell>
          <cell r="E517">
            <v>54.39240056639791</v>
          </cell>
          <cell r="F517">
            <v>43.519816935114598</v>
          </cell>
          <cell r="G517">
            <v>53.297978798351302</v>
          </cell>
          <cell r="H517">
            <v>52.204798180951919</v>
          </cell>
          <cell r="I517">
            <v>51.111593384835665</v>
          </cell>
          <cell r="J517">
            <v>50.018550732501659</v>
          </cell>
          <cell r="K517">
            <v>48.925468035064007</v>
          </cell>
          <cell r="L517">
            <v>47.832481506235105</v>
          </cell>
          <cell r="M517">
            <v>47.832479380875114</v>
          </cell>
          <cell r="N517">
            <v>47.832490378796841</v>
          </cell>
          <cell r="O517">
            <v>47.832514282197472</v>
          </cell>
          <cell r="P517">
            <v>47.831956839042931</v>
          </cell>
        </row>
        <row r="518">
          <cell r="B518" t="str">
            <v>EHYD-RUN00</v>
          </cell>
          <cell r="C518" t="str">
            <v>VAR_cap</v>
          </cell>
          <cell r="D518" t="str">
            <v>-</v>
          </cell>
          <cell r="E518">
            <v>3.86687</v>
          </cell>
          <cell r="F518">
            <v>3.9240852000672399</v>
          </cell>
          <cell r="G518">
            <v>3.9610124303882599</v>
          </cell>
          <cell r="H518">
            <v>3.9647700000000001</v>
          </cell>
          <cell r="I518">
            <v>3.9647700000000001</v>
          </cell>
          <cell r="J518">
            <v>3.9647700000000001</v>
          </cell>
          <cell r="K518">
            <v>3.9647700000000001</v>
          </cell>
          <cell r="L518">
            <v>3.9647700000000001</v>
          </cell>
          <cell r="M518">
            <v>3.9647700000000001</v>
          </cell>
          <cell r="N518">
            <v>3.9647700000000001</v>
          </cell>
          <cell r="O518">
            <v>3.9647700000000001</v>
          </cell>
          <cell r="P518">
            <v>3.9647700000000001</v>
          </cell>
        </row>
        <row r="519">
          <cell r="B519" t="str">
            <v>HPLELCHP</v>
          </cell>
          <cell r="C519" t="str">
            <v>VAR_fout</v>
          </cell>
          <cell r="D519" t="str">
            <v>LTH</v>
          </cell>
          <cell r="F519">
            <v>3.9395024946800921</v>
          </cell>
          <cell r="G519">
            <v>4.0588737643165347</v>
          </cell>
          <cell r="H519">
            <v>4.4363916552004268</v>
          </cell>
          <cell r="I519">
            <v>6.3703246638021369</v>
          </cell>
          <cell r="J519">
            <v>6.6952757294021703</v>
          </cell>
          <cell r="K519">
            <v>7.0368040998578669</v>
          </cell>
          <cell r="L519">
            <v>8.6768712579846667</v>
          </cell>
          <cell r="M519">
            <v>9.1195141100998001</v>
          </cell>
          <cell r="N519">
            <v>13.674953921558634</v>
          </cell>
          <cell r="O519">
            <v>14.372516991519728</v>
          </cell>
          <cell r="P519">
            <v>15.106304346304738</v>
          </cell>
        </row>
        <row r="520">
          <cell r="B520" t="str">
            <v>HPLELCHP</v>
          </cell>
          <cell r="C520" t="str">
            <v>VAR_fin</v>
          </cell>
          <cell r="D520" t="str">
            <v>ELC35</v>
          </cell>
          <cell r="F520">
            <v>1.3131674982266976</v>
          </cell>
          <cell r="G520">
            <v>1.3529579214388443</v>
          </cell>
          <cell r="H520">
            <v>1.4787972184001406</v>
          </cell>
          <cell r="I520">
            <v>2.1234415546007153</v>
          </cell>
          <cell r="J520">
            <v>2.2317585764673904</v>
          </cell>
          <cell r="K520">
            <v>2.3456013666192912</v>
          </cell>
          <cell r="L520">
            <v>2.8922904193282224</v>
          </cell>
          <cell r="M520">
            <v>3.0398380366999311</v>
          </cell>
          <cell r="N520">
            <v>4.5583179738528745</v>
          </cell>
          <cell r="O520">
            <v>4.7908389971732452</v>
          </cell>
          <cell r="P520">
            <v>5.0354347821015768</v>
          </cell>
        </row>
        <row r="521">
          <cell r="B521" t="str">
            <v>HPLELCHP</v>
          </cell>
          <cell r="C521" t="str">
            <v>VAR_fin</v>
          </cell>
          <cell r="D521" t="str">
            <v>WWTPCC</v>
          </cell>
          <cell r="F521">
            <v>7.8790049893601903</v>
          </cell>
          <cell r="G521">
            <v>8.1177475286330694</v>
          </cell>
          <cell r="H521">
            <v>8.8727833104008393</v>
          </cell>
          <cell r="I521">
            <v>12.7406493276043</v>
          </cell>
          <cell r="J521">
            <v>13.3905514588043</v>
          </cell>
          <cell r="K521">
            <v>14.0736081997157</v>
          </cell>
          <cell r="L521">
            <v>17.353742515969302</v>
          </cell>
          <cell r="M521">
            <v>18.2390282201996</v>
          </cell>
          <cell r="N521">
            <v>27.349907843117201</v>
          </cell>
          <cell r="O521">
            <v>28.745033983039502</v>
          </cell>
          <cell r="P521">
            <v>30.2126086926095</v>
          </cell>
        </row>
        <row r="522">
          <cell r="B522" t="str">
            <v>HPLELCHP</v>
          </cell>
          <cell r="C522" t="str">
            <v>VAR_ncap</v>
          </cell>
          <cell r="D522" t="str">
            <v>-</v>
          </cell>
          <cell r="F522">
            <v>0.24258893773019899</v>
          </cell>
          <cell r="G522">
            <v>7.3523633921710602E-3</v>
          </cell>
          <cell r="H522">
            <v>2.3233937004407401E-2</v>
          </cell>
          <cell r="I522">
            <v>0.122047460351981</v>
          </cell>
          <cell r="J522">
            <v>0.11362567662659299</v>
          </cell>
          <cell r="K522">
            <v>0.18517483063696499</v>
          </cell>
          <cell r="L522">
            <v>0.11864749449329</v>
          </cell>
          <cell r="M522">
            <v>0.12875181524367599</v>
          </cell>
          <cell r="N522">
            <v>0.41653708557022701</v>
          </cell>
          <cell r="O522">
            <v>0.227731396421296</v>
          </cell>
          <cell r="P522">
            <v>0.164205993582487</v>
          </cell>
        </row>
        <row r="523">
          <cell r="B523" t="str">
            <v>HPLELCHP</v>
          </cell>
          <cell r="C523" t="str">
            <v>VAR_cap</v>
          </cell>
          <cell r="D523" t="str">
            <v>-</v>
          </cell>
          <cell r="F523">
            <v>0.24258893773019899</v>
          </cell>
          <cell r="G523">
            <v>0.24994122950365366</v>
          </cell>
          <cell r="H523">
            <v>0.27317501784601839</v>
          </cell>
          <cell r="I523">
            <v>0.39522202349555674</v>
          </cell>
          <cell r="J523">
            <v>0.41538976062142358</v>
          </cell>
          <cell r="K523">
            <v>0.43801758500667687</v>
          </cell>
          <cell r="L523">
            <v>0.53949433808589853</v>
          </cell>
          <cell r="M523">
            <v>0.56819230002282894</v>
          </cell>
          <cell r="N523">
            <v>0.84910978195228548</v>
          </cell>
          <cell r="O523">
            <v>0.8916663882445699</v>
          </cell>
          <cell r="P523">
            <v>0.93722432796168464</v>
          </cell>
        </row>
        <row r="524">
          <cell r="B524" t="str">
            <v>D-ITOT_LTH</v>
          </cell>
          <cell r="C524" t="str">
            <v>VAR_fout</v>
          </cell>
          <cell r="D524" t="str">
            <v>ITOT_LTH_DH</v>
          </cell>
          <cell r="E524">
            <v>7.1200030228718028</v>
          </cell>
          <cell r="F524">
            <v>7.6289063055985551</v>
          </cell>
          <cell r="G524">
            <v>7.2432865305200318</v>
          </cell>
          <cell r="H524">
            <v>7.7665858044076135</v>
          </cell>
          <cell r="I524">
            <v>7.9947016272820388</v>
          </cell>
          <cell r="J524">
            <v>7.1253117982600767</v>
          </cell>
          <cell r="K524">
            <v>8.0631180784436314</v>
          </cell>
          <cell r="L524">
            <v>8.1429869315679451</v>
          </cell>
          <cell r="M524">
            <v>8.0784808356595903</v>
          </cell>
          <cell r="N524">
            <v>9.1372925104046008</v>
          </cell>
          <cell r="O524">
            <v>8.0395633775211746</v>
          </cell>
          <cell r="P524">
            <v>8.017527512820724</v>
          </cell>
        </row>
        <row r="525">
          <cell r="B525" t="str">
            <v>D-ITOT_LTH</v>
          </cell>
          <cell r="C525" t="str">
            <v>VAR_fin</v>
          </cell>
          <cell r="D525" t="str">
            <v>LTH</v>
          </cell>
          <cell r="E525">
            <v>7.7403389767846855</v>
          </cell>
          <cell r="F525">
            <v>8.2914012114362592</v>
          </cell>
          <cell r="G525">
            <v>7.8691920024160638</v>
          </cell>
          <cell r="H525">
            <v>8.4321725027416612</v>
          </cell>
          <cell r="I525">
            <v>8.6741443765228183</v>
          </cell>
          <cell r="J525">
            <v>7.7258006078463595</v>
          </cell>
          <cell r="K525">
            <v>8.7369140571315231</v>
          </cell>
          <cell r="L525">
            <v>8.8176811400876627</v>
          </cell>
          <cell r="M525">
            <v>8.7478303359427283</v>
          </cell>
          <cell r="N525">
            <v>9.8943707656110789</v>
          </cell>
          <cell r="O525">
            <v>8.7056883382296988</v>
          </cell>
          <cell r="P525">
            <v>8.68182667294551</v>
          </cell>
        </row>
        <row r="526">
          <cell r="B526" t="str">
            <v>D-ITOT_LTH</v>
          </cell>
          <cell r="C526" t="str">
            <v>VAR_ncap</v>
          </cell>
          <cell r="D526" t="str">
            <v>-</v>
          </cell>
          <cell r="E526">
            <v>0.79547231242279903</v>
          </cell>
          <cell r="G526">
            <v>1.06937848926369E-8</v>
          </cell>
          <cell r="H526">
            <v>1.20373850999753E-8</v>
          </cell>
          <cell r="I526">
            <v>1.63312028422259E-8</v>
          </cell>
          <cell r="J526">
            <v>2.3077549961891199E-8</v>
          </cell>
          <cell r="K526">
            <v>2.5203904797924301E-8</v>
          </cell>
          <cell r="L526">
            <v>7.7844730984745397E-8</v>
          </cell>
          <cell r="M526">
            <v>4.35423558939124E-8</v>
          </cell>
          <cell r="N526">
            <v>2.85722373437879E-7</v>
          </cell>
          <cell r="O526">
            <v>1.0553314084236E-7</v>
          </cell>
          <cell r="P526">
            <v>1.7486222882256299E-6</v>
          </cell>
        </row>
        <row r="527">
          <cell r="B527" t="str">
            <v>D-ITOT_LTH</v>
          </cell>
          <cell r="C527" t="str">
            <v>VAR_cap</v>
          </cell>
          <cell r="D527" t="str">
            <v>-</v>
          </cell>
          <cell r="E527">
            <v>0.79547231242279903</v>
          </cell>
          <cell r="F527">
            <v>0.79547231242279903</v>
          </cell>
          <cell r="G527">
            <v>0.795472323116584</v>
          </cell>
          <cell r="H527">
            <v>0.79547233515396898</v>
          </cell>
          <cell r="I527">
            <v>0.79547235148517204</v>
          </cell>
          <cell r="J527">
            <v>0.79547237456272202</v>
          </cell>
          <cell r="K527">
            <v>0.79547239976662698</v>
          </cell>
          <cell r="L527">
            <v>0.79547247761135798</v>
          </cell>
          <cell r="M527">
            <v>0.79547252115371403</v>
          </cell>
          <cell r="N527">
            <v>0.79547280687608701</v>
          </cell>
          <cell r="O527">
            <v>0.79547291240922802</v>
          </cell>
          <cell r="P527">
            <v>0.79547466103151698</v>
          </cell>
        </row>
        <row r="528">
          <cell r="B528" t="str">
            <v>D-IH2</v>
          </cell>
          <cell r="C528" t="str">
            <v>VAR_fout</v>
          </cell>
          <cell r="D528" t="str">
            <v>IH2</v>
          </cell>
          <cell r="H528">
            <v>3.2078941168936232E-4</v>
          </cell>
          <cell r="I528">
            <v>2.0621821263322984</v>
          </cell>
          <cell r="J528">
            <v>5.4729238648872505</v>
          </cell>
          <cell r="K528">
            <v>12.344659946172083</v>
          </cell>
          <cell r="L528">
            <v>21.465597302820694</v>
          </cell>
          <cell r="M528">
            <v>25.123773137598349</v>
          </cell>
          <cell r="N528">
            <v>25.839681577440491</v>
          </cell>
          <cell r="O528">
            <v>25.925159436908711</v>
          </cell>
          <cell r="P528">
            <v>25.827295681179859</v>
          </cell>
        </row>
        <row r="529">
          <cell r="B529" t="str">
            <v>D-IH2</v>
          </cell>
          <cell r="C529" t="str">
            <v>VAR_fin</v>
          </cell>
          <cell r="D529" t="str">
            <v>H2</v>
          </cell>
          <cell r="H529">
            <v>3.2323330989979129E-4</v>
          </cell>
          <cell r="I529">
            <v>2.0778926299352101</v>
          </cell>
          <cell r="J529">
            <v>5.5146187224848662</v>
          </cell>
          <cell r="K529">
            <v>12.438706355596649</v>
          </cell>
          <cell r="L529">
            <v>21.6291305521193</v>
          </cell>
          <cell r="M529">
            <v>25.315175789845679</v>
          </cell>
          <cell r="N529">
            <v>26.036538297968107</v>
          </cell>
          <cell r="O529">
            <v>26.122667360936756</v>
          </cell>
          <cell r="P529">
            <v>26.024058041143807</v>
          </cell>
        </row>
        <row r="530">
          <cell r="B530" t="str">
            <v>D-IH2</v>
          </cell>
          <cell r="C530" t="str">
            <v>VAR_ncap</v>
          </cell>
          <cell r="D530" t="str">
            <v>-</v>
          </cell>
          <cell r="H530">
            <v>5.6335836567397497E-5</v>
          </cell>
          <cell r="I530">
            <v>0.13725103551058199</v>
          </cell>
          <cell r="J530">
            <v>5.6407372680941398E-2</v>
          </cell>
          <cell r="K530">
            <v>0.27169030373624797</v>
          </cell>
          <cell r="L530">
            <v>0.38885963192079698</v>
          </cell>
          <cell r="M530">
            <v>0.110000176841419</v>
          </cell>
          <cell r="N530">
            <v>1.93487321435627E-2</v>
          </cell>
          <cell r="O530">
            <v>1.7954183820214E-6</v>
          </cell>
          <cell r="P530">
            <v>1.4275447563631099E-5</v>
          </cell>
        </row>
        <row r="531">
          <cell r="B531" t="str">
            <v>D-IH2</v>
          </cell>
          <cell r="C531" t="str">
            <v>VAR_cap</v>
          </cell>
          <cell r="D531" t="str">
            <v>-</v>
          </cell>
          <cell r="H531">
            <v>5.6335836567397497E-5</v>
          </cell>
          <cell r="I531">
            <v>0.13730737134714999</v>
          </cell>
          <cell r="J531">
            <v>0.193714744028091</v>
          </cell>
          <cell r="K531">
            <v>0.465405047764339</v>
          </cell>
          <cell r="L531">
            <v>0.85426467968513498</v>
          </cell>
          <cell r="M531">
            <v>0.96426485652655503</v>
          </cell>
          <cell r="N531">
            <v>0.98361358867011806</v>
          </cell>
          <cell r="O531">
            <v>0.98359752485705099</v>
          </cell>
          <cell r="P531">
            <v>0.98357332369949602</v>
          </cell>
        </row>
        <row r="532">
          <cell r="B532" t="str">
            <v>RHEM-ESOLPV</v>
          </cell>
          <cell r="C532" t="str">
            <v>VAR_fout</v>
          </cell>
          <cell r="D532" t="str">
            <v>RHEM_SOL_ELC</v>
          </cell>
          <cell r="E532">
            <v>0.86248322578584768</v>
          </cell>
          <cell r="F532">
            <v>1.2875825858114247</v>
          </cell>
          <cell r="G532">
            <v>2.9982516328164173</v>
          </cell>
          <cell r="H532">
            <v>6.7693747256850116</v>
          </cell>
          <cell r="I532">
            <v>7.114685711561755</v>
          </cell>
          <cell r="J532">
            <v>7.4776066059402897</v>
          </cell>
          <cell r="K532">
            <v>7.8590407639229278</v>
          </cell>
          <cell r="L532">
            <v>8.259931848926243</v>
          </cell>
          <cell r="M532">
            <v>8.6812720731923143</v>
          </cell>
          <cell r="N532">
            <v>9.1241056727603098</v>
          </cell>
          <cell r="O532">
            <v>9.5895284515845489</v>
          </cell>
          <cell r="P532">
            <v>10.078700517826604</v>
          </cell>
        </row>
        <row r="533">
          <cell r="B533" t="str">
            <v>RHEM-ESOLPV</v>
          </cell>
          <cell r="C533" t="str">
            <v>VAR_fin</v>
          </cell>
          <cell r="D533" t="str">
            <v>SOL</v>
          </cell>
          <cell r="E533">
            <v>0.86248322578584768</v>
          </cell>
          <cell r="F533">
            <v>1.2875825858114247</v>
          </cell>
          <cell r="G533">
            <v>2.9982516328164173</v>
          </cell>
          <cell r="H533">
            <v>6.7693747256850116</v>
          </cell>
          <cell r="I533">
            <v>7.114685711561755</v>
          </cell>
          <cell r="J533">
            <v>7.4776066059402897</v>
          </cell>
          <cell r="K533">
            <v>7.8590407639229278</v>
          </cell>
          <cell r="L533">
            <v>8.259931848926243</v>
          </cell>
          <cell r="M533">
            <v>8.6812720731923143</v>
          </cell>
          <cell r="N533">
            <v>9.1241056727603098</v>
          </cell>
          <cell r="O533">
            <v>9.5895284515845489</v>
          </cell>
          <cell r="P533">
            <v>10.078700517826604</v>
          </cell>
        </row>
        <row r="534">
          <cell r="B534" t="str">
            <v>RHEM-ESOLPV</v>
          </cell>
          <cell r="C534" t="str">
            <v>VAR_fin</v>
          </cell>
          <cell r="D534" t="str">
            <v>SOLPVC</v>
          </cell>
          <cell r="E534">
            <v>0.86248322578584802</v>
          </cell>
          <cell r="F534">
            <v>1.28758258581143</v>
          </cell>
          <cell r="G534">
            <v>2.9982516328164199</v>
          </cell>
          <cell r="H534">
            <v>6.7693747256850196</v>
          </cell>
          <cell r="I534">
            <v>7.1146857115617497</v>
          </cell>
          <cell r="J534">
            <v>7.4776066059403004</v>
          </cell>
          <cell r="K534">
            <v>7.8590407639229296</v>
          </cell>
          <cell r="L534">
            <v>8.2599318489262501</v>
          </cell>
          <cell r="M534">
            <v>8.6812720731923108</v>
          </cell>
          <cell r="N534">
            <v>9.1241056727603098</v>
          </cell>
          <cell r="O534">
            <v>9.5895284515845507</v>
          </cell>
          <cell r="P534">
            <v>10.078700517826601</v>
          </cell>
        </row>
        <row r="535">
          <cell r="B535" t="str">
            <v>RHEM-ESOLPV</v>
          </cell>
          <cell r="C535" t="str">
            <v>VAR_ncap</v>
          </cell>
          <cell r="D535" t="str">
            <v>-</v>
          </cell>
          <cell r="G535">
            <v>0.41206979735777999</v>
          </cell>
          <cell r="H535">
            <v>0.79116647331018197</v>
          </cell>
          <cell r="I535">
            <v>0.17387287392550199</v>
          </cell>
          <cell r="J535">
            <v>0.28544704312626101</v>
          </cell>
          <cell r="K535">
            <v>0.87156695010549601</v>
          </cell>
          <cell r="L535">
            <v>0.71251796091455699</v>
          </cell>
          <cell r="M535">
            <v>0.26314674507066099</v>
          </cell>
          <cell r="N535">
            <v>0.409959107580114</v>
          </cell>
          <cell r="O535">
            <v>0.98670684800619302</v>
          </cell>
          <cell r="P535">
            <v>0.83353317105737301</v>
          </cell>
        </row>
        <row r="536">
          <cell r="B536" t="str">
            <v>RHEM-ESOLPV</v>
          </cell>
          <cell r="C536" t="str">
            <v>VAR_cap</v>
          </cell>
          <cell r="D536" t="str">
            <v>-</v>
          </cell>
          <cell r="E536">
            <v>0.27424799999999999</v>
          </cell>
          <cell r="F536">
            <v>0.43894531747641302</v>
          </cell>
          <cell r="G536">
            <v>0.89521779735777995</v>
          </cell>
          <cell r="H536">
            <v>1.6746594829274422</v>
          </cell>
          <cell r="I536">
            <v>1.7600850771702219</v>
          </cell>
          <cell r="J536">
            <v>1.8498672656892539</v>
          </cell>
          <cell r="K536">
            <v>1.9442293321125601</v>
          </cell>
          <cell r="L536">
            <v>2.0434048280718198</v>
          </cell>
          <cell r="M536">
            <v>2.1476392066613799</v>
          </cell>
          <cell r="N536">
            <v>2.2571907636708302</v>
          </cell>
          <cell r="O536">
            <v>2.3723306615715298</v>
          </cell>
          <cell r="P536">
            <v>2.49334587171434</v>
          </cell>
        </row>
        <row r="537">
          <cell r="B537" t="str">
            <v>HPLNUC</v>
          </cell>
          <cell r="C537" t="str">
            <v>VAR_fout</v>
          </cell>
          <cell r="D537" t="str">
            <v>LTH</v>
          </cell>
          <cell r="E537">
            <v>1.4500060406957316</v>
          </cell>
          <cell r="F537">
            <v>3.8019002858450222</v>
          </cell>
          <cell r="G537">
            <v>3.8017535681727064</v>
          </cell>
          <cell r="H537">
            <v>1.1502614204076411</v>
          </cell>
          <cell r="I537">
            <v>0.8491292130673822</v>
          </cell>
        </row>
        <row r="538">
          <cell r="B538" t="str">
            <v>HPLNUC</v>
          </cell>
          <cell r="C538" t="str">
            <v>VAR_fin</v>
          </cell>
          <cell r="D538" t="str">
            <v>URN</v>
          </cell>
          <cell r="E538">
            <v>1.4500060406957316</v>
          </cell>
          <cell r="F538">
            <v>3.8019002858450222</v>
          </cell>
          <cell r="G538">
            <v>3.8017535681727064</v>
          </cell>
          <cell r="H538">
            <v>1.1502614204076411</v>
          </cell>
          <cell r="I538">
            <v>0.8491292130673822</v>
          </cell>
        </row>
        <row r="539">
          <cell r="B539" t="str">
            <v>HPLNUC</v>
          </cell>
          <cell r="C539" t="str">
            <v>VAR_cap</v>
          </cell>
          <cell r="D539" t="str">
            <v>-</v>
          </cell>
          <cell r="E539">
            <v>0.120558721922211</v>
          </cell>
          <cell r="F539">
            <v>0.120558721922211</v>
          </cell>
          <cell r="G539">
            <v>0.120558721922211</v>
          </cell>
          <cell r="H539">
            <v>0.120558721922211</v>
          </cell>
          <cell r="I539">
            <v>0.120558721922211</v>
          </cell>
          <cell r="J539">
            <v>0.120558721922211</v>
          </cell>
          <cell r="K539">
            <v>0.120558721922211</v>
          </cell>
          <cell r="L539">
            <v>0.120558721922211</v>
          </cell>
          <cell r="M539">
            <v>8.85558611937695E-2</v>
          </cell>
        </row>
        <row r="540">
          <cell r="B540" t="str">
            <v>ITOT-CHPWODCCS</v>
          </cell>
          <cell r="C540" t="str">
            <v>VAR_fout</v>
          </cell>
          <cell r="D540" t="str">
            <v>CO2_O</v>
          </cell>
          <cell r="J540">
            <v>487.56841045216538</v>
          </cell>
          <cell r="K540">
            <v>1055.3087922350396</v>
          </cell>
          <cell r="L540">
            <v>1225.7773624740087</v>
          </cell>
          <cell r="M540">
            <v>1209.6914315036624</v>
          </cell>
          <cell r="N540">
            <v>1225.7778964967238</v>
          </cell>
          <cell r="O540">
            <v>1220.9405853600081</v>
          </cell>
          <cell r="P540">
            <v>1225.77821182925</v>
          </cell>
        </row>
        <row r="541">
          <cell r="B541" t="str">
            <v>ITOT-CHPWODCCS</v>
          </cell>
          <cell r="C541" t="str">
            <v>VAR_fout</v>
          </cell>
          <cell r="D541" t="str">
            <v>CO2</v>
          </cell>
          <cell r="J541">
            <v>-487.56841045216498</v>
          </cell>
          <cell r="K541">
            <v>-1055.3087922350401</v>
          </cell>
          <cell r="L541">
            <v>-1225.77736247401</v>
          </cell>
          <cell r="M541">
            <v>-1209.6914315036599</v>
          </cell>
          <cell r="N541">
            <v>-1225.7778964967199</v>
          </cell>
          <cell r="O541">
            <v>-1220.9405853600099</v>
          </cell>
          <cell r="P541">
            <v>-1225.77821182925</v>
          </cell>
        </row>
        <row r="542">
          <cell r="B542" t="str">
            <v>ITOT-CHPWODCCS</v>
          </cell>
          <cell r="C542" t="str">
            <v>VAR_fout</v>
          </cell>
          <cell r="D542" t="str">
            <v>ITOT_LTH_CHP</v>
          </cell>
          <cell r="J542">
            <v>3.4709367841225451</v>
          </cell>
          <cell r="K542">
            <v>7.6646845925815947</v>
          </cell>
          <cell r="L542">
            <v>9.0867361025851316</v>
          </cell>
          <cell r="M542">
            <v>8.9674904596431517</v>
          </cell>
          <cell r="N542">
            <v>9.0867400613166591</v>
          </cell>
          <cell r="O542">
            <v>9.0508808824061386</v>
          </cell>
          <cell r="P542">
            <v>9.0867423988891556</v>
          </cell>
        </row>
        <row r="543">
          <cell r="B543" t="str">
            <v>ITOT-CHPWODCCS</v>
          </cell>
          <cell r="C543" t="str">
            <v>VAR_fout</v>
          </cell>
          <cell r="D543" t="str">
            <v>ITOT_KEV_WOD_ELC_CHP</v>
          </cell>
          <cell r="J543">
            <v>1.6408064797670174</v>
          </cell>
          <cell r="K543">
            <v>3.6233054437658372</v>
          </cell>
          <cell r="L543">
            <v>4.2955479757675104</v>
          </cell>
          <cell r="M543">
            <v>4.2391773081949378</v>
          </cell>
          <cell r="N543">
            <v>4.2955498471678659</v>
          </cell>
          <cell r="O543">
            <v>4.2785982353192482</v>
          </cell>
          <cell r="P543">
            <v>4.2955509522021371</v>
          </cell>
        </row>
        <row r="544">
          <cell r="B544" t="str">
            <v>ITOT-CHPWODCCS</v>
          </cell>
          <cell r="C544" t="str">
            <v>VAR_fin</v>
          </cell>
          <cell r="D544" t="str">
            <v>IWOD</v>
          </cell>
          <cell r="J544">
            <v>4.8928920573963381</v>
          </cell>
          <cell r="K544">
            <v>10.594120077988148</v>
          </cell>
          <cell r="L544">
            <v>12.307132426076668</v>
          </cell>
          <cell r="M544">
            <v>12.145090097953759</v>
          </cell>
          <cell r="N544">
            <v>12.30738419879409</v>
          </cell>
          <cell r="O544">
            <v>12.259034480112975</v>
          </cell>
          <cell r="P544">
            <v>12.310722964100068</v>
          </cell>
        </row>
        <row r="545">
          <cell r="B545" t="str">
            <v>ITOT-CHPWODCCS</v>
          </cell>
          <cell r="C545" t="str">
            <v>VAR_ncap</v>
          </cell>
          <cell r="D545" t="str">
            <v>-</v>
          </cell>
          <cell r="J545">
            <v>6.2021040027272899E-2</v>
          </cell>
          <cell r="K545">
            <v>8.8327545336858701E-2</v>
          </cell>
          <cell r="L545">
            <v>3.1485830681335703E-2</v>
          </cell>
          <cell r="M545">
            <v>5.8810983930691403E-2</v>
          </cell>
          <cell r="N545">
            <v>9.6208319825237504E-2</v>
          </cell>
          <cell r="O545">
            <v>2.9545698506568598E-2</v>
          </cell>
          <cell r="P545">
            <v>4.5298360935248902E-2</v>
          </cell>
        </row>
        <row r="546">
          <cell r="B546" t="str">
            <v>ITOT-CHPWODCCS</v>
          </cell>
          <cell r="C546" t="str">
            <v>VAR_cap</v>
          </cell>
          <cell r="D546" t="str">
            <v>-</v>
          </cell>
          <cell r="J546">
            <v>6.2021040027272899E-2</v>
          </cell>
          <cell r="K546">
            <v>0.15034858536413201</v>
          </cell>
          <cell r="L546">
            <v>0.18183441604546699</v>
          </cell>
          <cell r="M546">
            <v>0.17645114969629799</v>
          </cell>
          <cell r="N546">
            <v>0.18650513443726499</v>
          </cell>
          <cell r="O546">
            <v>0.171497946099604</v>
          </cell>
          <cell r="P546">
            <v>0.17105237926705499</v>
          </cell>
        </row>
        <row r="547">
          <cell r="B547" t="str">
            <v>SUP_WODBIO</v>
          </cell>
          <cell r="C547" t="str">
            <v>VAR_fout</v>
          </cell>
          <cell r="D547" t="str">
            <v>ELC35</v>
          </cell>
          <cell r="H547">
            <v>1.807682220249852E-5</v>
          </cell>
          <cell r="I547">
            <v>1.8127188868703691E-5</v>
          </cell>
          <cell r="J547">
            <v>1.2861970066760975E-5</v>
          </cell>
          <cell r="K547">
            <v>1.0718867992208656E-5</v>
          </cell>
          <cell r="L547">
            <v>1.819271068278457E-6</v>
          </cell>
          <cell r="M547">
            <v>1.2793756542283533E-6</v>
          </cell>
          <cell r="N547">
            <v>3.3819925646125913E-6</v>
          </cell>
          <cell r="O547">
            <v>2.4359894860486953E-6</v>
          </cell>
          <cell r="P547">
            <v>1.1526007449175895E-5</v>
          </cell>
        </row>
        <row r="548">
          <cell r="B548" t="str">
            <v>SUP_WODBIO</v>
          </cell>
          <cell r="C548" t="str">
            <v>VAR_fout</v>
          </cell>
          <cell r="D548" t="str">
            <v>BIO</v>
          </cell>
          <cell r="F548">
            <v>1.7476107967032206E-5</v>
          </cell>
          <cell r="G548">
            <v>3.193936497254575E-5</v>
          </cell>
          <cell r="H548">
            <v>4.5192055506246238E-4</v>
          </cell>
          <cell r="I548">
            <v>4.5317972171759129E-4</v>
          </cell>
          <cell r="J548">
            <v>3.2154925166902397E-4</v>
          </cell>
          <cell r="K548">
            <v>2.6813045291982848E-4</v>
          </cell>
          <cell r="L548">
            <v>8.7494423623224023E-5</v>
          </cell>
          <cell r="M548">
            <v>6.4178840268652382E-5</v>
          </cell>
          <cell r="N548">
            <v>9.7402674339324967E-5</v>
          </cell>
          <cell r="O548">
            <v>9.9362914891381663E-5</v>
          </cell>
          <cell r="P548">
            <v>2.8815018622939663E-4</v>
          </cell>
        </row>
        <row r="549">
          <cell r="B549" t="str">
            <v>SUP_WODBIO</v>
          </cell>
          <cell r="C549" t="str">
            <v>VAR_fout</v>
          </cell>
          <cell r="D549" t="str">
            <v>LTH</v>
          </cell>
          <cell r="G549">
            <v>3.8327237967054887E-6</v>
          </cell>
          <cell r="H549">
            <v>5.4230466607495542E-5</v>
          </cell>
          <cell r="I549">
            <v>5.4381566606110988E-5</v>
          </cell>
          <cell r="J549">
            <v>3.8585910200282899E-5</v>
          </cell>
          <cell r="K549">
            <v>3.2175654350379453E-5</v>
          </cell>
          <cell r="L549">
            <v>1.0499330834786887E-5</v>
          </cell>
          <cell r="M549">
            <v>7.7014608322382967E-6</v>
          </cell>
          <cell r="N549">
            <v>1.1688320920719011E-5</v>
          </cell>
          <cell r="O549">
            <v>1.1923549786965805E-5</v>
          </cell>
          <cell r="P549">
            <v>3.457802234752763E-5</v>
          </cell>
        </row>
        <row r="550">
          <cell r="B550" t="str">
            <v>SUP_WODBIO</v>
          </cell>
          <cell r="C550" t="str">
            <v>VAR_fin</v>
          </cell>
          <cell r="D550" t="str">
            <v>CWOD</v>
          </cell>
          <cell r="F550">
            <v>2.3592745755493468E-5</v>
          </cell>
          <cell r="G550">
            <v>4.311814271293674E-5</v>
          </cell>
          <cell r="H550">
            <v>6.1009274933432464E-4</v>
          </cell>
          <cell r="I550">
            <v>6.1179262431874861E-4</v>
          </cell>
          <cell r="J550">
            <v>4.3409148975318218E-4</v>
          </cell>
          <cell r="K550">
            <v>3.619761114417687E-4</v>
          </cell>
          <cell r="L550">
            <v>1.1811747189135246E-4</v>
          </cell>
          <cell r="M550">
            <v>8.664143436268086E-5</v>
          </cell>
          <cell r="N550">
            <v>1.3149361035808886E-4</v>
          </cell>
          <cell r="O550">
            <v>1.3413993510336529E-4</v>
          </cell>
          <cell r="P550">
            <v>3.890027514096861E-4</v>
          </cell>
        </row>
        <row r="551">
          <cell r="B551" t="str">
            <v>SUP_WODBIO</v>
          </cell>
          <cell r="C551" t="str">
            <v>VAR_ncap</v>
          </cell>
          <cell r="D551" t="str">
            <v>-</v>
          </cell>
          <cell r="E551">
            <v>2.2396420781390699E-7</v>
          </cell>
          <cell r="F551">
            <v>7.4830862243166899E-6</v>
          </cell>
          <cell r="G551">
            <v>1.1150960530101601E-6</v>
          </cell>
          <cell r="H551">
            <v>1.07478690977719E-5</v>
          </cell>
          <cell r="I551">
            <v>2.7619478508780199E-6</v>
          </cell>
          <cell r="J551">
            <v>2.7835279479384799E-7</v>
          </cell>
          <cell r="K551">
            <v>4.8371302234608798E-6</v>
          </cell>
          <cell r="L551">
            <v>5.2772985954518501E-6</v>
          </cell>
          <cell r="M551">
            <v>3.0847625410058202E-7</v>
          </cell>
          <cell r="N551">
            <v>7.0509998970019497E-6</v>
          </cell>
          <cell r="O551">
            <v>1.8454531259555699E-6</v>
          </cell>
          <cell r="P551">
            <v>2.4455610483473099E-5</v>
          </cell>
        </row>
        <row r="552">
          <cell r="B552" t="str">
            <v>SUP_WODBIO</v>
          </cell>
          <cell r="C552" t="str">
            <v>VAR_cap</v>
          </cell>
          <cell r="D552" t="str">
            <v>-</v>
          </cell>
          <cell r="E552">
            <v>2.2396420781390699E-7</v>
          </cell>
          <cell r="F552">
            <v>7.6900592806380792E-6</v>
          </cell>
          <cell r="G552">
            <v>8.7710166305231707E-6</v>
          </cell>
          <cell r="H552">
            <v>1.9503255111097086E-5</v>
          </cell>
          <cell r="I552">
            <v>2.2140234250522163E-5</v>
          </cell>
          <cell r="J552">
            <v>1.920037401675861E-5</v>
          </cell>
          <cell r="K552">
            <v>1.5198995917185904E-5</v>
          </cell>
          <cell r="L552">
            <v>1.2975583717090407E-5</v>
          </cell>
          <cell r="M552">
            <v>1.1167693057741657E-5</v>
          </cell>
          <cell r="N552">
            <v>1.7160114201589159E-5</v>
          </cell>
          <cell r="O552">
            <v>1.4231457353828129E-5</v>
          </cell>
          <cell r="P552">
            <v>3.3427708347760775E-5</v>
          </cell>
        </row>
        <row r="553">
          <cell r="B553" t="str">
            <v>D-RLFO</v>
          </cell>
          <cell r="C553" t="str">
            <v>VAR_fout</v>
          </cell>
          <cell r="D553" t="str">
            <v>CO2</v>
          </cell>
          <cell r="E553">
            <v>4514.4826325335198</v>
          </cell>
          <cell r="F553">
            <v>3846.5256089701402</v>
          </cell>
          <cell r="G553">
            <v>3783.0496795793902</v>
          </cell>
          <cell r="H553">
            <v>3112.9694114064901</v>
          </cell>
          <cell r="I553">
            <v>1615.6393318630201</v>
          </cell>
          <cell r="J553">
            <v>903.05108592947602</v>
          </cell>
          <cell r="K553">
            <v>710.32004954949605</v>
          </cell>
          <cell r="M553">
            <v>4.7361052367794303E-3</v>
          </cell>
          <cell r="N553">
            <v>7.1303193367605504E-3</v>
          </cell>
          <cell r="O553">
            <v>6.7340345005500101E-3</v>
          </cell>
          <cell r="P553">
            <v>1.06156063899782E-2</v>
          </cell>
        </row>
        <row r="554">
          <cell r="B554" t="str">
            <v>D-RLFO</v>
          </cell>
          <cell r="C554" t="str">
            <v>VAR_fout</v>
          </cell>
          <cell r="D554" t="str">
            <v>RLFO</v>
          </cell>
          <cell r="E554">
            <v>60.231825120934438</v>
          </cell>
          <cell r="F554">
            <v>51.320002015970651</v>
          </cell>
          <cell r="G554">
            <v>50.473130550113375</v>
          </cell>
          <cell r="H554">
            <v>41.533098256574348</v>
          </cell>
          <cell r="I554">
            <v>21.555928131350459</v>
          </cell>
          <cell r="J554">
            <v>12.048491755545056</v>
          </cell>
          <cell r="K554">
            <v>9.4773291882716073</v>
          </cell>
          <cell r="L554">
            <v>9.4771832498632307</v>
          </cell>
          <cell r="M554">
            <v>9.4770826493044726</v>
          </cell>
          <cell r="N554">
            <v>7.2053701930022775</v>
          </cell>
          <cell r="O554">
            <v>5.6645548893531874</v>
          </cell>
          <cell r="P554">
            <v>1.3808836201523973</v>
          </cell>
        </row>
        <row r="555">
          <cell r="B555" t="str">
            <v>D-RLFO</v>
          </cell>
          <cell r="C555" t="str">
            <v>VAR_fin</v>
          </cell>
          <cell r="D555" t="str">
            <v>LFO</v>
          </cell>
          <cell r="E555">
            <v>61.254852544552506</v>
          </cell>
          <cell r="F555">
            <v>52.191663622389918</v>
          </cell>
          <cell r="G555">
            <v>51.33038913947609</v>
          </cell>
          <cell r="H555">
            <v>42.238390928175008</v>
          </cell>
          <cell r="I555">
            <v>21.921836253229547</v>
          </cell>
          <cell r="J555">
            <v>12.253067651688966</v>
          </cell>
          <cell r="K555">
            <v>9.6379925312007693</v>
          </cell>
          <cell r="M555">
            <v>6.426194351125426E-5</v>
          </cell>
          <cell r="N555">
            <v>9.6747887880061696E-5</v>
          </cell>
          <cell r="O555">
            <v>9.1370888745590347E-5</v>
          </cell>
          <cell r="P555">
            <v>1.4403807856144078E-4</v>
          </cell>
        </row>
        <row r="556">
          <cell r="B556" t="str">
            <v>D-RLFO</v>
          </cell>
          <cell r="C556" t="str">
            <v>VAR_fin</v>
          </cell>
          <cell r="D556" t="str">
            <v>BDS</v>
          </cell>
          <cell r="G556">
            <v>1.905597017395063E-5</v>
          </cell>
          <cell r="H556">
            <v>1.4002760907675857E-4</v>
          </cell>
          <cell r="I556">
            <v>2.1570381907011014E-4</v>
          </cell>
          <cell r="J556">
            <v>6.5757340942694325E-5</v>
          </cell>
          <cell r="K556">
            <v>3.0754090616044223E-4</v>
          </cell>
          <cell r="L556">
            <v>9.6381508872886439</v>
          </cell>
          <cell r="M556">
            <v>9.6379850683754817</v>
          </cell>
          <cell r="N556">
            <v>7.3276554739106619</v>
          </cell>
          <cell r="O556">
            <v>5.7606750542211849</v>
          </cell>
          <cell r="P556">
            <v>1.4041936893889995</v>
          </cell>
        </row>
        <row r="557">
          <cell r="B557" t="str">
            <v>G-INTC-EXP00-IT</v>
          </cell>
          <cell r="C557" t="str">
            <v>VAR_fout</v>
          </cell>
          <cell r="D557" t="str">
            <v>ELC_E-IT</v>
          </cell>
          <cell r="E557">
            <v>71.694108051319873</v>
          </cell>
          <cell r="F557">
            <v>35.599795475085507</v>
          </cell>
          <cell r="G557">
            <v>64.430017375495382</v>
          </cell>
          <cell r="H557">
            <v>70.474367690307233</v>
          </cell>
          <cell r="I557">
            <v>51.325706282538803</v>
          </cell>
          <cell r="J557">
            <v>37.040463663849557</v>
          </cell>
          <cell r="K557">
            <v>21.964140520790469</v>
          </cell>
          <cell r="L557">
            <v>16.108941250289945</v>
          </cell>
          <cell r="M557">
            <v>18.9456742360567</v>
          </cell>
          <cell r="N557">
            <v>12.617922817666965</v>
          </cell>
          <cell r="O557">
            <v>12.557784873337809</v>
          </cell>
          <cell r="P557">
            <v>17.324536751800991</v>
          </cell>
        </row>
        <row r="558">
          <cell r="B558" t="str">
            <v>G-INTC-EXP00-IT</v>
          </cell>
          <cell r="C558" t="str">
            <v>VAR_fin</v>
          </cell>
          <cell r="D558" t="str">
            <v>ELC</v>
          </cell>
          <cell r="E558">
            <v>71.694108051319873</v>
          </cell>
          <cell r="F558">
            <v>35.599795475085507</v>
          </cell>
          <cell r="G558">
            <v>64.430017375495382</v>
          </cell>
          <cell r="H558">
            <v>70.474367690307233</v>
          </cell>
          <cell r="I558">
            <v>51.325706282538803</v>
          </cell>
          <cell r="J558">
            <v>37.040463663849557</v>
          </cell>
          <cell r="K558">
            <v>21.964140520790469</v>
          </cell>
          <cell r="L558">
            <v>16.108941250289945</v>
          </cell>
          <cell r="M558">
            <v>18.9456742360567</v>
          </cell>
          <cell r="N558">
            <v>12.617922817666965</v>
          </cell>
          <cell r="O558">
            <v>12.557784873337809</v>
          </cell>
          <cell r="P558">
            <v>17.324536751800991</v>
          </cell>
        </row>
        <row r="559">
          <cell r="B559" t="str">
            <v>G-INTC-EXP00-IT</v>
          </cell>
          <cell r="C559" t="str">
            <v>VAR_ncap</v>
          </cell>
          <cell r="D559" t="str">
            <v>-</v>
          </cell>
          <cell r="E559">
            <v>1.4190704310094</v>
          </cell>
          <cell r="F559">
            <v>6.3187472359475399E-6</v>
          </cell>
          <cell r="G559">
            <v>2.35873830620263E-6</v>
          </cell>
          <cell r="H559">
            <v>1.13973267354071E-6</v>
          </cell>
          <cell r="I559">
            <v>7.9721892776654101E-7</v>
          </cell>
          <cell r="J559">
            <v>8.8422903634096805E-7</v>
          </cell>
          <cell r="K559">
            <v>9.5688632599900797E-7</v>
          </cell>
          <cell r="L559">
            <v>1.15777555333273E-5</v>
          </cell>
          <cell r="M559">
            <v>0.63561980671415497</v>
          </cell>
          <cell r="N559">
            <v>1.83826001221549</v>
          </cell>
        </row>
        <row r="560">
          <cell r="B560" t="str">
            <v>G-INTC-EXP00-IT</v>
          </cell>
          <cell r="C560" t="str">
            <v>VAR_cap</v>
          </cell>
          <cell r="D560" t="str">
            <v>-</v>
          </cell>
          <cell r="E560">
            <v>3.749999853661675</v>
          </cell>
          <cell r="F560">
            <v>3.7499997343433789</v>
          </cell>
          <cell r="G560">
            <v>3.7499996639777313</v>
          </cell>
          <cell r="H560">
            <v>4.5307595983658207</v>
          </cell>
          <cell r="I560">
            <v>5.1690784541221015</v>
          </cell>
          <cell r="J560">
            <v>5.1690781925272793</v>
          </cell>
          <cell r="K560">
            <v>5.1690748963336324</v>
          </cell>
          <cell r="L560">
            <v>5.1690681541058137</v>
          </cell>
          <cell r="M560">
            <v>5.1690651566447112</v>
          </cell>
          <cell r="N560">
            <v>2.5446563003055616</v>
          </cell>
          <cell r="O560">
            <v>2.0547055097525324</v>
          </cell>
          <cell r="P560">
            <v>2.9586426034059952</v>
          </cell>
        </row>
        <row r="561">
          <cell r="B561" t="str">
            <v>EWOD-CCS</v>
          </cell>
          <cell r="C561" t="str">
            <v>VAR_fout</v>
          </cell>
          <cell r="D561" t="str">
            <v>CO2_O</v>
          </cell>
          <cell r="J561">
            <v>6.3493771160830187E-2</v>
          </cell>
          <cell r="K561">
            <v>11.386037531215123</v>
          </cell>
          <cell r="L561">
            <v>197.59784395061254</v>
          </cell>
          <cell r="M561">
            <v>203.20900785954186</v>
          </cell>
          <cell r="N561">
            <v>203.43848586327647</v>
          </cell>
          <cell r="O561">
            <v>203.35216078956816</v>
          </cell>
          <cell r="P561">
            <v>203.28615805114484</v>
          </cell>
        </row>
        <row r="562">
          <cell r="B562" t="str">
            <v>EWOD-CCS</v>
          </cell>
          <cell r="C562" t="str">
            <v>VAR_fout</v>
          </cell>
          <cell r="D562" t="str">
            <v>CO2</v>
          </cell>
          <cell r="J562">
            <v>-6.3493771160830104E-2</v>
          </cell>
          <cell r="K562">
            <v>-11.3860375312151</v>
          </cell>
          <cell r="L562">
            <v>-197.597843950612</v>
          </cell>
          <cell r="M562">
            <v>-203.209007859542</v>
          </cell>
          <cell r="N562">
            <v>-203.43848586327599</v>
          </cell>
          <cell r="O562">
            <v>-203.35216078956799</v>
          </cell>
          <cell r="P562">
            <v>-203.28615805114501</v>
          </cell>
        </row>
        <row r="563">
          <cell r="B563" t="str">
            <v>EWOD-CCS</v>
          </cell>
          <cell r="C563" t="str">
            <v>VAR_fout</v>
          </cell>
          <cell r="D563" t="str">
            <v>ELC13</v>
          </cell>
          <cell r="J563">
            <v>1.4072399604722491E-4</v>
          </cell>
          <cell r="K563">
            <v>2.5235368308454461E-2</v>
          </cell>
          <cell r="L563">
            <v>0.43794466295932283</v>
          </cell>
          <cell r="M563">
            <v>0.4503809286481314</v>
          </cell>
          <cell r="N563">
            <v>0.45088953069050658</v>
          </cell>
          <cell r="O563">
            <v>0.45069820468940136</v>
          </cell>
          <cell r="P563">
            <v>0.45055191996050287</v>
          </cell>
        </row>
        <row r="564">
          <cell r="B564" t="str">
            <v>EWOD-CCS</v>
          </cell>
          <cell r="C564" t="str">
            <v>VAR_fin</v>
          </cell>
          <cell r="D564" t="str">
            <v>EWOD</v>
          </cell>
          <cell r="J564">
            <v>8.2684169237905863E-4</v>
          </cell>
          <cell r="K564">
            <v>0.1066474027647947</v>
          </cell>
          <cell r="L564">
            <v>1.655745205854156</v>
          </cell>
          <cell r="M564">
            <v>1.704678726692147</v>
          </cell>
          <cell r="N564">
            <v>1.7066309479385013</v>
          </cell>
          <cell r="O564">
            <v>1.7143029028100591</v>
          </cell>
          <cell r="P564">
            <v>1.7046472311058503</v>
          </cell>
        </row>
        <row r="565">
          <cell r="B565" t="str">
            <v>EWOD-CCS</v>
          </cell>
          <cell r="C565" t="str">
            <v>VAR_ncap</v>
          </cell>
          <cell r="D565" t="str">
            <v>-</v>
          </cell>
          <cell r="J565">
            <v>3.9296301462217498E-5</v>
          </cell>
          <cell r="K565">
            <v>1.8627635920237098E-2</v>
          </cell>
          <cell r="L565">
            <v>6.0897422770497299E-3</v>
          </cell>
          <cell r="M565">
            <v>8.8416184709427405E-7</v>
          </cell>
          <cell r="N565">
            <v>1.02758870095753E-7</v>
          </cell>
          <cell r="O565">
            <v>6.32647943111974E-3</v>
          </cell>
        </row>
        <row r="566">
          <cell r="B566" t="str">
            <v>EWOD-CCS</v>
          </cell>
          <cell r="C566" t="str">
            <v>VAR_cap</v>
          </cell>
          <cell r="D566" t="str">
            <v>-</v>
          </cell>
          <cell r="J566">
            <v>1.5138895901548301E-5</v>
          </cell>
          <cell r="K566">
            <v>9.0082614503977278E-3</v>
          </cell>
          <cell r="L566">
            <v>1.8666875513837417E-2</v>
          </cell>
          <cell r="M566">
            <v>2.4757105008188715E-2</v>
          </cell>
          <cell r="N566">
            <v>2.4757404982945774E-2</v>
          </cell>
          <cell r="O566">
            <v>2.7764441373319113E-2</v>
          </cell>
          <cell r="P566">
            <v>2.4987955010241016E-2</v>
          </cell>
        </row>
        <row r="567">
          <cell r="B567" t="str">
            <v>EOIL-ENG</v>
          </cell>
          <cell r="C567" t="str">
            <v>VAR_fout</v>
          </cell>
          <cell r="D567" t="str">
            <v>ELC35</v>
          </cell>
          <cell r="E567">
            <v>3.9600577146668293E-2</v>
          </cell>
          <cell r="F567">
            <v>1.3090686233783397E-5</v>
          </cell>
          <cell r="G567">
            <v>7.8402309470985651E-4</v>
          </cell>
          <cell r="H567">
            <v>1.2327409643326772E-4</v>
          </cell>
          <cell r="I567">
            <v>1.0824485773347897E-4</v>
          </cell>
          <cell r="J567">
            <v>0.17132940066574279</v>
          </cell>
          <cell r="K567">
            <v>0.17135358060741923</v>
          </cell>
          <cell r="L567">
            <v>3.9748542018662598E-6</v>
          </cell>
          <cell r="M567">
            <v>5.84061295885164E-4</v>
          </cell>
          <cell r="N567">
            <v>6.2292984382536357E-4</v>
          </cell>
          <cell r="O567">
            <v>2.9650108127331882E-4</v>
          </cell>
          <cell r="P567">
            <v>6.6665996889922995E-4</v>
          </cell>
        </row>
        <row r="568">
          <cell r="B568" t="str">
            <v>EOIL-ENG</v>
          </cell>
          <cell r="C568" t="str">
            <v>VAR_fout</v>
          </cell>
          <cell r="D568" t="str">
            <v>CO2_E</v>
          </cell>
          <cell r="E568">
            <v>8.4545449962644899</v>
          </cell>
          <cell r="F568">
            <v>1.8302843184100099E-2</v>
          </cell>
          <cell r="G568">
            <v>0.19739869195179199</v>
          </cell>
          <cell r="H568">
            <v>3.3746925726172897E-2</v>
          </cell>
          <cell r="I568">
            <v>2.6398169125059601E-2</v>
          </cell>
          <cell r="J568">
            <v>36.451780451550199</v>
          </cell>
          <cell r="K568">
            <v>36.553320731050299</v>
          </cell>
          <cell r="L568">
            <v>1.06305505950009E-3</v>
          </cell>
          <cell r="M568">
            <v>0.13711351697094701</v>
          </cell>
          <cell r="N568">
            <v>0.14863628025961501</v>
          </cell>
          <cell r="O568">
            <v>7.3039185618547206E-2</v>
          </cell>
          <cell r="P568">
            <v>0.162820776490359</v>
          </cell>
        </row>
        <row r="569">
          <cell r="B569" t="str">
            <v>EOIL-ENG</v>
          </cell>
          <cell r="C569" t="str">
            <v>VAR_fin</v>
          </cell>
          <cell r="D569" t="str">
            <v>ELFO</v>
          </cell>
          <cell r="E569">
            <v>0.11471567159110566</v>
          </cell>
          <cell r="F569">
            <v>2.4834251267435742E-4</v>
          </cell>
          <cell r="G569">
            <v>2.6784083032807575E-3</v>
          </cell>
          <cell r="H569">
            <v>4.5789587145417775E-4</v>
          </cell>
          <cell r="I569">
            <v>3.5818411295874647E-4</v>
          </cell>
          <cell r="J569">
            <v>0.49459674968182049</v>
          </cell>
          <cell r="K569">
            <v>0.49597450109973273</v>
          </cell>
          <cell r="L569">
            <v>1.4424084932158645E-5</v>
          </cell>
          <cell r="M569">
            <v>1.8604276386831324E-3</v>
          </cell>
          <cell r="N569">
            <v>2.016774494703047E-3</v>
          </cell>
          <cell r="O569">
            <v>9.9103372616753354E-4</v>
          </cell>
          <cell r="P569">
            <v>2.209237130126991E-3</v>
          </cell>
        </row>
        <row r="570">
          <cell r="B570" t="str">
            <v>EOIL-ENG</v>
          </cell>
          <cell r="C570" t="str">
            <v>VAR_ncap</v>
          </cell>
          <cell r="D570" t="str">
            <v>-</v>
          </cell>
          <cell r="F570">
            <v>1.34449217445639E-6</v>
          </cell>
          <cell r="G570">
            <v>1.4437234110076299E-3</v>
          </cell>
          <cell r="H570">
            <v>6.2780297904582602E-2</v>
          </cell>
          <cell r="I570">
            <v>2.21462260949016E-3</v>
          </cell>
          <cell r="J570">
            <v>6.5615728193863104E-3</v>
          </cell>
          <cell r="K570">
            <v>2.2867765970838799E-5</v>
          </cell>
          <cell r="L570">
            <v>2.8188010074723699E-6</v>
          </cell>
          <cell r="M570">
            <v>3.7673039406849898E-6</v>
          </cell>
          <cell r="N570">
            <v>1.1760484570630601E-5</v>
          </cell>
          <cell r="O570">
            <v>2.7229431278351298E-4</v>
          </cell>
          <cell r="P570">
            <v>6.0774388254428602E-4</v>
          </cell>
        </row>
        <row r="571">
          <cell r="B571" t="str">
            <v>EOIL-ENG</v>
          </cell>
          <cell r="C571" t="str">
            <v>VAR_cap</v>
          </cell>
          <cell r="D571" t="str">
            <v>-</v>
          </cell>
          <cell r="E571">
            <v>2.0034491085252702E-2</v>
          </cell>
          <cell r="F571">
            <v>2.0011548491050857E-2</v>
          </cell>
          <cell r="G571">
            <v>1.2887982249631377E-2</v>
          </cell>
          <cell r="H571">
            <v>7.1224494336027858E-2</v>
          </cell>
          <cell r="I571">
            <v>7.3438482247058609E-2</v>
          </cell>
          <cell r="J571">
            <v>7.9999174306351228E-2</v>
          </cell>
          <cell r="K571">
            <v>7.4261332946613107E-2</v>
          </cell>
          <cell r="L571">
            <v>7.1555922156459159E-2</v>
          </cell>
          <cell r="M571">
            <v>8.8004968096500238E-3</v>
          </cell>
          <cell r="N571">
            <v>6.5963572340510404E-3</v>
          </cell>
          <cell r="O571">
            <v>3.0690318254067775E-4</v>
          </cell>
          <cell r="P571">
            <v>8.9563296550472277E-4</v>
          </cell>
        </row>
        <row r="572">
          <cell r="B572" t="str">
            <v>D-SWOD</v>
          </cell>
          <cell r="C572" t="str">
            <v>VAR_fout</v>
          </cell>
          <cell r="D572" t="str">
            <v>SWOD</v>
          </cell>
          <cell r="E572">
            <v>8.5743683089933977</v>
          </cell>
          <cell r="F572">
            <v>9.8309880699511254</v>
          </cell>
          <cell r="G572">
            <v>9.7624329340088885</v>
          </cell>
          <cell r="H572">
            <v>7.4811197438477874</v>
          </cell>
          <cell r="I572">
            <v>8.3293022337995772</v>
          </cell>
          <cell r="J572">
            <v>9.3953634104083541</v>
          </cell>
          <cell r="K572">
            <v>5.7193092571481721</v>
          </cell>
          <cell r="L572">
            <v>4.4473855925369623</v>
          </cell>
          <cell r="M572">
            <v>0.52701783291487903</v>
          </cell>
          <cell r="N572">
            <v>0.53091899616859262</v>
          </cell>
          <cell r="O572">
            <v>0.53082144440171342</v>
          </cell>
          <cell r="P572">
            <v>0.53250304174032059</v>
          </cell>
        </row>
        <row r="573">
          <cell r="B573" t="str">
            <v>D-SWOD</v>
          </cell>
          <cell r="C573" t="str">
            <v>VAR_fin</v>
          </cell>
          <cell r="D573" t="str">
            <v>WOD</v>
          </cell>
          <cell r="E573">
            <v>8.5743683089933977</v>
          </cell>
          <cell r="F573">
            <v>9.8309880699511254</v>
          </cell>
          <cell r="G573">
            <v>9.7624329340088885</v>
          </cell>
          <cell r="H573">
            <v>7.4811197438477874</v>
          </cell>
          <cell r="I573">
            <v>8.3293022337995772</v>
          </cell>
          <cell r="J573">
            <v>9.3953634104083541</v>
          </cell>
          <cell r="K573">
            <v>5.7193092571481721</v>
          </cell>
          <cell r="L573">
            <v>4.4473855925369623</v>
          </cell>
          <cell r="M573">
            <v>0.52701783291487903</v>
          </cell>
          <cell r="N573">
            <v>0.53091899616859262</v>
          </cell>
          <cell r="O573">
            <v>0.53082144440171342</v>
          </cell>
          <cell r="P573">
            <v>0.53250304174032059</v>
          </cell>
        </row>
        <row r="574">
          <cell r="B574" t="str">
            <v>SCOM-CHPWOD</v>
          </cell>
          <cell r="C574" t="str">
            <v>VAR_fout</v>
          </cell>
          <cell r="D574" t="str">
            <v>SCOM_KEV_WOD_ELC_CHP</v>
          </cell>
          <cell r="H574">
            <v>2.4128248590611498E-4</v>
          </cell>
          <cell r="I574">
            <v>2.5941142232589726E-4</v>
          </cell>
          <cell r="J574">
            <v>2.1686251757717084E-3</v>
          </cell>
          <cell r="K574">
            <v>2.0097844641842263E-3</v>
          </cell>
          <cell r="L574">
            <v>1.2433683754265136E-3</v>
          </cell>
          <cell r="M574">
            <v>6.6584304814154463E-4</v>
          </cell>
          <cell r="N574">
            <v>7.0341773939620693E-4</v>
          </cell>
          <cell r="O574">
            <v>6.4112631303956703E-4</v>
          </cell>
          <cell r="P574">
            <v>1.069502388990127E-3</v>
          </cell>
        </row>
        <row r="575">
          <cell r="B575" t="str">
            <v>SCOM-CHPWOD</v>
          </cell>
          <cell r="C575" t="str">
            <v>VAR_fout</v>
          </cell>
          <cell r="D575" t="str">
            <v>SCOM_LTH_CHPWOD</v>
          </cell>
          <cell r="H575">
            <v>3.8561004839362243E-4</v>
          </cell>
          <cell r="I575">
            <v>4.0564816049308241E-4</v>
          </cell>
          <cell r="J575">
            <v>3.3164391135608313E-3</v>
          </cell>
          <cell r="K575">
            <v>3.0125442202922287E-3</v>
          </cell>
          <cell r="L575">
            <v>1.8260058961774837E-3</v>
          </cell>
          <cell r="M575">
            <v>9.7785447648865952E-4</v>
          </cell>
          <cell r="N575">
            <v>1.0330365199876564E-3</v>
          </cell>
          <cell r="O575">
            <v>9.4155557672374814E-4</v>
          </cell>
          <cell r="P575">
            <v>1.5706669936831571E-3</v>
          </cell>
        </row>
        <row r="576">
          <cell r="B576" t="str">
            <v>SCOM-CHPWOD</v>
          </cell>
          <cell r="C576" t="str">
            <v>VAR_fin</v>
          </cell>
          <cell r="D576" t="str">
            <v>SWOD</v>
          </cell>
          <cell r="H576">
            <v>9.2333448035322003E-4</v>
          </cell>
          <cell r="I576">
            <v>1.1168875703172639E-3</v>
          </cell>
          <cell r="J576">
            <v>6.3955122111420534E-3</v>
          </cell>
          <cell r="K576">
            <v>5.7191319690428873E-3</v>
          </cell>
          <cell r="L576">
            <v>3.5685543785976964E-3</v>
          </cell>
          <cell r="M576">
            <v>1.8854335370185218E-3</v>
          </cell>
          <cell r="N576">
            <v>2.1075325142185628E-3</v>
          </cell>
          <cell r="O576">
            <v>1.8653058177426774E-3</v>
          </cell>
          <cell r="P576">
            <v>3.3851632150407505E-3</v>
          </cell>
        </row>
        <row r="577">
          <cell r="B577" t="str">
            <v>SCOM-CHPWOD</v>
          </cell>
          <cell r="C577" t="str">
            <v>VAR_ncap</v>
          </cell>
          <cell r="D577" t="str">
            <v>-</v>
          </cell>
          <cell r="H577">
            <v>2.4527397520886201E-5</v>
          </cell>
          <cell r="I577">
            <v>1.1266059880146199E-5</v>
          </cell>
          <cell r="J577">
            <v>1.19267437047803E-4</v>
          </cell>
          <cell r="K577">
            <v>1.43276101953485E-5</v>
          </cell>
          <cell r="L577">
            <v>1.1327464529264401E-6</v>
          </cell>
          <cell r="M577">
            <v>3.02122514548111E-5</v>
          </cell>
          <cell r="N577">
            <v>4.3915949701125198E-5</v>
          </cell>
          <cell r="O577">
            <v>1.6411449599964201E-6</v>
          </cell>
          <cell r="P577">
            <v>6.7977444719073202E-5</v>
          </cell>
        </row>
        <row r="578">
          <cell r="B578" t="str">
            <v>SCOM-CHPWOD</v>
          </cell>
          <cell r="C578" t="str">
            <v>VAR_cap</v>
          </cell>
          <cell r="D578" t="str">
            <v>-</v>
          </cell>
          <cell r="H578">
            <v>2.4527397520886201E-5</v>
          </cell>
          <cell r="I578">
            <v>3.5768564490618339E-5</v>
          </cell>
          <cell r="J578">
            <v>1.5031518949846113E-4</v>
          </cell>
          <cell r="K578">
            <v>1.4481970494493782E-4</v>
          </cell>
          <cell r="L578">
            <v>1.3452649666164678E-4</v>
          </cell>
          <cell r="M578">
            <v>6.1961553772843593E-5</v>
          </cell>
          <cell r="N578">
            <v>7.5159250339171149E-5</v>
          </cell>
          <cell r="O578">
            <v>6.6199754551936985E-5</v>
          </cell>
          <cell r="P578">
            <v>1.1338242552723258E-4</v>
          </cell>
        </row>
        <row r="579">
          <cell r="B579" t="str">
            <v>ENUC_BMGL</v>
          </cell>
          <cell r="C579" t="str">
            <v>VAR_fout</v>
          </cell>
          <cell r="D579" t="str">
            <v>ELC</v>
          </cell>
          <cell r="E579">
            <v>32.820800263603736</v>
          </cell>
          <cell r="F579">
            <v>7.4111469309613915E-4</v>
          </cell>
        </row>
        <row r="580">
          <cell r="B580" t="str">
            <v>ENUC_BMGL</v>
          </cell>
          <cell r="C580" t="str">
            <v>VAR_fin</v>
          </cell>
          <cell r="D580" t="str">
            <v>URN</v>
          </cell>
          <cell r="E580">
            <v>98.945500201354236</v>
          </cell>
          <cell r="F580">
            <v>2.2342527734245756E-3</v>
          </cell>
        </row>
        <row r="581">
          <cell r="B581" t="str">
            <v>ENUC_BMGL</v>
          </cell>
          <cell r="C581" t="str">
            <v>VAR_cap</v>
          </cell>
          <cell r="D581" t="str">
            <v>-</v>
          </cell>
          <cell r="E581">
            <v>1.2330000000000001</v>
          </cell>
          <cell r="F581">
            <v>2.7569978460206812E-5</v>
          </cell>
        </row>
        <row r="582">
          <cell r="B582" t="str">
            <v>D-RSH2R</v>
          </cell>
          <cell r="C582" t="str">
            <v>VAR_fout</v>
          </cell>
          <cell r="D582" t="str">
            <v>RSH2</v>
          </cell>
          <cell r="H582">
            <v>9.8357684558534201E-5</v>
          </cell>
          <cell r="I582">
            <v>2.0796818024170627E-4</v>
          </cell>
          <cell r="J582">
            <v>4.069371922433518E-3</v>
          </cell>
          <cell r="K582">
            <v>8.6464531290292225E-4</v>
          </cell>
          <cell r="L582">
            <v>9.3900831806132767E-4</v>
          </cell>
          <cell r="M582">
            <v>0.58851488048268108</v>
          </cell>
          <cell r="N582">
            <v>0.53482013013751306</v>
          </cell>
          <cell r="O582">
            <v>8.621373240389283E-3</v>
          </cell>
          <cell r="P582">
            <v>1.7137608032591206E-3</v>
          </cell>
        </row>
        <row r="583">
          <cell r="B583" t="str">
            <v>D-RSH2R</v>
          </cell>
          <cell r="C583" t="str">
            <v>VAR_fin</v>
          </cell>
          <cell r="D583" t="str">
            <v>H2</v>
          </cell>
          <cell r="H583">
            <v>9.8357684558534201E-5</v>
          </cell>
          <cell r="I583">
            <v>2.0796818024170627E-4</v>
          </cell>
          <cell r="J583">
            <v>4.069371922433518E-3</v>
          </cell>
          <cell r="K583">
            <v>8.6464531290292225E-4</v>
          </cell>
          <cell r="L583">
            <v>9.3900831806132767E-4</v>
          </cell>
          <cell r="M583">
            <v>0.58851488048268108</v>
          </cell>
          <cell r="N583">
            <v>0.53482013013751306</v>
          </cell>
          <cell r="O583">
            <v>8.621373240389283E-3</v>
          </cell>
          <cell r="P583">
            <v>1.7137608032591206E-3</v>
          </cell>
        </row>
        <row r="584">
          <cell r="B584" t="str">
            <v>D-RSH2R</v>
          </cell>
          <cell r="C584" t="str">
            <v>VAR_ncap</v>
          </cell>
          <cell r="D584" t="str">
            <v>-</v>
          </cell>
          <cell r="H584">
            <v>1.2778036409444101E-5</v>
          </cell>
          <cell r="I584">
            <v>1.84063461212413E-5</v>
          </cell>
          <cell r="J584">
            <v>2.55052691908801E-4</v>
          </cell>
          <cell r="K584">
            <v>4.0672711813381302E-5</v>
          </cell>
          <cell r="L584">
            <v>1.99162156909005E-7</v>
          </cell>
          <cell r="M584">
            <v>2.0729754331530698E-2</v>
          </cell>
          <cell r="N584">
            <v>3.10759033010042E-3</v>
          </cell>
          <cell r="O584">
            <v>1.3254884508656999E-6</v>
          </cell>
          <cell r="P584">
            <v>1.25640741012067E-4</v>
          </cell>
        </row>
        <row r="585">
          <cell r="B585" t="str">
            <v>D-RSH2R</v>
          </cell>
          <cell r="C585" t="str">
            <v>VAR_cap</v>
          </cell>
          <cell r="D585" t="str">
            <v>-</v>
          </cell>
          <cell r="H585">
            <v>1.2778036409444101E-5</v>
          </cell>
          <cell r="I585">
            <v>2.8107202944244099E-5</v>
          </cell>
          <cell r="J585">
            <v>2.5891796823156399E-4</v>
          </cell>
          <cell r="K585">
            <v>4.0672711813381302E-5</v>
          </cell>
          <cell r="L585">
            <v>4.0871873970290299E-5</v>
          </cell>
          <cell r="M585">
            <v>2.0736064317323201E-2</v>
          </cell>
          <cell r="N585">
            <v>1.88452492553462E-2</v>
          </cell>
          <cell r="O585">
            <v>5.5174786442575797E-4</v>
          </cell>
          <cell r="P585">
            <v>1.2696622946293301E-4</v>
          </cell>
        </row>
        <row r="586">
          <cell r="B586" t="str">
            <v>ENGA-GTOC</v>
          </cell>
          <cell r="C586" t="str">
            <v>VAR_fout</v>
          </cell>
          <cell r="D586" t="str">
            <v>ELC13</v>
          </cell>
          <cell r="J586">
            <v>7.1324851322945102E-8</v>
          </cell>
          <cell r="L586">
            <v>1.4874201625863139E-3</v>
          </cell>
          <cell r="M586">
            <v>5.8406085231290077E-4</v>
          </cell>
          <cell r="N586">
            <v>4.332122922860628E-4</v>
          </cell>
          <cell r="O586">
            <v>4.4919634221318548E-4</v>
          </cell>
          <cell r="P586">
            <v>8.5832987319643965E-4</v>
          </cell>
        </row>
        <row r="587">
          <cell r="B587" t="str">
            <v>ENGA-GTOC</v>
          </cell>
          <cell r="C587" t="str">
            <v>VAR_fout</v>
          </cell>
          <cell r="D587" t="str">
            <v>CO2_E</v>
          </cell>
          <cell r="J587">
            <v>3.7048451597275701E-4</v>
          </cell>
          <cell r="K587">
            <v>6.6320122381807598E-5</v>
          </cell>
          <cell r="L587">
            <v>0.201242010924367</v>
          </cell>
          <cell r="M587">
            <v>8.2280039856714393E-2</v>
          </cell>
          <cell r="N587">
            <v>6.4385115501973303E-2</v>
          </cell>
          <cell r="O587">
            <v>6.5815677414832005E-2</v>
          </cell>
          <cell r="P587">
            <v>0.12678011373006701</v>
          </cell>
        </row>
        <row r="588">
          <cell r="B588" t="str">
            <v>ENGA-GTOC</v>
          </cell>
          <cell r="C588" t="str">
            <v>VAR_fin</v>
          </cell>
          <cell r="D588" t="str">
            <v>ENGA</v>
          </cell>
          <cell r="J588">
            <v>6.5688743966800774E-6</v>
          </cell>
          <cell r="K588">
            <v>1.1758886947129012E-6</v>
          </cell>
          <cell r="L588">
            <v>3.5681207610703362E-3</v>
          </cell>
          <cell r="M588">
            <v>1.4588659549062835E-3</v>
          </cell>
          <cell r="N588">
            <v>1.141580062091726E-3</v>
          </cell>
          <cell r="O588">
            <v>1.1669446350147526E-3</v>
          </cell>
          <cell r="P588">
            <v>2.2478743569160757E-3</v>
          </cell>
        </row>
        <row r="589">
          <cell r="B589" t="str">
            <v>ENGA-GTOC</v>
          </cell>
          <cell r="C589" t="str">
            <v>VAR_fin</v>
          </cell>
          <cell r="D589" t="str">
            <v>GTC</v>
          </cell>
          <cell r="I589">
            <v>6.3915137608970402E-5</v>
          </cell>
          <cell r="J589">
            <v>2.6635266523868345E-4</v>
          </cell>
          <cell r="K589">
            <v>3.3489185570502499E-4</v>
          </cell>
          <cell r="L589">
            <v>4.0672419918027944E-4</v>
          </cell>
          <cell r="M589">
            <v>4.0815306586550497E-4</v>
          </cell>
          <cell r="N589">
            <v>3.4258324410867477E-4</v>
          </cell>
          <cell r="O589">
            <v>3.0779498960013156E-4</v>
          </cell>
          <cell r="P589">
            <v>4.3380992631396082E-4</v>
          </cell>
        </row>
        <row r="590">
          <cell r="B590" t="str">
            <v>ENGA-GTOC</v>
          </cell>
          <cell r="C590" t="str">
            <v>VAR_ncap</v>
          </cell>
          <cell r="D590" t="str">
            <v>-</v>
          </cell>
          <cell r="I590">
            <v>2.6540860958543499E-4</v>
          </cell>
          <cell r="J590">
            <v>2.9717866767700601E-6</v>
          </cell>
          <cell r="K590">
            <v>1.3936260654706599E-4</v>
          </cell>
          <cell r="L590">
            <v>1.97718772766814E-6</v>
          </cell>
          <cell r="M590">
            <v>1.80439591130464E-6</v>
          </cell>
          <cell r="N590">
            <v>6.6975116380634198E-6</v>
          </cell>
          <cell r="O590">
            <v>3.33670949406396E-4</v>
          </cell>
        </row>
        <row r="591">
          <cell r="B591" t="str">
            <v>ENGA-GTOC</v>
          </cell>
          <cell r="C591" t="str">
            <v>VAR_cap</v>
          </cell>
          <cell r="D591" t="str">
            <v>-</v>
          </cell>
          <cell r="I591">
            <v>6.3915137608970402E-5</v>
          </cell>
          <cell r="J591">
            <v>2.6635266523868334E-4</v>
          </cell>
          <cell r="K591">
            <v>3.3489185570502531E-4</v>
          </cell>
          <cell r="L591">
            <v>4.0672419918027971E-4</v>
          </cell>
          <cell r="M591">
            <v>4.0815306586550583E-4</v>
          </cell>
          <cell r="N591">
            <v>3.4258324410867445E-4</v>
          </cell>
          <cell r="O591">
            <v>3.0779498960013173E-4</v>
          </cell>
          <cell r="P591">
            <v>4.3380992631396006E-4</v>
          </cell>
        </row>
        <row r="592">
          <cell r="B592" t="str">
            <v>D-RSH2</v>
          </cell>
          <cell r="C592" t="str">
            <v>VAR_fout</v>
          </cell>
          <cell r="D592" t="str">
            <v>RSH2</v>
          </cell>
          <cell r="H592">
            <v>9.6617004255106494E-5</v>
          </cell>
          <cell r="I592">
            <v>2.3995845255202927E-4</v>
          </cell>
          <cell r="J592">
            <v>3.8244027995727098E-2</v>
          </cell>
          <cell r="K592">
            <v>4.8623940584728242E-2</v>
          </cell>
          <cell r="L592">
            <v>1.1190951982862281</v>
          </cell>
          <cell r="M592">
            <v>0.73261401587632025</v>
          </cell>
          <cell r="N592">
            <v>0.90408632867092387</v>
          </cell>
          <cell r="O592">
            <v>4.6131168906855355E-2</v>
          </cell>
          <cell r="P592">
            <v>4.0163624306132212E-2</v>
          </cell>
        </row>
        <row r="593">
          <cell r="B593" t="str">
            <v>D-RSH2</v>
          </cell>
          <cell r="C593" t="str">
            <v>VAR_fin</v>
          </cell>
          <cell r="D593" t="str">
            <v>H2</v>
          </cell>
          <cell r="H593">
            <v>9.7353070082692689E-5</v>
          </cell>
          <cell r="I593">
            <v>2.417865491518543E-4</v>
          </cell>
          <cell r="J593">
            <v>3.8535385840383365E-2</v>
          </cell>
          <cell r="K593">
            <v>4.8994376631084025E-2</v>
          </cell>
          <cell r="L593">
            <v>1.1276208997362487</v>
          </cell>
          <cell r="M593">
            <v>0.73819535371695011</v>
          </cell>
          <cell r="N593">
            <v>0.91097400912482762</v>
          </cell>
          <cell r="O593">
            <v>4.6482614051327982E-2</v>
          </cell>
          <cell r="P593">
            <v>4.0469606380319732E-2</v>
          </cell>
        </row>
        <row r="594">
          <cell r="B594" t="str">
            <v>D-RSH2</v>
          </cell>
          <cell r="C594" t="str">
            <v>VAR_ncap</v>
          </cell>
          <cell r="D594" t="str">
            <v>-</v>
          </cell>
          <cell r="H594">
            <v>1.9145102301346899E-5</v>
          </cell>
          <cell r="I594">
            <v>1.6528753914916598E-5</v>
          </cell>
          <cell r="J594">
            <v>4.3016870106623202E-3</v>
          </cell>
          <cell r="K594">
            <v>7.7576404823709896E-4</v>
          </cell>
          <cell r="L594">
            <v>3.5923738904783099E-2</v>
          </cell>
          <cell r="M594">
            <v>9.3072706564976397E-8</v>
          </cell>
          <cell r="N594">
            <v>1.72634465376373E-7</v>
          </cell>
          <cell r="O594">
            <v>1.5299619316194001E-7</v>
          </cell>
          <cell r="P594">
            <v>8.3203283644123697E-7</v>
          </cell>
        </row>
        <row r="595">
          <cell r="B595" t="str">
            <v>D-RSH2</v>
          </cell>
          <cell r="C595" t="str">
            <v>VAR_cap</v>
          </cell>
          <cell r="D595" t="str">
            <v>-</v>
          </cell>
          <cell r="H595">
            <v>1.9145102301346899E-5</v>
          </cell>
          <cell r="I595">
            <v>3.56738562162635E-5</v>
          </cell>
          <cell r="J595">
            <v>4.3373608668785804E-3</v>
          </cell>
          <cell r="K595">
            <v>5.1131249151156804E-3</v>
          </cell>
          <cell r="L595">
            <v>4.1036863819898801E-2</v>
          </cell>
          <cell r="M595">
            <v>4.1036956892605302E-2</v>
          </cell>
          <cell r="N595">
            <v>4.1037129527070698E-2</v>
          </cell>
          <cell r="O595">
            <v>4.1031213263731298E-2</v>
          </cell>
          <cell r="P595">
            <v>4.1018969453798897E-2</v>
          </cell>
        </row>
        <row r="596">
          <cell r="B596" t="str">
            <v>D-RWOD</v>
          </cell>
          <cell r="C596" t="str">
            <v>VAR_fout</v>
          </cell>
          <cell r="D596" t="str">
            <v>RWOD</v>
          </cell>
          <cell r="E596">
            <v>13.722990789272432</v>
          </cell>
          <cell r="F596">
            <v>13.929124207407094</v>
          </cell>
          <cell r="G596">
            <v>11.844178213921053</v>
          </cell>
          <cell r="H596">
            <v>10.455570602409573</v>
          </cell>
          <cell r="I596">
            <v>9.3067317355969603</v>
          </cell>
          <cell r="J596">
            <v>7.118215414583144</v>
          </cell>
          <cell r="K596">
            <v>6.3403612056512371</v>
          </cell>
          <cell r="L596">
            <v>6.0410131320473948</v>
          </cell>
          <cell r="M596">
            <v>5.0430967137010247</v>
          </cell>
          <cell r="N596">
            <v>4.6216513320572741</v>
          </cell>
          <cell r="O596">
            <v>4.6113006923277533</v>
          </cell>
          <cell r="P596">
            <v>3.6959489313187008</v>
          </cell>
        </row>
        <row r="597">
          <cell r="B597" t="str">
            <v>D-RWOD</v>
          </cell>
          <cell r="C597" t="str">
            <v>VAR_fin</v>
          </cell>
          <cell r="D597" t="str">
            <v>WOD</v>
          </cell>
          <cell r="E597">
            <v>13.722990789272432</v>
          </cell>
          <cell r="F597">
            <v>13.929124207407094</v>
          </cell>
          <cell r="G597">
            <v>11.844178213921053</v>
          </cell>
          <cell r="H597">
            <v>10.455570602409573</v>
          </cell>
          <cell r="I597">
            <v>9.3067317355969603</v>
          </cell>
          <cell r="J597">
            <v>7.118215414583144</v>
          </cell>
          <cell r="K597">
            <v>6.3403612056512371</v>
          </cell>
          <cell r="L597">
            <v>6.0410131320473948</v>
          </cell>
          <cell r="M597">
            <v>5.0430967137010247</v>
          </cell>
          <cell r="N597">
            <v>4.6216513320572741</v>
          </cell>
          <cell r="O597">
            <v>4.6113006923277533</v>
          </cell>
          <cell r="P597">
            <v>3.6959489313187008</v>
          </cell>
        </row>
        <row r="598">
          <cell r="B598" t="str">
            <v>SCOM-CHPGFC</v>
          </cell>
          <cell r="C598" t="str">
            <v>VAR_fout</v>
          </cell>
          <cell r="D598" t="str">
            <v>CO2_S</v>
          </cell>
          <cell r="M598">
            <v>3.5524721758836003E-2</v>
          </cell>
          <cell r="N598">
            <v>5.64710421933576E-2</v>
          </cell>
          <cell r="O598">
            <v>4.5992867005612101E-2</v>
          </cell>
          <cell r="P598">
            <v>9.2844514861417302E-2</v>
          </cell>
        </row>
        <row r="599">
          <cell r="B599" t="str">
            <v>SCOM-CHPGFC</v>
          </cell>
          <cell r="C599" t="str">
            <v>VAR_fout</v>
          </cell>
          <cell r="D599" t="str">
            <v>SCOM_NKEV_GAS_ELC_CHP</v>
          </cell>
          <cell r="M599">
            <v>3.905199909659273E-4</v>
          </cell>
          <cell r="N599">
            <v>6.2078096028159039E-4</v>
          </cell>
          <cell r="O599">
            <v>5.0559534651559341E-4</v>
          </cell>
          <cell r="P599">
            <v>1.0206311917389846E-3</v>
          </cell>
        </row>
        <row r="600">
          <cell r="B600" t="str">
            <v>SCOM-CHPGFC</v>
          </cell>
          <cell r="C600" t="str">
            <v>VAR_fout</v>
          </cell>
          <cell r="D600" t="str">
            <v>SCOM_LTH_CHPNGA</v>
          </cell>
          <cell r="M600">
            <v>1.1337677157075297E-4</v>
          </cell>
          <cell r="N600">
            <v>1.8022673040433274E-4</v>
          </cell>
          <cell r="O600">
            <v>1.4678574576259163E-4</v>
          </cell>
          <cell r="P600">
            <v>2.9631228147260815E-4</v>
          </cell>
        </row>
        <row r="601">
          <cell r="B601" t="str">
            <v>SCOM-CHPGFC</v>
          </cell>
          <cell r="C601" t="str">
            <v>VAR_fin</v>
          </cell>
          <cell r="D601" t="str">
            <v>SNGA</v>
          </cell>
          <cell r="M601">
            <v>6.2987095317085077E-4</v>
          </cell>
          <cell r="N601">
            <v>1.0012596133574035E-3</v>
          </cell>
          <cell r="O601">
            <v>8.1547636534773187E-4</v>
          </cell>
          <cell r="P601">
            <v>1.646179341514491E-3</v>
          </cell>
        </row>
        <row r="602">
          <cell r="B602" t="str">
            <v>SCOM-CHPGFC</v>
          </cell>
          <cell r="C602" t="str">
            <v>VAR_ncap</v>
          </cell>
          <cell r="D602" t="str">
            <v>-</v>
          </cell>
          <cell r="M602">
            <v>4.73139089087463E-5</v>
          </cell>
          <cell r="N602">
            <v>3.5045948074455999E-5</v>
          </cell>
          <cell r="O602">
            <v>1.20871315229514E-6</v>
          </cell>
          <cell r="P602">
            <v>1.0246495706740899E-4</v>
          </cell>
        </row>
        <row r="603">
          <cell r="B603" t="str">
            <v>SCOM-CHPGFC</v>
          </cell>
          <cell r="C603" t="str">
            <v>VAR_cap</v>
          </cell>
          <cell r="D603" t="str">
            <v>-</v>
          </cell>
          <cell r="M603">
            <v>4.73139089087463E-5</v>
          </cell>
          <cell r="N603">
            <v>8.2331393276036528E-5</v>
          </cell>
          <cell r="O603">
            <v>6.8484845966265061E-5</v>
          </cell>
          <cell r="P603">
            <v>1.3860640543437519E-4</v>
          </cell>
        </row>
        <row r="604">
          <cell r="B604" t="str">
            <v>CHPOIL</v>
          </cell>
          <cell r="C604" t="str">
            <v>VAR_fout</v>
          </cell>
          <cell r="D604" t="str">
            <v>ELC35</v>
          </cell>
          <cell r="E604">
            <v>1.8005038057018266E-3</v>
          </cell>
          <cell r="F604">
            <v>8.573236888551085E-6</v>
          </cell>
          <cell r="G604">
            <v>2.6724697548067259E-4</v>
          </cell>
          <cell r="H604">
            <v>9.7855744290098253E-5</v>
          </cell>
          <cell r="I604">
            <v>3.7401942749645504E-5</v>
          </cell>
          <cell r="J604">
            <v>2.0227722179540667E-4</v>
          </cell>
          <cell r="K604">
            <v>1.7839719680855592E-4</v>
          </cell>
          <cell r="M604">
            <v>2.9169610770132554E-5</v>
          </cell>
          <cell r="N604">
            <v>2.9094041845945647E-5</v>
          </cell>
          <cell r="O604">
            <v>2.8871550978494317E-5</v>
          </cell>
          <cell r="P604">
            <v>3.065670124412339E-5</v>
          </cell>
        </row>
        <row r="605">
          <cell r="B605" t="str">
            <v>CHPOIL</v>
          </cell>
          <cell r="C605" t="str">
            <v>VAR_fout</v>
          </cell>
          <cell r="D605" t="str">
            <v>LTH</v>
          </cell>
          <cell r="E605">
            <v>9.2597338578950944E-3</v>
          </cell>
          <cell r="F605">
            <v>4.4090932569691263E-5</v>
          </cell>
          <cell r="G605">
            <v>1.374413016757742E-3</v>
          </cell>
          <cell r="H605">
            <v>5.03258113491933E-4</v>
          </cell>
          <cell r="I605">
            <v>1.9235284842674823E-4</v>
          </cell>
          <cell r="J605">
            <v>1.0402828549478051E-3</v>
          </cell>
          <cell r="K605">
            <v>9.1747129787257253E-4</v>
          </cell>
          <cell r="L605">
            <v>5.3939834334347328E-6</v>
          </cell>
          <cell r="M605">
            <v>1.5001514110353888E-4</v>
          </cell>
          <cell r="N605">
            <v>1.4962650092200608E-4</v>
          </cell>
          <cell r="O605">
            <v>1.4848226217511362E-4</v>
          </cell>
          <cell r="P605">
            <v>1.5766303496977737E-4</v>
          </cell>
        </row>
        <row r="606">
          <cell r="B606" t="str">
            <v>CHPOIL</v>
          </cell>
          <cell r="C606" t="str">
            <v>VAR_fout</v>
          </cell>
          <cell r="D606" t="str">
            <v>CO2_E</v>
          </cell>
          <cell r="E606">
            <v>1.3238816378103799</v>
          </cell>
          <cell r="F606">
            <v>2.1232360785180201E-2</v>
          </cell>
          <cell r="G606">
            <v>0.20271386061103</v>
          </cell>
          <cell r="H606">
            <v>7.2937865117965905E-2</v>
          </cell>
          <cell r="I606">
            <v>2.7325728811564101E-2</v>
          </cell>
          <cell r="J606">
            <v>0.153368943480888</v>
          </cell>
          <cell r="K606">
            <v>0.12775778073980701</v>
          </cell>
          <cell r="L606">
            <v>8.4132900430739096E-4</v>
          </cell>
          <cell r="M606">
            <v>2.3723025725802298E-2</v>
          </cell>
          <cell r="N606">
            <v>2.63756231006653E-2</v>
          </cell>
          <cell r="O606">
            <v>2.5267921840934699E-2</v>
          </cell>
          <cell r="P606">
            <v>3.1891124205089702E-2</v>
          </cell>
        </row>
        <row r="607">
          <cell r="B607" t="str">
            <v>CHPOIL</v>
          </cell>
          <cell r="C607" t="str">
            <v>VAR_fin</v>
          </cell>
          <cell r="D607" t="str">
            <v>ELFO</v>
          </cell>
          <cell r="E607">
            <v>1.7963115845459721E-2</v>
          </cell>
          <cell r="F607">
            <v>2.8809173385590533E-4</v>
          </cell>
          <cell r="G607">
            <v>2.7505272810180461E-3</v>
          </cell>
          <cell r="H607">
            <v>9.8965895682450291E-4</v>
          </cell>
          <cell r="I607">
            <v>3.7076972607278264E-4</v>
          </cell>
          <cell r="J607">
            <v>2.0809897351545146E-3</v>
          </cell>
          <cell r="K607">
            <v>1.7334841348684822E-3</v>
          </cell>
          <cell r="L607">
            <v>1.1415590289109776E-5</v>
          </cell>
          <cell r="M607">
            <v>3.2188637348442721E-4</v>
          </cell>
          <cell r="N607">
            <v>3.5787819675258255E-4</v>
          </cell>
          <cell r="O607">
            <v>3.4284832891363096E-4</v>
          </cell>
          <cell r="P607">
            <v>4.3271538948561262E-4</v>
          </cell>
        </row>
        <row r="608">
          <cell r="B608" t="str">
            <v>CHPOIL</v>
          </cell>
          <cell r="C608" t="str">
            <v>VAR_ncap</v>
          </cell>
          <cell r="D608" t="str">
            <v>-</v>
          </cell>
          <cell r="F608">
            <v>4.5196379083733899E-7</v>
          </cell>
          <cell r="G608">
            <v>4.0128685382192401E-7</v>
          </cell>
          <cell r="H608">
            <v>5.4571463311251896E-7</v>
          </cell>
          <cell r="I608">
            <v>2.5228464800673601E-6</v>
          </cell>
          <cell r="J608">
            <v>1.5232190040201201E-5</v>
          </cell>
          <cell r="K608">
            <v>3.8952131465937402E-5</v>
          </cell>
          <cell r="L608">
            <v>1.65716541284363E-5</v>
          </cell>
          <cell r="M608">
            <v>3.0029182879714901E-6</v>
          </cell>
          <cell r="N608">
            <v>1.22501331628048E-5</v>
          </cell>
          <cell r="O608">
            <v>7.9316315729247306E-6</v>
          </cell>
          <cell r="P608">
            <v>4.8081696913645103E-7</v>
          </cell>
        </row>
        <row r="609">
          <cell r="B609" t="str">
            <v>CHPOIL</v>
          </cell>
          <cell r="C609" t="str">
            <v>VAR_cap</v>
          </cell>
          <cell r="D609" t="str">
            <v>-</v>
          </cell>
          <cell r="E609">
            <v>1.22180651322705E-3</v>
          </cell>
          <cell r="F609">
            <v>2.186870621281381E-4</v>
          </cell>
          <cell r="G609">
            <v>2.0060419953112953E-4</v>
          </cell>
          <cell r="H609">
            <v>1.595346233965924E-4</v>
          </cell>
          <cell r="I609">
            <v>1.5321328693791974E-4</v>
          </cell>
          <cell r="J609">
            <v>7.5795740232131208E-5</v>
          </cell>
          <cell r="K609">
            <v>5.66279570115849E-5</v>
          </cell>
          <cell r="L609">
            <v>7.2204208023946134E-5</v>
          </cell>
          <cell r="M609">
            <v>7.0761721859343888E-5</v>
          </cell>
          <cell r="N609">
            <v>6.94854973144294E-5</v>
          </cell>
          <cell r="O609">
            <v>3.8801550900217415E-5</v>
          </cell>
          <cell r="P609">
            <v>1.9790291157496881E-5</v>
          </cell>
        </row>
        <row r="610">
          <cell r="B610" t="str">
            <v>CHPHFC</v>
          </cell>
          <cell r="C610" t="str">
            <v>VAR_fout</v>
          </cell>
          <cell r="D610" t="str">
            <v>ELC35</v>
          </cell>
          <cell r="J610">
            <v>0.27207118109220191</v>
          </cell>
          <cell r="K610">
            <v>0.76610780447809179</v>
          </cell>
          <cell r="L610">
            <v>1.131861465879255</v>
          </cell>
          <cell r="M610">
            <v>1.1326722663625644</v>
          </cell>
          <cell r="N610">
            <v>1.1330299895149512</v>
          </cell>
          <cell r="O610">
            <v>1.1330304581354413</v>
          </cell>
          <cell r="P610">
            <v>1.1331509379214393</v>
          </cell>
        </row>
        <row r="611">
          <cell r="B611" t="str">
            <v>CHPHFC</v>
          </cell>
          <cell r="C611" t="str">
            <v>VAR_fout</v>
          </cell>
          <cell r="D611" t="str">
            <v>LTH</v>
          </cell>
          <cell r="J611">
            <v>0.33037214846910129</v>
          </cell>
          <cell r="K611">
            <v>0.94851442459192192</v>
          </cell>
          <cell r="L611">
            <v>1.4283013736095338</v>
          </cell>
          <cell r="M611">
            <v>1.4293245266003773</v>
          </cell>
          <cell r="N611">
            <v>1.429775939149819</v>
          </cell>
          <cell r="O611">
            <v>1.4297765305042451</v>
          </cell>
          <cell r="P611">
            <v>1.4299285645199096</v>
          </cell>
        </row>
        <row r="612">
          <cell r="B612" t="str">
            <v>CHPHFC</v>
          </cell>
          <cell r="C612" t="str">
            <v>VAR_fin</v>
          </cell>
          <cell r="D612" t="str">
            <v>EH2</v>
          </cell>
          <cell r="J612">
            <v>0.64778852641000473</v>
          </cell>
          <cell r="K612">
            <v>1.824066201138314</v>
          </cell>
          <cell r="L612">
            <v>2.6949082520934651</v>
          </cell>
          <cell r="M612">
            <v>2.6968387294346781</v>
          </cell>
          <cell r="N612">
            <v>2.6976904512260766</v>
          </cell>
          <cell r="O612">
            <v>2.6976915669891448</v>
          </cell>
          <cell r="P612">
            <v>2.697978423622474</v>
          </cell>
        </row>
        <row r="613">
          <cell r="B613" t="str">
            <v>CHPHFC</v>
          </cell>
          <cell r="C613" t="str">
            <v>VAR_ncap</v>
          </cell>
          <cell r="D613" t="str">
            <v>-</v>
          </cell>
          <cell r="J613">
            <v>1.73594505085089E-2</v>
          </cell>
          <cell r="K613">
            <v>4.2146675248880099E-2</v>
          </cell>
          <cell r="L613">
            <v>1.2807865436736799E-2</v>
          </cell>
          <cell r="M613">
            <v>2.6380575902786102E-6</v>
          </cell>
          <cell r="N613">
            <v>2.79160486562623E-2</v>
          </cell>
          <cell r="O613">
            <v>3.6181183971273498E-2</v>
          </cell>
          <cell r="P613">
            <v>7.8599743421976804E-3</v>
          </cell>
        </row>
        <row r="614">
          <cell r="B614" t="str">
            <v>CHPHFC</v>
          </cell>
          <cell r="C614" t="str">
            <v>VAR_cap</v>
          </cell>
          <cell r="D614" t="str">
            <v>-</v>
          </cell>
          <cell r="J614">
            <v>1.73594505085089E-2</v>
          </cell>
          <cell r="K614">
            <v>5.9506101639232541E-2</v>
          </cell>
          <cell r="L614">
            <v>7.2313867145638241E-2</v>
          </cell>
          <cell r="M614">
            <v>7.0016290165959422E-2</v>
          </cell>
          <cell r="N614">
            <v>8.2872817507595467E-2</v>
          </cell>
          <cell r="O614">
            <v>7.6907347002128715E-2</v>
          </cell>
          <cell r="P614">
            <v>7.1959363332542284E-2</v>
          </cell>
        </row>
        <row r="615">
          <cell r="B615" t="str">
            <v>ITOT-ESOLPV</v>
          </cell>
          <cell r="C615" t="str">
            <v>VAR_fout</v>
          </cell>
          <cell r="D615" t="str">
            <v>ITOT_SOL_ELC</v>
          </cell>
          <cell r="E615">
            <v>3.517953999707534</v>
          </cell>
          <cell r="F615">
            <v>4.8486222317880792</v>
          </cell>
          <cell r="G615">
            <v>11.927075264761642</v>
          </cell>
          <cell r="H615">
            <v>14.11662421317634</v>
          </cell>
          <cell r="I615">
            <v>19.784680653789398</v>
          </cell>
          <cell r="J615">
            <v>20.793899372673938</v>
          </cell>
          <cell r="K615">
            <v>21.854597760987033</v>
          </cell>
          <cell r="L615">
            <v>22.969402308816292</v>
          </cell>
          <cell r="M615">
            <v>24.141072964450984</v>
          </cell>
          <cell r="N615">
            <v>25.372510578218783</v>
          </cell>
          <cell r="O615">
            <v>26.666763841702945</v>
          </cell>
          <cell r="P615">
            <v>28.027037153395895</v>
          </cell>
        </row>
        <row r="616">
          <cell r="B616" t="str">
            <v>ITOT-ESOLPV</v>
          </cell>
          <cell r="C616" t="str">
            <v>VAR_fin</v>
          </cell>
          <cell r="D616" t="str">
            <v>SOL</v>
          </cell>
          <cell r="E616">
            <v>3.517953999707534</v>
          </cell>
          <cell r="F616">
            <v>4.8486222317880792</v>
          </cell>
          <cell r="G616">
            <v>11.927075264761642</v>
          </cell>
          <cell r="H616">
            <v>14.11662421317634</v>
          </cell>
          <cell r="I616">
            <v>19.784680653789398</v>
          </cell>
          <cell r="J616">
            <v>20.793899372673938</v>
          </cell>
          <cell r="K616">
            <v>21.854597760987033</v>
          </cell>
          <cell r="L616">
            <v>22.969402308816292</v>
          </cell>
          <cell r="M616">
            <v>24.141072964450984</v>
          </cell>
          <cell r="N616">
            <v>25.372510578218783</v>
          </cell>
          <cell r="O616">
            <v>26.666763841702945</v>
          </cell>
          <cell r="P616">
            <v>28.027037153395895</v>
          </cell>
        </row>
        <row r="617">
          <cell r="B617" t="str">
            <v>ITOT-ESOLPV</v>
          </cell>
          <cell r="C617" t="str">
            <v>VAR_fin</v>
          </cell>
          <cell r="D617" t="str">
            <v>SOLPVC</v>
          </cell>
          <cell r="E617">
            <v>3.51795399970753</v>
          </cell>
          <cell r="F617">
            <v>4.8486222317880801</v>
          </cell>
          <cell r="G617">
            <v>11.9270752647616</v>
          </cell>
          <cell r="H617">
            <v>14.1166242131763</v>
          </cell>
          <cell r="I617">
            <v>19.784680653789401</v>
          </cell>
          <cell r="J617">
            <v>20.793899372673899</v>
          </cell>
          <cell r="K617">
            <v>21.854597760987001</v>
          </cell>
          <cell r="L617">
            <v>22.969402308816299</v>
          </cell>
          <cell r="M617">
            <v>24.141072964450998</v>
          </cell>
          <cell r="N617">
            <v>25.372510578218801</v>
          </cell>
          <cell r="O617">
            <v>26.666763841702998</v>
          </cell>
          <cell r="P617">
            <v>28.027037153395899</v>
          </cell>
        </row>
        <row r="618">
          <cell r="B618" t="str">
            <v>ITOT-ESOLPV</v>
          </cell>
          <cell r="C618" t="str">
            <v>VAR_ncap</v>
          </cell>
          <cell r="D618" t="str">
            <v>-</v>
          </cell>
          <cell r="G618">
            <v>1.7679643397321501</v>
          </cell>
          <cell r="H618">
            <v>8.4719309368871592E-6</v>
          </cell>
          <cell r="I618">
            <v>1.9145901601714399</v>
          </cell>
          <cell r="J618">
            <v>0.86938949276820099</v>
          </cell>
          <cell r="K618">
            <v>2.3094260348182898</v>
          </cell>
          <cell r="L618">
            <v>0.58893986559242195</v>
          </cell>
          <cell r="M618">
            <v>1.73844318123396</v>
          </cell>
          <cell r="N618">
            <v>1.6400357376042101</v>
          </cell>
          <cell r="O618">
            <v>2.62960838568622</v>
          </cell>
          <cell r="P618">
            <v>0.92545473428578695</v>
          </cell>
        </row>
        <row r="619">
          <cell r="B619" t="str">
            <v>ITOT-ESOLPV</v>
          </cell>
          <cell r="C619" t="str">
            <v>VAR_cap</v>
          </cell>
          <cell r="D619" t="str">
            <v>-</v>
          </cell>
          <cell r="E619">
            <v>1.1186210000000001</v>
          </cell>
          <cell r="F619">
            <v>1.65292701458705</v>
          </cell>
          <cell r="G619">
            <v>3.56118533973215</v>
          </cell>
          <cell r="H619">
            <v>3.4922779148589802</v>
          </cell>
          <cell r="I619">
            <v>4.8944848288940896</v>
          </cell>
          <cell r="J619">
            <v>5.1441530892085803</v>
          </cell>
          <cell r="K619">
            <v>5.4065567180811298</v>
          </cell>
          <cell r="L619">
            <v>5.68234555335036</v>
          </cell>
          <cell r="M619">
            <v>5.9722023784771698</v>
          </cell>
          <cell r="N619">
            <v>6.2768448192488799</v>
          </cell>
          <cell r="O619">
            <v>6.5970271701168102</v>
          </cell>
          <cell r="P619">
            <v>6.9335420388101703</v>
          </cell>
        </row>
        <row r="620">
          <cell r="B620" t="str">
            <v>SUP_WODBIOCCS</v>
          </cell>
          <cell r="C620" t="str">
            <v>VAR_fout</v>
          </cell>
          <cell r="D620" t="str">
            <v>ELC35</v>
          </cell>
          <cell r="J620">
            <v>5.5486747014486991E-6</v>
          </cell>
          <cell r="K620">
            <v>7.7129620677001738E-6</v>
          </cell>
          <cell r="L620">
            <v>1.5060749422617892E-5</v>
          </cell>
          <cell r="M620">
            <v>1.5967183689370695E-5</v>
          </cell>
          <cell r="N620">
            <v>1.4833143128889064E-5</v>
          </cell>
          <cell r="O620">
            <v>1.4917364005110936E-5</v>
          </cell>
          <cell r="P620">
            <v>2.4543498606895052E-5</v>
          </cell>
        </row>
        <row r="621">
          <cell r="B621" t="str">
            <v>SUP_WODBIOCCS</v>
          </cell>
          <cell r="C621" t="str">
            <v>VAR_fout</v>
          </cell>
          <cell r="D621" t="str">
            <v>CO2_O</v>
          </cell>
          <cell r="J621">
            <v>8.5416054031695991E-3</v>
          </cell>
          <cell r="K621">
            <v>1.2002030910712495E-2</v>
          </cell>
          <cell r="L621">
            <v>2.3686503336320903E-2</v>
          </cell>
          <cell r="M621">
            <v>2.5115253785085997E-2</v>
          </cell>
          <cell r="N621">
            <v>2.3323832089084423E-2</v>
          </cell>
          <cell r="O621">
            <v>2.3229506142303988E-2</v>
          </cell>
          <cell r="P621">
            <v>3.8026105386988994E-2</v>
          </cell>
        </row>
        <row r="622">
          <cell r="B622" t="str">
            <v>SUP_WODBIOCCS</v>
          </cell>
          <cell r="C622" t="str">
            <v>VAR_fout</v>
          </cell>
          <cell r="D622" t="str">
            <v>CO2</v>
          </cell>
          <cell r="J622">
            <v>-8.5416054031696009E-3</v>
          </cell>
          <cell r="K622">
            <v>-1.2002030910712501E-2</v>
          </cell>
          <cell r="L622">
            <v>-2.3686503336320899E-2</v>
          </cell>
          <cell r="M622">
            <v>-2.5115253785086E-2</v>
          </cell>
          <cell r="N622">
            <v>-2.3323832089084399E-2</v>
          </cell>
          <cell r="O622">
            <v>-2.3229506142303999E-2</v>
          </cell>
          <cell r="P622">
            <v>-3.8026105386989001E-2</v>
          </cell>
        </row>
        <row r="623">
          <cell r="B623" t="str">
            <v>SUP_WODBIOCCS</v>
          </cell>
          <cell r="C623" t="str">
            <v>VAR_fout</v>
          </cell>
          <cell r="D623" t="str">
            <v>BIO</v>
          </cell>
          <cell r="J623">
            <v>1.3354452084071095E-4</v>
          </cell>
          <cell r="K623">
            <v>1.8789898816337563E-4</v>
          </cell>
          <cell r="L623">
            <v>3.7118672557592564E-4</v>
          </cell>
          <cell r="M623">
            <v>3.9364275328636252E-4</v>
          </cell>
          <cell r="N623">
            <v>3.6549525622237309E-4</v>
          </cell>
          <cell r="O623">
            <v>3.6394512010740337E-4</v>
          </cell>
          <cell r="P623">
            <v>5.9553210783891734E-4</v>
          </cell>
        </row>
        <row r="624">
          <cell r="B624" t="str">
            <v>SUP_WODBIOCCS</v>
          </cell>
          <cell r="C624" t="str">
            <v>VAR_fout</v>
          </cell>
          <cell r="D624" t="str">
            <v>LTH</v>
          </cell>
          <cell r="J624">
            <v>1.6394118120589172E-5</v>
          </cell>
          <cell r="K624">
            <v>2.2867300064362585E-5</v>
          </cell>
          <cell r="L624">
            <v>4.4930342284096762E-5</v>
          </cell>
          <cell r="M624">
            <v>4.7576172505759318E-5</v>
          </cell>
          <cell r="N624">
            <v>4.4247523402910245E-5</v>
          </cell>
          <cell r="O624">
            <v>4.3996374064062105E-5</v>
          </cell>
          <cell r="P624">
            <v>7.2133492031796283E-5</v>
          </cell>
        </row>
        <row r="625">
          <cell r="B625" t="str">
            <v>SUP_WODBIOCCS</v>
          </cell>
          <cell r="C625" t="str">
            <v>VAR_fin</v>
          </cell>
          <cell r="D625" t="str">
            <v>CWOD</v>
          </cell>
          <cell r="J625">
            <v>1.9960558006199469E-4</v>
          </cell>
          <cell r="K625">
            <v>2.8126509805139415E-4</v>
          </cell>
          <cell r="L625">
            <v>5.5483981642116213E-4</v>
          </cell>
          <cell r="M625">
            <v>5.8856086846262149E-4</v>
          </cell>
          <cell r="N625">
            <v>5.4632450492435986E-4</v>
          </cell>
          <cell r="O625">
            <v>5.4580606537368414E-4</v>
          </cell>
          <cell r="P625">
            <v>8.9347052131083201E-4</v>
          </cell>
        </row>
        <row r="626">
          <cell r="B626" t="str">
            <v>SUP_WODBIOCCS</v>
          </cell>
          <cell r="C626" t="str">
            <v>VAR_ncap</v>
          </cell>
          <cell r="D626" t="str">
            <v>-</v>
          </cell>
          <cell r="J626">
            <v>7.7468359144707298E-6</v>
          </cell>
          <cell r="K626">
            <v>1.7941361695463201E-6</v>
          </cell>
          <cell r="L626">
            <v>8.6195647867677705E-6</v>
          </cell>
          <cell r="M626">
            <v>8.58149624041711E-8</v>
          </cell>
          <cell r="N626">
            <v>8.2726615849361603E-6</v>
          </cell>
          <cell r="O626">
            <v>3.10549639447645E-7</v>
          </cell>
          <cell r="P626">
            <v>2.2109629724867E-5</v>
          </cell>
        </row>
        <row r="627">
          <cell r="B627" t="str">
            <v>SUP_WODBIOCCS</v>
          </cell>
          <cell r="C627" t="str">
            <v>VAR_cap</v>
          </cell>
          <cell r="D627" t="str">
            <v>-</v>
          </cell>
          <cell r="J627">
            <v>7.7468359144707298E-6</v>
          </cell>
          <cell r="K627">
            <v>9.5409720840170497E-6</v>
          </cell>
          <cell r="L627">
            <v>1.81605368707848E-5</v>
          </cell>
          <cell r="M627">
            <v>1.7219931489113201E-5</v>
          </cell>
          <cell r="N627">
            <v>1.87721775036544E-5</v>
          </cell>
          <cell r="O627">
            <v>1.7288590973555799E-5</v>
          </cell>
          <cell r="P627">
            <v>3.0778655911655003E-5</v>
          </cell>
        </row>
        <row r="628">
          <cell r="B628" t="str">
            <v>RHNS-CHPNGA</v>
          </cell>
          <cell r="C628" t="str">
            <v>VAR_fout</v>
          </cell>
          <cell r="D628" t="str">
            <v>CO2_R</v>
          </cell>
          <cell r="F628">
            <v>9.1738370467670596E-2</v>
          </cell>
          <cell r="G628">
            <v>0.14142977916089799</v>
          </cell>
          <cell r="H628">
            <v>0.117999771672384</v>
          </cell>
          <cell r="I628">
            <v>0.118101591942912</v>
          </cell>
          <cell r="J628">
            <v>7.8421928046041797E-2</v>
          </cell>
          <cell r="M628">
            <v>5.6896670259134301E-2</v>
          </cell>
          <cell r="N628">
            <v>5.5466815431492102E-2</v>
          </cell>
          <cell r="O628">
            <v>4.6426313093624397E-2</v>
          </cell>
          <cell r="P628">
            <v>9.7568332851782902E-2</v>
          </cell>
        </row>
        <row r="629">
          <cell r="B629" t="str">
            <v>RHNS-CHPNGA</v>
          </cell>
          <cell r="C629" t="str">
            <v>VAR_fout</v>
          </cell>
          <cell r="D629" t="str">
            <v>RHNS_LTH_CHPNGA</v>
          </cell>
          <cell r="F629">
            <v>1.0396969225075217E-3</v>
          </cell>
          <cell r="G629">
            <v>1.209210208203654E-3</v>
          </cell>
          <cell r="H629">
            <v>1.1774688427905581E-3</v>
          </cell>
          <cell r="I629">
            <v>1.1675592442668763E-3</v>
          </cell>
          <cell r="J629">
            <v>7.1367909354547415E-4</v>
          </cell>
          <cell r="M629">
            <v>5.9362505307984973E-4</v>
          </cell>
          <cell r="N629">
            <v>5.3742893429237681E-4</v>
          </cell>
          <cell r="O629">
            <v>4.4575529461837206E-4</v>
          </cell>
          <cell r="P629">
            <v>9.4112832235437914E-4</v>
          </cell>
        </row>
        <row r="630">
          <cell r="B630" t="str">
            <v>RHNS-CHPNGA</v>
          </cell>
          <cell r="C630" t="str">
            <v>VAR_fout</v>
          </cell>
          <cell r="D630" t="str">
            <v>RHNS_NKEV_GAS_ELC_CHP</v>
          </cell>
          <cell r="F630">
            <v>4.3628489865435492E-4</v>
          </cell>
          <cell r="G630">
            <v>5.1531167835510772E-4</v>
          </cell>
          <cell r="H630">
            <v>5.1514261872086849E-4</v>
          </cell>
          <cell r="I630">
            <v>5.1532758679478257E-4</v>
          </cell>
          <cell r="J630">
            <v>3.1781022134446882E-4</v>
          </cell>
          <cell r="M630">
            <v>2.7325597681453369E-4</v>
          </cell>
          <cell r="N630">
            <v>2.4738792213458609E-4</v>
          </cell>
          <cell r="O630">
            <v>2.0518894514179019E-4</v>
          </cell>
          <cell r="P630">
            <v>4.3321779917899946E-4</v>
          </cell>
        </row>
        <row r="631">
          <cell r="B631" t="str">
            <v>RHNS-CHPNGA</v>
          </cell>
          <cell r="C631" t="str">
            <v>VAR_fin</v>
          </cell>
          <cell r="D631" t="str">
            <v>RNGA</v>
          </cell>
          <cell r="F631">
            <v>1.6265668522636658E-3</v>
          </cell>
          <cell r="G631">
            <v>2.5076201978882682E-3</v>
          </cell>
          <cell r="H631">
            <v>2.0921945331983044E-3</v>
          </cell>
          <cell r="I631">
            <v>2.0939998571438234E-3</v>
          </cell>
          <cell r="J631">
            <v>1.3904597171284017E-3</v>
          </cell>
          <cell r="M631">
            <v>1.0088062102683389E-3</v>
          </cell>
          <cell r="N631">
            <v>9.8345417431723462E-4</v>
          </cell>
          <cell r="O631">
            <v>8.2316157967419232E-4</v>
          </cell>
          <cell r="P631">
            <v>1.7299349796415422E-3</v>
          </cell>
        </row>
        <row r="632">
          <cell r="B632" t="str">
            <v>RHNS-CHPNGA</v>
          </cell>
          <cell r="C632" t="str">
            <v>VAR_ncap</v>
          </cell>
          <cell r="D632" t="str">
            <v>-</v>
          </cell>
          <cell r="F632">
            <v>4.5809583875220201E-5</v>
          </cell>
          <cell r="M632">
            <v>2.4826644938462399E-5</v>
          </cell>
          <cell r="N632">
            <v>2.6179279419966702E-6</v>
          </cell>
          <cell r="O632">
            <v>7.1426368350456698E-8</v>
          </cell>
          <cell r="P632">
            <v>2.40710845691853E-5</v>
          </cell>
        </row>
        <row r="633">
          <cell r="B633" t="str">
            <v>RHNS-CHPNGA</v>
          </cell>
          <cell r="C633" t="str">
            <v>VAR_cap</v>
          </cell>
          <cell r="D633" t="str">
            <v>-</v>
          </cell>
          <cell r="F633">
            <v>4.5809583875220201E-5</v>
          </cell>
          <cell r="G633">
            <v>4.5809583875220201E-5</v>
          </cell>
          <cell r="H633">
            <v>4.5809583875220201E-5</v>
          </cell>
          <cell r="I633">
            <v>4.5809583875220201E-5</v>
          </cell>
          <cell r="J633">
            <v>2.8161446626298801E-5</v>
          </cell>
          <cell r="M633">
            <v>2.4826644938462399E-5</v>
          </cell>
          <cell r="N633">
            <v>2.7444572880459E-5</v>
          </cell>
          <cell r="O633">
            <v>2.7498247578523692E-5</v>
          </cell>
          <cell r="P633">
            <v>5.1523745025034112E-5</v>
          </cell>
        </row>
        <row r="634">
          <cell r="B634" t="str">
            <v>ENUC_BEZ</v>
          </cell>
          <cell r="C634" t="str">
            <v>VAR_fout</v>
          </cell>
          <cell r="D634" t="str">
            <v>ELC</v>
          </cell>
          <cell r="E634">
            <v>20.224800307466396</v>
          </cell>
          <cell r="F634">
            <v>20.22479707901865</v>
          </cell>
          <cell r="G634">
            <v>12.620344651455467</v>
          </cell>
          <cell r="H634">
            <v>10.924648241370768</v>
          </cell>
        </row>
        <row r="635">
          <cell r="B635" t="str">
            <v>ENUC_BEZ</v>
          </cell>
          <cell r="C635" t="str">
            <v>VAR_fin</v>
          </cell>
          <cell r="D635" t="str">
            <v>URN</v>
          </cell>
          <cell r="E635">
            <v>60.972095952027303</v>
          </cell>
          <cell r="F635">
            <v>60.972086219163501</v>
          </cell>
          <cell r="G635">
            <v>38.04679667230748</v>
          </cell>
          <cell r="H635">
            <v>32.934747967281545</v>
          </cell>
        </row>
        <row r="636">
          <cell r="B636" t="str">
            <v>ENUC_BEZ</v>
          </cell>
          <cell r="C636" t="str">
            <v>VAR_cap</v>
          </cell>
          <cell r="D636" t="str">
            <v>-</v>
          </cell>
          <cell r="E636">
            <v>0.73</v>
          </cell>
          <cell r="F636">
            <v>0.72999991533349673</v>
          </cell>
          <cell r="G636">
            <v>0.47116307242954897</v>
          </cell>
          <cell r="H636">
            <v>0.39431757726861105</v>
          </cell>
        </row>
        <row r="637">
          <cell r="B637" t="str">
            <v>RHNM-CHPWOD</v>
          </cell>
          <cell r="C637" t="str">
            <v>VAR_fout</v>
          </cell>
          <cell r="D637" t="str">
            <v>RHNM_LTH_CHPWOD</v>
          </cell>
          <cell r="H637">
            <v>4.0809940465828413E-4</v>
          </cell>
          <cell r="I637">
            <v>6.9498866989672675E-4</v>
          </cell>
          <cell r="J637">
            <v>3.366172016111529E-3</v>
          </cell>
          <cell r="K637">
            <v>3.1740823964333284E-3</v>
          </cell>
          <cell r="L637">
            <v>1.7775251554544148E-3</v>
          </cell>
          <cell r="M637">
            <v>9.3295876842420394E-4</v>
          </cell>
          <cell r="N637">
            <v>2.5886432750375763E-3</v>
          </cell>
          <cell r="O637">
            <v>1.0749349913820603E-3</v>
          </cell>
          <cell r="P637">
            <v>1.7563656616354311E-3</v>
          </cell>
        </row>
        <row r="638">
          <cell r="B638" t="str">
            <v>RHNM-CHPWOD</v>
          </cell>
          <cell r="C638" t="str">
            <v>VAR_fout</v>
          </cell>
          <cell r="D638" t="str">
            <v>RHNM_KEV_WOD_ELC_CHP</v>
          </cell>
          <cell r="H638">
            <v>1.5341514656598435E-4</v>
          </cell>
          <cell r="I638">
            <v>2.6126425923895451E-4</v>
          </cell>
          <cell r="J638">
            <v>1.2654313319826656E-3</v>
          </cell>
          <cell r="K638">
            <v>1.1932198638443801E-3</v>
          </cell>
          <cell r="L638">
            <v>6.6821778992082572E-4</v>
          </cell>
          <cell r="M638">
            <v>3.5072338887057983E-4</v>
          </cell>
          <cell r="N638">
            <v>9.7313812006042169E-4</v>
          </cell>
          <cell r="O638">
            <v>4.0409593194547791E-4</v>
          </cell>
          <cell r="P638">
            <v>6.602633876148003E-4</v>
          </cell>
        </row>
        <row r="639">
          <cell r="B639" t="str">
            <v>RHNM-CHPWOD</v>
          </cell>
          <cell r="C639" t="str">
            <v>VAR_fin</v>
          </cell>
          <cell r="D639" t="str">
            <v>RWOD</v>
          </cell>
          <cell r="H639">
            <v>7.5961488625252409E-4</v>
          </cell>
          <cell r="I639">
            <v>1.2810044563437049E-3</v>
          </cell>
          <cell r="J639">
            <v>4.853834046139878E-3</v>
          </cell>
          <cell r="K639">
            <v>4.3919576256687557E-3</v>
          </cell>
          <cell r="L639">
            <v>2.517742929797586E-3</v>
          </cell>
          <cell r="M639">
            <v>1.2978150946910236E-3</v>
          </cell>
          <cell r="N639">
            <v>3.5781961249942524E-3</v>
          </cell>
          <cell r="O639">
            <v>1.550300013791969E-3</v>
          </cell>
          <cell r="P639">
            <v>2.7706916641810071E-3</v>
          </cell>
        </row>
        <row r="640">
          <cell r="B640" t="str">
            <v>RHNM-CHPWOD</v>
          </cell>
          <cell r="C640" t="str">
            <v>VAR_ncap</v>
          </cell>
          <cell r="D640" t="str">
            <v>-</v>
          </cell>
          <cell r="H640">
            <v>1.2358037387802301E-5</v>
          </cell>
          <cell r="I640">
            <v>1.7599738840887101E-5</v>
          </cell>
          <cell r="J640">
            <v>6.6406047168854706E-5</v>
          </cell>
          <cell r="K640">
            <v>4.76087940244846E-6</v>
          </cell>
          <cell r="L640">
            <v>1.4551874176279001E-6</v>
          </cell>
          <cell r="M640">
            <v>1.69354390326059E-5</v>
          </cell>
          <cell r="N640">
            <v>5.6585718471979699E-5</v>
          </cell>
          <cell r="O640">
            <v>2.00188040270604E-7</v>
          </cell>
          <cell r="P640">
            <v>1.2972563770272E-5</v>
          </cell>
        </row>
        <row r="641">
          <cell r="B641" t="str">
            <v>RHNM-CHPWOD</v>
          </cell>
          <cell r="C641" t="str">
            <v>VAR_cap</v>
          </cell>
          <cell r="D641" t="str">
            <v>-</v>
          </cell>
          <cell r="H641">
            <v>1.2358037387802301E-5</v>
          </cell>
          <cell r="I641">
            <v>2.9939731987781731E-5</v>
          </cell>
          <cell r="J641">
            <v>9.3952917196284903E-5</v>
          </cell>
          <cell r="K641">
            <v>8.8734230038014998E-5</v>
          </cell>
          <cell r="L641">
            <v>7.2385506261839029E-5</v>
          </cell>
          <cell r="M641">
            <v>3.2565462247778761E-5</v>
          </cell>
          <cell r="N641">
            <v>7.4927152320744853E-5</v>
          </cell>
          <cell r="O641">
            <v>5.8898903648534518E-5</v>
          </cell>
          <cell r="P641">
            <v>6.9621015782347546E-5</v>
          </cell>
        </row>
        <row r="642">
          <cell r="B642" t="str">
            <v>RHNM-SHSTG-CHPNGA</v>
          </cell>
          <cell r="C642" t="str">
            <v>VAR_fout</v>
          </cell>
          <cell r="D642" t="str">
            <v>AUX_RNM-CHPNGA_OUT</v>
          </cell>
          <cell r="E642">
            <v>4.468213844457286E-5</v>
          </cell>
          <cell r="F642">
            <v>2.4336566050557005E-5</v>
          </cell>
          <cell r="G642">
            <v>1.0255197328142506E-3</v>
          </cell>
          <cell r="H642">
            <v>1.3347529597912669E-3</v>
          </cell>
          <cell r="I642">
            <v>1.2003818316712444E-3</v>
          </cell>
          <cell r="J642">
            <v>1.3200315983511429E-3</v>
          </cell>
          <cell r="K642">
            <v>8.2142062039434802E-5</v>
          </cell>
          <cell r="L642">
            <v>1.172514369532288E-4</v>
          </cell>
          <cell r="M642">
            <v>5.3094783157578928E-4</v>
          </cell>
          <cell r="N642">
            <v>9.2339907808841853E-4</v>
          </cell>
          <cell r="O642">
            <v>1.2576005092751359E-3</v>
          </cell>
          <cell r="P642">
            <v>2.5995155166479498E-3</v>
          </cell>
        </row>
        <row r="643">
          <cell r="B643" t="str">
            <v>RHNM-SHSTG-CHPNGA</v>
          </cell>
          <cell r="C643" t="str">
            <v>VAR_fout</v>
          </cell>
          <cell r="D643" t="str">
            <v>RHNM_LTH_CHPNGA</v>
          </cell>
          <cell r="E643">
            <v>4.4682138444572758E-5</v>
          </cell>
          <cell r="F643">
            <v>2.4352790427924004E-5</v>
          </cell>
          <cell r="G643">
            <v>1.0265879825359313E-3</v>
          </cell>
          <cell r="H643">
            <v>1.3347529597912669E-3</v>
          </cell>
          <cell r="I643">
            <v>1.2014851237959405E-3</v>
          </cell>
          <cell r="J643">
            <v>1.3200315983511379E-3</v>
          </cell>
          <cell r="K643">
            <v>8.2209171567244581E-5</v>
          </cell>
          <cell r="L643">
            <v>1.1725143695322868E-4</v>
          </cell>
          <cell r="M643">
            <v>5.3094783157578906E-4</v>
          </cell>
          <cell r="N643">
            <v>9.2339907808841755E-4</v>
          </cell>
          <cell r="O643">
            <v>1.2576005092751344E-3</v>
          </cell>
          <cell r="P643">
            <v>2.5995155166479472E-3</v>
          </cell>
        </row>
        <row r="644">
          <cell r="B644" t="str">
            <v>RHNM-SHSTG-CHPNGA</v>
          </cell>
          <cell r="C644" t="str">
            <v>VAR_fin</v>
          </cell>
          <cell r="D644" t="str">
            <v>AUX_RNM-CHPNGA_IN</v>
          </cell>
          <cell r="E644">
            <v>3.5393210151917771E-5</v>
          </cell>
          <cell r="F644">
            <v>3.1924118485391388E-5</v>
          </cell>
          <cell r="G644">
            <v>1.3245878797159914E-3</v>
          </cell>
          <cell r="H644">
            <v>1.668433587222577E-3</v>
          </cell>
          <cell r="I644">
            <v>1.456340369701841E-3</v>
          </cell>
          <cell r="J644">
            <v>1.5529867064219846E-3</v>
          </cell>
          <cell r="K644">
            <v>6.7941841470887631E-5</v>
          </cell>
          <cell r="L644">
            <v>9.9907611022181288E-5</v>
          </cell>
          <cell r="M644">
            <v>5.8998641775283463E-4</v>
          </cell>
          <cell r="N644">
            <v>1.0268723083545475E-3</v>
          </cell>
          <cell r="O644">
            <v>1.3974102840322463E-3</v>
          </cell>
          <cell r="P644">
            <v>2.8893823600445482E-3</v>
          </cell>
        </row>
        <row r="645">
          <cell r="B645" t="str">
            <v>RHNM-SHSTG-CHPNGA</v>
          </cell>
          <cell r="C645" t="str">
            <v>VAR_fin</v>
          </cell>
          <cell r="D645" t="str">
            <v>RHNM_LTH_CHPNGA</v>
          </cell>
          <cell r="E645">
            <v>3.5393210151917771E-5</v>
          </cell>
          <cell r="F645">
            <v>3.1924118485391388E-5</v>
          </cell>
          <cell r="G645">
            <v>1.3245878797159914E-3</v>
          </cell>
          <cell r="H645">
            <v>1.668433587222577E-3</v>
          </cell>
          <cell r="I645">
            <v>1.456340369701841E-3</v>
          </cell>
          <cell r="J645">
            <v>1.5529867064219846E-3</v>
          </cell>
          <cell r="K645">
            <v>6.7941841470887631E-5</v>
          </cell>
          <cell r="L645">
            <v>9.9907611022181288E-5</v>
          </cell>
          <cell r="M645">
            <v>5.8998641775283463E-4</v>
          </cell>
          <cell r="N645">
            <v>1.0268723083545475E-3</v>
          </cell>
          <cell r="O645">
            <v>1.3974102840322463E-3</v>
          </cell>
          <cell r="P645">
            <v>2.8893823600445482E-3</v>
          </cell>
        </row>
        <row r="646">
          <cell r="B646" t="str">
            <v>RHNM-SHSTG-CHPNGA</v>
          </cell>
          <cell r="C646" t="str">
            <v>VAR_ncap</v>
          </cell>
          <cell r="D646" t="str">
            <v>-</v>
          </cell>
          <cell r="E646">
            <v>7.8560612192823097E-4</v>
          </cell>
          <cell r="F646">
            <v>2.2289452584605599E-5</v>
          </cell>
          <cell r="G646">
            <v>1.9673145848335399E-5</v>
          </cell>
          <cell r="H646">
            <v>1.21448113970601E-5</v>
          </cell>
          <cell r="I646">
            <v>6.5473569943842204E-4</v>
          </cell>
          <cell r="J646">
            <v>5.6900107644280798E-5</v>
          </cell>
          <cell r="K646">
            <v>1.4233516919770599E-5</v>
          </cell>
          <cell r="L646">
            <v>8.7331066185308999E-4</v>
          </cell>
          <cell r="M646">
            <v>7.8737028167555204E-5</v>
          </cell>
          <cell r="N646">
            <v>9.0482831800450098E-4</v>
          </cell>
          <cell r="O646">
            <v>3.1021338201812101E-4</v>
          </cell>
          <cell r="P646">
            <v>1.9057752237126001E-3</v>
          </cell>
        </row>
        <row r="647">
          <cell r="B647" t="str">
            <v>RHNM-SHSTG-CHPNGA</v>
          </cell>
          <cell r="C647" t="str">
            <v>VAR_cap</v>
          </cell>
          <cell r="D647" t="str">
            <v>-</v>
          </cell>
          <cell r="E647">
            <v>7.8560612192823097E-4</v>
          </cell>
          <cell r="F647">
            <v>8.0666611860185711E-4</v>
          </cell>
          <cell r="G647">
            <v>8.2236322615385161E-4</v>
          </cell>
          <cell r="H647">
            <v>8.237395648054332E-4</v>
          </cell>
          <cell r="I647">
            <v>8.83903186985496E-4</v>
          </cell>
          <cell r="J647">
            <v>7.1759152264097852E-4</v>
          </cell>
          <cell r="K647">
            <v>7.1067605132741133E-4</v>
          </cell>
          <cell r="L647">
            <v>9.3209097140211034E-4</v>
          </cell>
          <cell r="M647">
            <v>9.6034000278502846E-4</v>
          </cell>
          <cell r="N647">
            <v>1.841914070507234E-3</v>
          </cell>
          <cell r="O647">
            <v>1.4012128155334585E-3</v>
          </cell>
          <cell r="P647">
            <v>3.1072030094980137E-3</v>
          </cell>
        </row>
        <row r="648">
          <cell r="B648" t="str">
            <v>CT_CWODBDS</v>
          </cell>
          <cell r="C648" t="str">
            <v>VAR_fout</v>
          </cell>
          <cell r="D648" t="str">
            <v>BDS</v>
          </cell>
          <cell r="E648">
            <v>0.73299918551022503</v>
          </cell>
          <cell r="F648">
            <v>0.63724031184186014</v>
          </cell>
          <cell r="G648">
            <v>0.47912811361511004</v>
          </cell>
          <cell r="H648">
            <v>7.2497362116269879E-5</v>
          </cell>
          <cell r="I648">
            <v>1.625609482478874E-4</v>
          </cell>
          <cell r="J648">
            <v>9.4419131632983056E-5</v>
          </cell>
          <cell r="K648">
            <v>4.5321346973478658E-5</v>
          </cell>
          <cell r="L648">
            <v>4.4817582052164151E-5</v>
          </cell>
          <cell r="M648">
            <v>1.521108216337751E-5</v>
          </cell>
          <cell r="N648">
            <v>4.4026787930319699E-5</v>
          </cell>
          <cell r="O648">
            <v>2.5596031191702142E-5</v>
          </cell>
          <cell r="P648">
            <v>9.5984150758396958E-5</v>
          </cell>
        </row>
        <row r="649">
          <cell r="B649" t="str">
            <v>CT_CWODBDS</v>
          </cell>
          <cell r="C649" t="str">
            <v>VAR_fout</v>
          </cell>
          <cell r="D649" t="str">
            <v>LTH</v>
          </cell>
          <cell r="E649">
            <v>0.2858696823489873</v>
          </cell>
          <cell r="F649">
            <v>0.24852372161832506</v>
          </cell>
          <cell r="G649">
            <v>0.18685996430989277</v>
          </cell>
          <cell r="H649">
            <v>2.8273971225345253E-5</v>
          </cell>
          <cell r="I649">
            <v>6.3398769816675892E-5</v>
          </cell>
          <cell r="J649">
            <v>3.682346133686334E-5</v>
          </cell>
          <cell r="K649">
            <v>1.7667882091184047E-5</v>
          </cell>
          <cell r="L649">
            <v>1.7478857000343989E-5</v>
          </cell>
          <cell r="M649">
            <v>5.9323220437172145E-6</v>
          </cell>
          <cell r="N649">
            <v>1.7170447292824653E-5</v>
          </cell>
          <cell r="O649">
            <v>9.9824521647638207E-6</v>
          </cell>
          <cell r="P649">
            <v>3.7433818795774786E-5</v>
          </cell>
        </row>
        <row r="650">
          <cell r="B650" t="str">
            <v>CT_CWODBDS</v>
          </cell>
          <cell r="C650" t="str">
            <v>VAR_fin</v>
          </cell>
          <cell r="D650" t="str">
            <v>CWOD</v>
          </cell>
          <cell r="E650">
            <v>2.0886811791113837</v>
          </cell>
          <cell r="F650">
            <v>1.8158162685933801</v>
          </cell>
          <cell r="G650">
            <v>1.3652755597462549</v>
          </cell>
          <cell r="H650">
            <v>2.0658123335031119E-4</v>
          </cell>
          <cell r="I650">
            <v>4.6321742203235387E-4</v>
          </cell>
          <cell r="J650">
            <v>2.6904731558818499E-4</v>
          </cell>
          <cell r="K650">
            <v>1.2914317820092734E-4</v>
          </cell>
          <cell r="L650">
            <v>1.277077000576417E-4</v>
          </cell>
          <cell r="M650">
            <v>4.3343978624544196E-5</v>
          </cell>
          <cell r="N650">
            <v>1.2545433220744585E-4</v>
          </cell>
          <cell r="O650">
            <v>7.2935890880755253E-5</v>
          </cell>
          <cell r="P650">
            <v>2.7350683758605191E-4</v>
          </cell>
        </row>
        <row r="651">
          <cell r="B651" t="str">
            <v>CT_CWODBDS</v>
          </cell>
          <cell r="C651" t="str">
            <v>VAR_fin</v>
          </cell>
          <cell r="D651" t="str">
            <v>CELC</v>
          </cell>
          <cell r="E651">
            <v>5.0943443392960648E-2</v>
          </cell>
          <cell r="F651">
            <v>4.4288201673009266E-2</v>
          </cell>
          <cell r="G651">
            <v>3.3299403896250135E-2</v>
          </cell>
          <cell r="H651">
            <v>5.0385666670807568E-6</v>
          </cell>
          <cell r="I651">
            <v>1.129798590322816E-5</v>
          </cell>
          <cell r="J651">
            <v>6.5621296484923229E-6</v>
          </cell>
          <cell r="K651">
            <v>3.149833614656764E-6</v>
          </cell>
          <cell r="L651">
            <v>3.1148219526254066E-6</v>
          </cell>
          <cell r="M651">
            <v>1.0571702103547367E-6</v>
          </cell>
          <cell r="N651">
            <v>3.059861761157218E-6</v>
          </cell>
          <cell r="O651">
            <v>1.7789241678232975E-6</v>
          </cell>
          <cell r="P651">
            <v>6.6708984777085882E-6</v>
          </cell>
        </row>
        <row r="652">
          <cell r="B652" t="str">
            <v>CT_CWODBDS</v>
          </cell>
          <cell r="C652" t="str">
            <v>VAR_ncap</v>
          </cell>
          <cell r="D652" t="str">
            <v>-</v>
          </cell>
          <cell r="E652">
            <v>4.9857605224170597E-8</v>
          </cell>
          <cell r="F652">
            <v>2.6827817812898299E-8</v>
          </cell>
          <cell r="G652">
            <v>1.9459134945108998E-8</v>
          </cell>
          <cell r="H652">
            <v>4.34037790393916E-8</v>
          </cell>
          <cell r="I652">
            <v>8.7230933000335902E-6</v>
          </cell>
          <cell r="J652">
            <v>4.8775268599993405E-7</v>
          </cell>
          <cell r="K652">
            <v>4.0881308704602798E-7</v>
          </cell>
          <cell r="L652">
            <v>6.3617494415752697E-6</v>
          </cell>
          <cell r="M652">
            <v>7.5337793574343601E-7</v>
          </cell>
          <cell r="N652">
            <v>9.60719724652938E-6</v>
          </cell>
          <cell r="O652">
            <v>2.7977645836677897E-7</v>
          </cell>
          <cell r="P652">
            <v>2.3915123484424201E-5</v>
          </cell>
        </row>
        <row r="653">
          <cell r="B653" t="str">
            <v>CT_CWODBDS</v>
          </cell>
          <cell r="C653" t="str">
            <v>VAR_cap</v>
          </cell>
          <cell r="D653" t="str">
            <v>-</v>
          </cell>
          <cell r="E653">
            <v>3.8010159282482928E-2</v>
          </cell>
          <cell r="F653">
            <v>3.3044129481897937E-2</v>
          </cell>
          <cell r="G653">
            <v>2.4845278650058679E-2</v>
          </cell>
          <cell r="H653">
            <v>1.4041086242422285E-5</v>
          </cell>
          <cell r="I653">
            <v>1.2264263716064289E-5</v>
          </cell>
          <cell r="J653">
            <v>9.1652178581818996E-6</v>
          </cell>
          <cell r="K653">
            <v>9.5085390851376927E-6</v>
          </cell>
          <cell r="L653">
            <v>1.5747739762648376E-5</v>
          </cell>
          <cell r="M653">
            <v>1.0189157150433246E-5</v>
          </cell>
          <cell r="N653">
            <v>1.6828571267799137E-5</v>
          </cell>
          <cell r="O653">
            <v>1.6569840133213611E-5</v>
          </cell>
          <cell r="P653">
            <v>3.4136834956245589E-5</v>
          </cell>
        </row>
        <row r="654">
          <cell r="B654" t="str">
            <v>RHNS-EBAT</v>
          </cell>
          <cell r="C654" t="str">
            <v>VAR_fout</v>
          </cell>
          <cell r="D654" t="str">
            <v>RHNS_ELC</v>
          </cell>
          <cell r="E654">
            <v>3.0383432313403456E-4</v>
          </cell>
          <cell r="F654">
            <v>3.0363000603261445E-4</v>
          </cell>
          <cell r="G654">
            <v>3.0459995852088285E-4</v>
          </cell>
          <cell r="H654">
            <v>1.2063943683702191E-2</v>
          </cell>
          <cell r="I654">
            <v>1.8696039362897723E-2</v>
          </cell>
          <cell r="J654">
            <v>1.2580006533914233E-2</v>
          </cell>
          <cell r="K654">
            <v>1.7716659041522677E-2</v>
          </cell>
          <cell r="L654">
            <v>2.3260869852674768E-2</v>
          </cell>
          <cell r="M654">
            <v>1.4986057350388623E-2</v>
          </cell>
          <cell r="N654">
            <v>2.4920728173004721E-2</v>
          </cell>
          <cell r="O654">
            <v>2.3607049630839479E-2</v>
          </cell>
          <cell r="P654">
            <v>3.8328664542937985E-2</v>
          </cell>
        </row>
        <row r="655">
          <cell r="B655" t="str">
            <v>RHNS-EBAT</v>
          </cell>
          <cell r="C655" t="str">
            <v>VAR_fout</v>
          </cell>
          <cell r="D655" t="str">
            <v>AUX_RHNS-EBAT_OUT</v>
          </cell>
          <cell r="E655">
            <v>3.0383432313403483E-4</v>
          </cell>
          <cell r="F655">
            <v>3.0363000603261483E-4</v>
          </cell>
          <cell r="G655">
            <v>3.0459995852088329E-4</v>
          </cell>
          <cell r="H655">
            <v>1.20639436837022E-2</v>
          </cell>
          <cell r="I655">
            <v>1.8696039362897741E-2</v>
          </cell>
          <cell r="J655">
            <v>1.2580006533914246E-2</v>
          </cell>
          <cell r="K655">
            <v>1.7716659041522694E-2</v>
          </cell>
          <cell r="L655">
            <v>2.3260869852674792E-2</v>
          </cell>
          <cell r="M655">
            <v>1.4986057350388635E-2</v>
          </cell>
          <cell r="N655">
            <v>2.4920728173004746E-2</v>
          </cell>
          <cell r="O655">
            <v>2.3607049630839511E-2</v>
          </cell>
          <cell r="P655">
            <v>3.8328664542938012E-2</v>
          </cell>
        </row>
        <row r="656">
          <cell r="B656" t="str">
            <v>RHNS-EBAT</v>
          </cell>
          <cell r="C656" t="str">
            <v>VAR_fin</v>
          </cell>
          <cell r="D656" t="str">
            <v>RHNS_ELC</v>
          </cell>
          <cell r="E656">
            <v>3.3616761920284786E-4</v>
          </cell>
          <cell r="F656">
            <v>3.3598496845404363E-4</v>
          </cell>
          <cell r="G656">
            <v>3.3697094557207921E-4</v>
          </cell>
          <cell r="H656">
            <v>1.3341184976215026E-2</v>
          </cell>
          <cell r="I656">
            <v>2.0675385891980865E-2</v>
          </cell>
          <cell r="J656">
            <v>1.3911816067494542E-2</v>
          </cell>
          <cell r="K656">
            <v>1.9592283141381207E-2</v>
          </cell>
          <cell r="L656">
            <v>2.5723641862869896E-2</v>
          </cell>
          <cell r="M656">
            <v>1.6572685480231178E-2</v>
          </cell>
          <cell r="N656">
            <v>2.755921438706321E-2</v>
          </cell>
          <cell r="O656">
            <v>2.6106409920167644E-2</v>
          </cell>
          <cell r="P656">
            <v>4.2386721129263144E-2</v>
          </cell>
        </row>
        <row r="657">
          <cell r="B657" t="str">
            <v>RHNS-EBAT</v>
          </cell>
          <cell r="C657" t="str">
            <v>VAR_fin</v>
          </cell>
          <cell r="D657" t="str">
            <v>AUX_RHNS-EBAT_IN</v>
          </cell>
          <cell r="E657">
            <v>3.3616761920284786E-4</v>
          </cell>
          <cell r="F657">
            <v>3.3598496845404363E-4</v>
          </cell>
          <cell r="G657">
            <v>3.3697094557207921E-4</v>
          </cell>
          <cell r="H657">
            <v>1.3341184976215026E-2</v>
          </cell>
          <cell r="I657">
            <v>2.0675385891980865E-2</v>
          </cell>
          <cell r="J657">
            <v>1.3911816067494542E-2</v>
          </cell>
          <cell r="K657">
            <v>1.9592283141381207E-2</v>
          </cell>
          <cell r="L657">
            <v>2.5723641862869896E-2</v>
          </cell>
          <cell r="M657">
            <v>1.6572685480231178E-2</v>
          </cell>
          <cell r="N657">
            <v>2.755921438706321E-2</v>
          </cell>
          <cell r="O657">
            <v>2.6106409920167644E-2</v>
          </cell>
          <cell r="P657">
            <v>4.2386721129263144E-2</v>
          </cell>
        </row>
        <row r="658">
          <cell r="B658" t="str">
            <v>RHNS-EBAT</v>
          </cell>
          <cell r="C658" t="str">
            <v>VAR_ncap</v>
          </cell>
          <cell r="D658" t="str">
            <v>-</v>
          </cell>
          <cell r="E658">
            <v>1.21616327610685E-4</v>
          </cell>
          <cell r="F658">
            <v>1.96137680754887E-7</v>
          </cell>
          <cell r="G658">
            <v>5.3296959592304404E-7</v>
          </cell>
          <cell r="H658">
            <v>9.1578719990077807E-3</v>
          </cell>
          <cell r="I658">
            <v>3.0845877162370802E-4</v>
          </cell>
          <cell r="J658">
            <v>3.71837284250533E-3</v>
          </cell>
          <cell r="K658">
            <v>4.7735836635032199E-3</v>
          </cell>
          <cell r="L658">
            <v>3.5133414419881901E-3</v>
          </cell>
          <cell r="M658">
            <v>4.8030235590555898E-4</v>
          </cell>
          <cell r="N658">
            <v>7.9337579501461298E-3</v>
          </cell>
          <cell r="O658">
            <v>1.65597073574926E-3</v>
          </cell>
          <cell r="P658">
            <v>8.6937989928881406E-3</v>
          </cell>
        </row>
        <row r="659">
          <cell r="B659" t="str">
            <v>RHNS-EBAT</v>
          </cell>
          <cell r="C659" t="str">
            <v>VAR_cap</v>
          </cell>
          <cell r="D659" t="str">
            <v>-</v>
          </cell>
          <cell r="E659">
            <v>1.2436293314485703E-4</v>
          </cell>
          <cell r="F659">
            <v>1.2449829956074078E-4</v>
          </cell>
          <cell r="G659">
            <v>1.2489889410345371E-4</v>
          </cell>
          <cell r="H659">
            <v>9.2473716485935529E-3</v>
          </cell>
          <cell r="I659">
            <v>9.4664994656664739E-3</v>
          </cell>
          <cell r="J659">
            <v>5.9498461071104498E-3</v>
          </cell>
          <cell r="K659">
            <v>8.651767808356246E-3</v>
          </cell>
          <cell r="L659">
            <v>9.5568475148421327E-3</v>
          </cell>
          <cell r="M659">
            <v>6.1406814156925492E-3</v>
          </cell>
          <cell r="N659">
            <v>1.0213793894109586E-2</v>
          </cell>
          <cell r="O659">
            <v>9.6745785104905262E-3</v>
          </cell>
          <cell r="P659">
            <v>1.5703514635747134E-2</v>
          </cell>
        </row>
        <row r="660">
          <cell r="B660" t="str">
            <v>G-INTC-EXP00-AT</v>
          </cell>
          <cell r="C660" t="str">
            <v>VAR_fout</v>
          </cell>
          <cell r="D660" t="str">
            <v>ELC_E-AT</v>
          </cell>
          <cell r="E660">
            <v>6.2295558451421345</v>
          </cell>
          <cell r="F660">
            <v>2.0519914161151048E-4</v>
          </cell>
          <cell r="G660">
            <v>2.6071990110102775E-4</v>
          </cell>
          <cell r="H660">
            <v>6.3647829407663056E-5</v>
          </cell>
          <cell r="I660">
            <v>9.1788279589441466E-5</v>
          </cell>
          <cell r="J660">
            <v>8.1870850254757497E-5</v>
          </cell>
          <cell r="K660">
            <v>6.0749924700399514E-5</v>
          </cell>
          <cell r="L660">
            <v>4.5518026758206721E-5</v>
          </cell>
          <cell r="M660">
            <v>3.5322829640633792E-5</v>
          </cell>
          <cell r="N660">
            <v>4.3327703513302593E-5</v>
          </cell>
          <cell r="O660">
            <v>4.3998107230245789E-5</v>
          </cell>
          <cell r="P660">
            <v>7.2918725987861403E-5</v>
          </cell>
        </row>
        <row r="661">
          <cell r="B661" t="str">
            <v>G-INTC-EXP00-AT</v>
          </cell>
          <cell r="C661" t="str">
            <v>VAR_fin</v>
          </cell>
          <cell r="D661" t="str">
            <v>ELC</v>
          </cell>
          <cell r="E661">
            <v>6.2295558451421345</v>
          </cell>
          <cell r="F661">
            <v>2.0519914161151048E-4</v>
          </cell>
          <cell r="G661">
            <v>2.6071990110102775E-4</v>
          </cell>
          <cell r="H661">
            <v>6.3647829407663056E-5</v>
          </cell>
          <cell r="I661">
            <v>9.1788279589441466E-5</v>
          </cell>
          <cell r="J661">
            <v>8.1870850254757497E-5</v>
          </cell>
          <cell r="K661">
            <v>6.0749924700399514E-5</v>
          </cell>
          <cell r="L661">
            <v>4.5518026758206721E-5</v>
          </cell>
          <cell r="M661">
            <v>3.5322829640633792E-5</v>
          </cell>
          <cell r="N661">
            <v>4.3327703513302593E-5</v>
          </cell>
          <cell r="O661">
            <v>4.3998107230245789E-5</v>
          </cell>
          <cell r="P661">
            <v>7.2918725987861403E-5</v>
          </cell>
        </row>
        <row r="662">
          <cell r="B662" t="str">
            <v>G-INTC-EXP00-AT</v>
          </cell>
          <cell r="C662" t="str">
            <v>VAR_ncap</v>
          </cell>
          <cell r="D662" t="str">
            <v>-</v>
          </cell>
          <cell r="E662">
            <v>1.13350765716007E-7</v>
          </cell>
          <cell r="F662">
            <v>1.2057728681016299E-7</v>
          </cell>
          <cell r="G662">
            <v>1.66542321872367E-7</v>
          </cell>
          <cell r="H662">
            <v>1.9229088879669E-7</v>
          </cell>
          <cell r="I662">
            <v>2.5356747996315002E-7</v>
          </cell>
          <cell r="J662">
            <v>3.65700495461532E-7</v>
          </cell>
          <cell r="K662">
            <v>4.08615927344698E-7</v>
          </cell>
          <cell r="L662">
            <v>1.25956358689917E-6</v>
          </cell>
          <cell r="M662">
            <v>1.34503146995096E-6</v>
          </cell>
          <cell r="N662">
            <v>8.8787456223107905E-5</v>
          </cell>
        </row>
        <row r="663">
          <cell r="B663" t="str">
            <v>G-INTC-EXP00-AT</v>
          </cell>
          <cell r="C663" t="str">
            <v>VAR_cap</v>
          </cell>
          <cell r="D663" t="str">
            <v>-</v>
          </cell>
          <cell r="E663">
            <v>0.23204363747109391</v>
          </cell>
          <cell r="F663">
            <v>1.5096135350001205E-4</v>
          </cell>
          <cell r="G663">
            <v>1.5036895217002133E-4</v>
          </cell>
          <cell r="H663">
            <v>1.4978153394173965E-4</v>
          </cell>
          <cell r="I663">
            <v>1.4890716496762657E-4</v>
          </cell>
          <cell r="J663">
            <v>1.4775509552311661E-4</v>
          </cell>
          <cell r="K663">
            <v>1.4699094239500887E-4</v>
          </cell>
          <cell r="L663">
            <v>1.4638630330843228E-4</v>
          </cell>
          <cell r="M663">
            <v>1.4663630331224198E-4</v>
          </cell>
          <cell r="N663">
            <v>1.4879895970443258E-4</v>
          </cell>
          <cell r="O663">
            <v>1.5054288648275183E-4</v>
          </cell>
          <cell r="P663">
            <v>2.4080554042593683E-4</v>
          </cell>
        </row>
        <row r="664">
          <cell r="B664" t="str">
            <v>G-INTC-IMP00-DE</v>
          </cell>
          <cell r="C664" t="str">
            <v>VAR_fout</v>
          </cell>
          <cell r="D664" t="str">
            <v>ELC</v>
          </cell>
          <cell r="E664">
            <v>46.398476152656279</v>
          </cell>
          <cell r="F664">
            <v>28.972105734668109</v>
          </cell>
          <cell r="G664">
            <v>24.164600370514663</v>
          </cell>
          <cell r="H664">
            <v>30.422841637497008</v>
          </cell>
          <cell r="I664">
            <v>18.003801302807137</v>
          </cell>
          <cell r="J664">
            <v>24.968605146534248</v>
          </cell>
          <cell r="K664">
            <v>26.953594241557919</v>
          </cell>
          <cell r="L664">
            <v>19.212576585678704</v>
          </cell>
          <cell r="M664">
            <v>19.369678575891893</v>
          </cell>
          <cell r="N664">
            <v>10.699339285130758</v>
          </cell>
          <cell r="O664">
            <v>8.3573300910963031</v>
          </cell>
          <cell r="P664">
            <v>8.1650901101249396</v>
          </cell>
        </row>
        <row r="665">
          <cell r="B665" t="str">
            <v>G-INTC-IMP00-DE</v>
          </cell>
          <cell r="C665" t="str">
            <v>VAR_fin</v>
          </cell>
          <cell r="D665" t="str">
            <v>ELC_I-DE</v>
          </cell>
          <cell r="E665">
            <v>46.398476152656279</v>
          </cell>
          <cell r="F665">
            <v>28.972105734668109</v>
          </cell>
          <cell r="G665">
            <v>24.164600370514663</v>
          </cell>
          <cell r="H665">
            <v>30.422841637497008</v>
          </cell>
          <cell r="I665">
            <v>18.003801302807137</v>
          </cell>
          <cell r="J665">
            <v>24.968605146534248</v>
          </cell>
          <cell r="K665">
            <v>26.953594241557919</v>
          </cell>
          <cell r="L665">
            <v>19.212576585678704</v>
          </cell>
          <cell r="M665">
            <v>19.369678575891893</v>
          </cell>
          <cell r="N665">
            <v>10.699339285130758</v>
          </cell>
          <cell r="O665">
            <v>8.3573300910963031</v>
          </cell>
          <cell r="P665">
            <v>8.1650901101249396</v>
          </cell>
        </row>
        <row r="666">
          <cell r="B666" t="str">
            <v>G-INTC-IMP00-DE</v>
          </cell>
          <cell r="C666" t="str">
            <v>VAR_ncap</v>
          </cell>
          <cell r="D666" t="str">
            <v>-</v>
          </cell>
          <cell r="E666">
            <v>7.2196545311640898E-7</v>
          </cell>
          <cell r="F666">
            <v>6.9755636887441298E-7</v>
          </cell>
          <cell r="G666">
            <v>7.3808628961425696E-7</v>
          </cell>
          <cell r="H666">
            <v>9.3447129369173396E-7</v>
          </cell>
          <cell r="I666">
            <v>1.14839283256776E-6</v>
          </cell>
          <cell r="J666">
            <v>1.09026539545218E-6</v>
          </cell>
          <cell r="K666">
            <v>9.8406750607908694E-7</v>
          </cell>
          <cell r="L666">
            <v>0.30656408151488801</v>
          </cell>
          <cell r="M666">
            <v>0.32730074845839602</v>
          </cell>
          <cell r="N666">
            <v>5.10157423109703E-6</v>
          </cell>
        </row>
        <row r="667">
          <cell r="B667" t="str">
            <v>G-INTC-IMP00-DE</v>
          </cell>
          <cell r="C667" t="str">
            <v>VAR_cap</v>
          </cell>
          <cell r="D667" t="str">
            <v>-</v>
          </cell>
          <cell r="E667">
            <v>2.1168016925507001</v>
          </cell>
          <cell r="F667">
            <v>2.11679135703924</v>
          </cell>
          <cell r="G667">
            <v>2.11679055154982</v>
          </cell>
          <cell r="H667">
            <v>2.1167907394203107</v>
          </cell>
          <cell r="I667">
            <v>2.1167911846395637</v>
          </cell>
          <cell r="J667">
            <v>2.1167911084208653</v>
          </cell>
          <cell r="K667">
            <v>2.1167915984779153</v>
          </cell>
          <cell r="L667">
            <v>1.7520386504596037</v>
          </cell>
          <cell r="M667">
            <v>1.6801560322394544</v>
          </cell>
          <cell r="N667">
            <v>0.82110734166140609</v>
          </cell>
          <cell r="O667">
            <v>0.6338661023113189</v>
          </cell>
          <cell r="P667">
            <v>0.63387026476717523</v>
          </cell>
        </row>
        <row r="668">
          <cell r="B668" t="str">
            <v>RHEM-SHSTG-CHPWOD</v>
          </cell>
          <cell r="C668" t="str">
            <v>VAR_fout</v>
          </cell>
          <cell r="D668" t="str">
            <v>AUX_REM-CHPWOD_OUT</v>
          </cell>
          <cell r="E668">
            <v>3.8825483130558666E-5</v>
          </cell>
          <cell r="F668">
            <v>2.6522499100809527E-5</v>
          </cell>
          <cell r="G668">
            <v>4.2137798250605447E-5</v>
          </cell>
          <cell r="H668">
            <v>2.4371604396281627E-4</v>
          </cell>
          <cell r="I668">
            <v>2.846617959559366E-4</v>
          </cell>
          <cell r="J668">
            <v>6.1540640505690254E-3</v>
          </cell>
          <cell r="K668">
            <v>1.2309320069442561E-2</v>
          </cell>
          <cell r="L668">
            <v>1.0075321774711179E-2</v>
          </cell>
          <cell r="M668">
            <v>9.5297877353901911E-3</v>
          </cell>
          <cell r="N668">
            <v>8.8270873117904658E-3</v>
          </cell>
          <cell r="O668">
            <v>9.8900788848199726E-3</v>
          </cell>
          <cell r="P668">
            <v>1.0668136846287132E-2</v>
          </cell>
        </row>
        <row r="669">
          <cell r="B669" t="str">
            <v>RHEM-SHSTG-CHPWOD</v>
          </cell>
          <cell r="C669" t="str">
            <v>VAR_fout</v>
          </cell>
          <cell r="D669" t="str">
            <v>RHEM_LTH_CHPWOD</v>
          </cell>
          <cell r="E669">
            <v>3.8825483130558531E-5</v>
          </cell>
          <cell r="F669">
            <v>2.6540180766876674E-5</v>
          </cell>
          <cell r="G669">
            <v>4.2181691790449769E-5</v>
          </cell>
          <cell r="H669">
            <v>2.4371604396281627E-4</v>
          </cell>
          <cell r="I669">
            <v>2.8492343363604241E-4</v>
          </cell>
          <cell r="J669">
            <v>6.1540640505690046E-3</v>
          </cell>
          <cell r="K669">
            <v>1.2319376703486195E-2</v>
          </cell>
          <cell r="L669">
            <v>1.007532177471117E-2</v>
          </cell>
          <cell r="M669">
            <v>9.5297877353901789E-3</v>
          </cell>
          <cell r="N669">
            <v>8.8270873117904589E-3</v>
          </cell>
          <cell r="O669">
            <v>9.8900788848199622E-3</v>
          </cell>
          <cell r="P669">
            <v>1.0668136846287124E-2</v>
          </cell>
        </row>
        <row r="670">
          <cell r="B670" t="str">
            <v>RHEM-SHSTG-CHPWOD</v>
          </cell>
          <cell r="C670" t="str">
            <v>VAR_fin</v>
          </cell>
          <cell r="D670" t="str">
            <v>AUX_REM-CHPWOD_IN</v>
          </cell>
          <cell r="E670">
            <v>3.0775145527762817E-5</v>
          </cell>
          <cell r="F670">
            <v>1.295847920976566E-5</v>
          </cell>
          <cell r="G670">
            <v>3.3465619425221801E-5</v>
          </cell>
          <cell r="H670">
            <v>3.0463854884363702E-4</v>
          </cell>
          <cell r="I670">
            <v>3.4537460033530395E-4</v>
          </cell>
          <cell r="J670">
            <v>7.2401309945852848E-3</v>
          </cell>
          <cell r="K670">
            <v>1.4079670267330148E-2</v>
          </cell>
          <cell r="L670">
            <v>1.1195608280195977E-2</v>
          </cell>
          <cell r="M670">
            <v>1.0588697070848649E-2</v>
          </cell>
          <cell r="N670">
            <v>9.8087044877602989E-3</v>
          </cell>
          <cell r="O670">
            <v>1.0989228444679514E-2</v>
          </cell>
          <cell r="P670">
            <v>1.1854545889281311E-2</v>
          </cell>
        </row>
        <row r="671">
          <cell r="B671" t="str">
            <v>RHEM-SHSTG-CHPWOD</v>
          </cell>
          <cell r="C671" t="str">
            <v>VAR_fin</v>
          </cell>
          <cell r="D671" t="str">
            <v>RHEM_LTH_CHPWOD</v>
          </cell>
          <cell r="E671">
            <v>3.0775145527762817E-5</v>
          </cell>
          <cell r="F671">
            <v>1.295847920976566E-5</v>
          </cell>
          <cell r="G671">
            <v>3.3465619425221801E-5</v>
          </cell>
          <cell r="H671">
            <v>3.0463854884363702E-4</v>
          </cell>
          <cell r="I671">
            <v>3.4537460033530395E-4</v>
          </cell>
          <cell r="J671">
            <v>7.2401309945852848E-3</v>
          </cell>
          <cell r="K671">
            <v>1.4079670267330148E-2</v>
          </cell>
          <cell r="L671">
            <v>1.1195608280195977E-2</v>
          </cell>
          <cell r="M671">
            <v>1.0588697070848649E-2</v>
          </cell>
          <cell r="N671">
            <v>9.8087044877602989E-3</v>
          </cell>
          <cell r="O671">
            <v>1.0989228444679514E-2</v>
          </cell>
          <cell r="P671">
            <v>1.1854545889281311E-2</v>
          </cell>
        </row>
        <row r="672">
          <cell r="B672" t="str">
            <v>RHEM-SHSTG-CHPWOD</v>
          </cell>
          <cell r="C672" t="str">
            <v>VAR_ncap</v>
          </cell>
          <cell r="D672" t="str">
            <v>-</v>
          </cell>
          <cell r="E672">
            <v>5.6818042984115903E-4</v>
          </cell>
          <cell r="F672">
            <v>1.30552947358396E-5</v>
          </cell>
          <cell r="G672">
            <v>1.8446984942787201E-5</v>
          </cell>
          <cell r="H672">
            <v>1.42160617278559E-5</v>
          </cell>
          <cell r="I672">
            <v>9.39051445414938E-4</v>
          </cell>
          <cell r="J672">
            <v>1.39529073931007E-3</v>
          </cell>
          <cell r="K672">
            <v>2.9768379944028599E-3</v>
          </cell>
          <cell r="L672">
            <v>2.5942289592751299E-4</v>
          </cell>
          <cell r="M672">
            <v>7.0133155824588997E-4</v>
          </cell>
          <cell r="N672">
            <v>2.96899120671566E-3</v>
          </cell>
          <cell r="O672">
            <v>3.9398672623019998E-4</v>
          </cell>
          <cell r="P672">
            <v>1.5683297660754299E-3</v>
          </cell>
        </row>
        <row r="673">
          <cell r="B673" t="str">
            <v>RHEM-SHSTG-CHPWOD</v>
          </cell>
          <cell r="C673" t="str">
            <v>VAR_cap</v>
          </cell>
          <cell r="D673" t="str">
            <v>-</v>
          </cell>
          <cell r="E673">
            <v>5.6818042984115903E-4</v>
          </cell>
          <cell r="F673">
            <v>5.7977081838245248E-4</v>
          </cell>
          <cell r="G673">
            <v>5.9436097631085805E-4</v>
          </cell>
          <cell r="H673">
            <v>6.0220498860659964E-4</v>
          </cell>
          <cell r="I673">
            <v>1.1062865460309194E-3</v>
          </cell>
          <cell r="J673">
            <v>2.340553235098766E-3</v>
          </cell>
          <cell r="K673">
            <v>5.3035183087727644E-3</v>
          </cell>
          <cell r="L673">
            <v>4.6093300030968032E-3</v>
          </cell>
          <cell r="M673">
            <v>3.7352977391528156E-3</v>
          </cell>
          <cell r="N673">
            <v>3.9162166516325189E-3</v>
          </cell>
          <cell r="O673">
            <v>3.8688225719516194E-3</v>
          </cell>
          <cell r="P673">
            <v>4.9176901669602154E-3</v>
          </cell>
        </row>
        <row r="674">
          <cell r="B674" t="str">
            <v>RHNM-CHPGFC</v>
          </cell>
          <cell r="C674" t="str">
            <v>VAR_fout</v>
          </cell>
          <cell r="D674" t="str">
            <v>CO2_R</v>
          </cell>
          <cell r="M674">
            <v>4.5364086687291298E-2</v>
          </cell>
          <cell r="N674">
            <v>0.103503042150419</v>
          </cell>
          <cell r="O674">
            <v>5.9420030360104299E-2</v>
          </cell>
          <cell r="P674">
            <v>0.11395069205352799</v>
          </cell>
        </row>
        <row r="675">
          <cell r="B675" t="str">
            <v>RHNM-CHPGFC</v>
          </cell>
          <cell r="C675" t="str">
            <v>VAR_fout</v>
          </cell>
          <cell r="D675" t="str">
            <v>RHNM_NKEV_GAS_ELC_CHP</v>
          </cell>
          <cell r="M675">
            <v>3.619475001645581E-4</v>
          </cell>
          <cell r="N675">
            <v>8.258221448171686E-4</v>
          </cell>
          <cell r="O675">
            <v>4.7409598691572591E-4</v>
          </cell>
          <cell r="P675">
            <v>9.0918105361857628E-4</v>
          </cell>
        </row>
        <row r="676">
          <cell r="B676" t="str">
            <v>RHNM-CHPGFC</v>
          </cell>
          <cell r="C676" t="str">
            <v>VAR_fout</v>
          </cell>
          <cell r="D676" t="str">
            <v>RHNM_LTH_CHPNGA</v>
          </cell>
          <cell r="M676">
            <v>3.619475001645581E-4</v>
          </cell>
          <cell r="N676">
            <v>8.258221448171686E-4</v>
          </cell>
          <cell r="O676">
            <v>4.7409598691572591E-4</v>
          </cell>
          <cell r="P676">
            <v>9.0918105361857628E-4</v>
          </cell>
        </row>
        <row r="677">
          <cell r="B677" t="str">
            <v>RHNM-CHPGFC</v>
          </cell>
          <cell r="C677" t="str">
            <v>VAR_fin</v>
          </cell>
          <cell r="D677" t="str">
            <v>RNGA</v>
          </cell>
          <cell r="M677">
            <v>8.0432777814346305E-4</v>
          </cell>
          <cell r="N677">
            <v>1.8351603218159311E-3</v>
          </cell>
          <cell r="O677">
            <v>1.0535466375905019E-3</v>
          </cell>
          <cell r="P677">
            <v>2.0204023413746175E-3</v>
          </cell>
        </row>
        <row r="678">
          <cell r="B678" t="str">
            <v>RHNM-CHPGFC</v>
          </cell>
          <cell r="C678" t="str">
            <v>VAR_ncap</v>
          </cell>
          <cell r="D678" t="str">
            <v>-</v>
          </cell>
          <cell r="M678">
            <v>3.8642437178227701E-5</v>
          </cell>
          <cell r="N678">
            <v>3.8055410424802103E-5</v>
          </cell>
          <cell r="O678">
            <v>1.8005801863358101E-7</v>
          </cell>
          <cell r="P678">
            <v>3.7649174065984301E-5</v>
          </cell>
        </row>
        <row r="679">
          <cell r="B679" t="str">
            <v>RHNM-CHPGFC</v>
          </cell>
          <cell r="C679" t="str">
            <v>VAR_cap</v>
          </cell>
          <cell r="D679" t="str">
            <v>-</v>
          </cell>
          <cell r="M679">
            <v>3.8642437178227701E-5</v>
          </cell>
          <cell r="N679">
            <v>7.6670363901078334E-5</v>
          </cell>
          <cell r="O679">
            <v>7.6695724380427247E-5</v>
          </cell>
          <cell r="P679">
            <v>1.1412532106442896E-4</v>
          </cell>
        </row>
        <row r="680">
          <cell r="B680" t="str">
            <v>G-INTC-EXP00-FR</v>
          </cell>
          <cell r="C680" t="str">
            <v>VAR_fout</v>
          </cell>
          <cell r="D680" t="str">
            <v>ELC_E-FR</v>
          </cell>
          <cell r="E680">
            <v>12.753359179197034</v>
          </cell>
          <cell r="F680">
            <v>1.5159532494162366E-4</v>
          </cell>
          <cell r="G680">
            <v>1.5355024423198451E-4</v>
          </cell>
          <cell r="H680">
            <v>1.273592339024224E-4</v>
          </cell>
          <cell r="I680">
            <v>1.9381731450682232E-4</v>
          </cell>
          <cell r="J680">
            <v>1.1471106852145036E-4</v>
          </cell>
          <cell r="K680">
            <v>8.9432392406706501E-5</v>
          </cell>
          <cell r="L680">
            <v>1.0917385612089776E-4</v>
          </cell>
          <cell r="M680">
            <v>9.9930652973143167E-5</v>
          </cell>
          <cell r="N680">
            <v>1.2426651670034713E-4</v>
          </cell>
          <cell r="O680">
            <v>1.2421888947993447E-4</v>
          </cell>
          <cell r="P680">
            <v>2.4595303283381535E-4</v>
          </cell>
        </row>
        <row r="681">
          <cell r="B681" t="str">
            <v>G-INTC-EXP00-FR</v>
          </cell>
          <cell r="C681" t="str">
            <v>VAR_fin</v>
          </cell>
          <cell r="D681" t="str">
            <v>ELC</v>
          </cell>
          <cell r="E681">
            <v>12.753359179197034</v>
          </cell>
          <cell r="F681">
            <v>1.5159532494162366E-4</v>
          </cell>
          <cell r="G681">
            <v>1.5355024423198451E-4</v>
          </cell>
          <cell r="H681">
            <v>1.273592339024224E-4</v>
          </cell>
          <cell r="I681">
            <v>1.9381731450682232E-4</v>
          </cell>
          <cell r="J681">
            <v>1.1471106852145036E-4</v>
          </cell>
          <cell r="K681">
            <v>8.9432392406706501E-5</v>
          </cell>
          <cell r="L681">
            <v>1.0917385612089776E-4</v>
          </cell>
          <cell r="M681">
            <v>9.9930652973143167E-5</v>
          </cell>
          <cell r="N681">
            <v>1.2426651670034713E-4</v>
          </cell>
          <cell r="O681">
            <v>1.2421888947993447E-4</v>
          </cell>
          <cell r="P681">
            <v>2.4595303283381535E-4</v>
          </cell>
        </row>
        <row r="682">
          <cell r="B682" t="str">
            <v>G-INTC-EXP00-FR</v>
          </cell>
          <cell r="C682" t="str">
            <v>VAR_ncap</v>
          </cell>
          <cell r="D682" t="str">
            <v>-</v>
          </cell>
          <cell r="E682">
            <v>6.7516275273202101E-7</v>
          </cell>
          <cell r="F682">
            <v>5.8186210873102E-7</v>
          </cell>
          <cell r="G682">
            <v>6.9942241276639098E-7</v>
          </cell>
          <cell r="H682">
            <v>8.0165212672387602E-7</v>
          </cell>
          <cell r="I682">
            <v>8.5369148272204105E-7</v>
          </cell>
          <cell r="J682">
            <v>1.1981847079618899E-6</v>
          </cell>
          <cell r="K682">
            <v>9.1342998882642395E-7</v>
          </cell>
          <cell r="L682">
            <v>4.1739986639010204E-6</v>
          </cell>
          <cell r="M682">
            <v>2.2087360810099201E-6</v>
          </cell>
          <cell r="N682">
            <v>1.06077103613563E-4</v>
          </cell>
        </row>
        <row r="683">
          <cell r="B683" t="str">
            <v>G-INTC-EXP00-FR</v>
          </cell>
          <cell r="C683" t="str">
            <v>VAR_cap</v>
          </cell>
          <cell r="D683" t="str">
            <v>-</v>
          </cell>
          <cell r="E683">
            <v>1.2999986106472468</v>
          </cell>
          <cell r="F683">
            <v>1.2364783220997211E-4</v>
          </cell>
          <cell r="G683">
            <v>1.2203146507006046E-4</v>
          </cell>
          <cell r="H683">
            <v>1.2169115818894127E-4</v>
          </cell>
          <cell r="I683">
            <v>1.2235432768670229E-4</v>
          </cell>
          <cell r="J683">
            <v>1.2210730410089354E-4</v>
          </cell>
          <cell r="K683">
            <v>1.2234991278603502E-4</v>
          </cell>
          <cell r="L683">
            <v>1.2266900226154398E-4</v>
          </cell>
          <cell r="M683">
            <v>1.2278254918784981E-4</v>
          </cell>
          <cell r="N683">
            <v>1.2684600832590931E-4</v>
          </cell>
          <cell r="O683">
            <v>1.2752353352540879E-4</v>
          </cell>
          <cell r="P683">
            <v>2.3279158712896653E-4</v>
          </cell>
        </row>
        <row r="684">
          <cell r="B684" t="str">
            <v>RHNM-EBAT</v>
          </cell>
          <cell r="C684" t="str">
            <v>VAR_fout</v>
          </cell>
          <cell r="D684" t="str">
            <v>RHNM_ELC</v>
          </cell>
          <cell r="E684">
            <v>3.0371596898147858E-4</v>
          </cell>
          <cell r="F684">
            <v>3.0350971048342923E-4</v>
          </cell>
          <cell r="G684">
            <v>3.0444025732264974E-4</v>
          </cell>
          <cell r="H684">
            <v>1.9671113714938925E-2</v>
          </cell>
          <cell r="I684">
            <v>3.8915514285469167E-2</v>
          </cell>
          <cell r="J684">
            <v>3.0452717167325713E-2</v>
          </cell>
          <cell r="K684">
            <v>2.115009375385081E-2</v>
          </cell>
          <cell r="L684">
            <v>6.235890202413609E-2</v>
          </cell>
          <cell r="M684">
            <v>5.6388971592227215E-2</v>
          </cell>
          <cell r="N684">
            <v>5.5453867235697722E-2</v>
          </cell>
          <cell r="O684">
            <v>6.054638117682825E-2</v>
          </cell>
          <cell r="P684">
            <v>9.2300310950890779E-2</v>
          </cell>
        </row>
        <row r="685">
          <cell r="B685" t="str">
            <v>RHNM-EBAT</v>
          </cell>
          <cell r="C685" t="str">
            <v>VAR_fout</v>
          </cell>
          <cell r="D685" t="str">
            <v>AUX_RHNM-EBAT_OUT</v>
          </cell>
          <cell r="E685">
            <v>3.037159689814788E-4</v>
          </cell>
          <cell r="F685">
            <v>3.0350971048342951E-4</v>
          </cell>
          <cell r="G685">
            <v>3.0444025732265006E-4</v>
          </cell>
          <cell r="H685">
            <v>1.9671113714938949E-2</v>
          </cell>
          <cell r="I685">
            <v>3.8915514285469195E-2</v>
          </cell>
          <cell r="J685">
            <v>3.0452717167325737E-2</v>
          </cell>
          <cell r="K685">
            <v>2.1150093753850838E-2</v>
          </cell>
          <cell r="L685">
            <v>6.2358902024136111E-2</v>
          </cell>
          <cell r="M685">
            <v>5.6388971592227249E-2</v>
          </cell>
          <cell r="N685">
            <v>5.5453867235697792E-2</v>
          </cell>
          <cell r="O685">
            <v>6.0546381176828319E-2</v>
          </cell>
          <cell r="P685">
            <v>9.2300310950890863E-2</v>
          </cell>
        </row>
        <row r="686">
          <cell r="B686" t="str">
            <v>RHNM-EBAT</v>
          </cell>
          <cell r="C686" t="str">
            <v>VAR_fin</v>
          </cell>
          <cell r="D686" t="str">
            <v>RHNM_ELC</v>
          </cell>
          <cell r="E686">
            <v>3.3603673551202754E-4</v>
          </cell>
          <cell r="F686">
            <v>3.3585193784104036E-4</v>
          </cell>
          <cell r="G686">
            <v>3.3679433763901702E-4</v>
          </cell>
          <cell r="H686">
            <v>2.1753686468405677E-2</v>
          </cell>
          <cell r="I686">
            <v>4.3035391408766124E-2</v>
          </cell>
          <cell r="J686">
            <v>3.36766176265604E-2</v>
          </cell>
          <cell r="K686">
            <v>2.3389197643143688E-2</v>
          </cell>
          <cell r="L686">
            <v>6.8960779248308818E-2</v>
          </cell>
          <cell r="M686">
            <v>6.2358710911783091E-2</v>
          </cell>
          <cell r="N686">
            <v>6.1324737998914011E-2</v>
          </cell>
          <cell r="O686">
            <v>6.6956316626375953E-2</v>
          </cell>
          <cell r="P686">
            <v>0.10207206489350411</v>
          </cell>
        </row>
        <row r="687">
          <cell r="B687" t="str">
            <v>RHNM-EBAT</v>
          </cell>
          <cell r="C687" t="str">
            <v>VAR_fin</v>
          </cell>
          <cell r="D687" t="str">
            <v>AUX_RHNM-EBAT_IN</v>
          </cell>
          <cell r="E687">
            <v>3.3603673551202754E-4</v>
          </cell>
          <cell r="F687">
            <v>3.3585193784104036E-4</v>
          </cell>
          <cell r="G687">
            <v>3.3679433763901702E-4</v>
          </cell>
          <cell r="H687">
            <v>2.1753686468405677E-2</v>
          </cell>
          <cell r="I687">
            <v>4.3035391408766124E-2</v>
          </cell>
          <cell r="J687">
            <v>3.36766176265604E-2</v>
          </cell>
          <cell r="K687">
            <v>2.3389197643143688E-2</v>
          </cell>
          <cell r="L687">
            <v>6.8960779248308818E-2</v>
          </cell>
          <cell r="M687">
            <v>6.2358710911783091E-2</v>
          </cell>
          <cell r="N687">
            <v>6.1324737998914011E-2</v>
          </cell>
          <cell r="O687">
            <v>6.6956316626375953E-2</v>
          </cell>
          <cell r="P687">
            <v>0.10207206489350411</v>
          </cell>
        </row>
        <row r="688">
          <cell r="B688" t="str">
            <v>RHNM-EBAT</v>
          </cell>
          <cell r="C688" t="str">
            <v>VAR_ncap</v>
          </cell>
          <cell r="D688" t="str">
            <v>-</v>
          </cell>
          <cell r="E688">
            <v>1.21567521729098E-4</v>
          </cell>
          <cell r="F688">
            <v>1.9596918642315801E-7</v>
          </cell>
          <cell r="G688">
            <v>5.3177458697975397E-7</v>
          </cell>
          <cell r="H688">
            <v>1.6488385006508701E-2</v>
          </cell>
          <cell r="I688">
            <v>1.7966289332268499E-3</v>
          </cell>
          <cell r="J688">
            <v>8.2936223122312708E-3</v>
          </cell>
          <cell r="K688">
            <v>1.0713202650110901E-3</v>
          </cell>
          <cell r="L688">
            <v>2.1732668241895899E-2</v>
          </cell>
          <cell r="M688">
            <v>8.8466724820574004E-4</v>
          </cell>
          <cell r="N688">
            <v>1.0700675333704401E-2</v>
          </cell>
          <cell r="O688">
            <v>1.3945960115025399E-2</v>
          </cell>
          <cell r="P688">
            <v>1.6642082930544099E-2</v>
          </cell>
        </row>
        <row r="689">
          <cell r="B689" t="str">
            <v>RHNM-EBAT</v>
          </cell>
          <cell r="C689" t="str">
            <v>VAR_cap</v>
          </cell>
          <cell r="D689" t="str">
            <v>-</v>
          </cell>
          <cell r="E689">
            <v>1.2431409871537582E-4</v>
          </cell>
          <cell r="F689">
            <v>1.2444885528622047E-4</v>
          </cell>
          <cell r="G689">
            <v>1.2485136868390308E-4</v>
          </cell>
          <cell r="H689">
            <v>1.6577848830037906E-2</v>
          </cell>
          <cell r="I689">
            <v>1.8285182138568109E-2</v>
          </cell>
          <cell r="J689">
            <v>1.3552651014081388E-2</v>
          </cell>
          <cell r="K689">
            <v>1.0296386250032721E-2</v>
          </cell>
          <cell r="L689">
            <v>2.5636803233688485E-2</v>
          </cell>
          <cell r="M689">
            <v>2.3099054935047245E-2</v>
          </cell>
          <cell r="N689">
            <v>2.2719635236691352E-2</v>
          </cell>
          <cell r="O689">
            <v>2.4803107850401671E-2</v>
          </cell>
          <cell r="P689">
            <v>3.7809077509829099E-2</v>
          </cell>
        </row>
        <row r="690">
          <cell r="B690" t="str">
            <v>ITOT-CHPWST</v>
          </cell>
          <cell r="C690" t="str">
            <v>VAR_fout</v>
          </cell>
          <cell r="D690" t="str">
            <v>ITOT_LTH_CHP</v>
          </cell>
          <cell r="E690">
            <v>1.9347901992156566</v>
          </cell>
          <cell r="F690">
            <v>1.8587657774038655</v>
          </cell>
          <cell r="G690">
            <v>2.5502857889282793</v>
          </cell>
          <cell r="H690">
            <v>2.2433294776403399</v>
          </cell>
          <cell r="I690">
            <v>1.9426644674626261</v>
          </cell>
          <cell r="J690">
            <v>0.99673697091059399</v>
          </cell>
          <cell r="K690">
            <v>2.6742476831929978E-4</v>
          </cell>
          <cell r="L690">
            <v>1.1888279044736397E-4</v>
          </cell>
          <cell r="M690">
            <v>1.5269697142314629E-4</v>
          </cell>
          <cell r="N690">
            <v>8.3706285950084264E-5</v>
          </cell>
          <cell r="O690">
            <v>1.4425784037649616E-4</v>
          </cell>
          <cell r="P690">
            <v>6.155688869962602E-5</v>
          </cell>
        </row>
        <row r="691">
          <cell r="B691" t="str">
            <v>ITOT-CHPWST</v>
          </cell>
          <cell r="C691" t="str">
            <v>VAR_fout</v>
          </cell>
          <cell r="D691" t="str">
            <v>ITOT_KEV_WST_ELC_CHP</v>
          </cell>
          <cell r="E691">
            <v>0.2300412681563673</v>
          </cell>
          <cell r="F691">
            <v>0.23015738910177216</v>
          </cell>
          <cell r="G691">
            <v>0.3367057779011039</v>
          </cell>
          <cell r="H691">
            <v>0.33294536777593942</v>
          </cell>
          <cell r="I691">
            <v>0.32918511329001515</v>
          </cell>
          <cell r="J691">
            <v>0.19678762278669815</v>
          </cell>
          <cell r="K691">
            <v>6.324127176100072E-5</v>
          </cell>
          <cell r="L691">
            <v>3.5045437475376407E-5</v>
          </cell>
          <cell r="M691">
            <v>4.5013514105378797E-5</v>
          </cell>
          <cell r="N691">
            <v>2.467576172733334E-5</v>
          </cell>
          <cell r="O691">
            <v>4.2525744106635084E-5</v>
          </cell>
          <cell r="P691">
            <v>1.8146344697861053E-5</v>
          </cell>
        </row>
        <row r="692">
          <cell r="B692" t="str">
            <v>ITOT-CHPWST</v>
          </cell>
          <cell r="C692" t="str">
            <v>VAR_fout</v>
          </cell>
          <cell r="D692" t="str">
            <v>CO2_I</v>
          </cell>
          <cell r="E692">
            <v>344.47002825605898</v>
          </cell>
          <cell r="F692">
            <v>344.645152050126</v>
          </cell>
          <cell r="G692">
            <v>504.194929588533</v>
          </cell>
          <cell r="H692">
            <v>498.563960823755</v>
          </cell>
          <cell r="I692">
            <v>492.93322511858298</v>
          </cell>
          <cell r="J692">
            <v>294.67662311389398</v>
          </cell>
          <cell r="K692">
            <v>9.4699677449528202E-2</v>
          </cell>
          <cell r="L692">
            <v>5.24782556166489E-2</v>
          </cell>
          <cell r="M692">
            <v>6.7404799871179893E-2</v>
          </cell>
          <cell r="N692">
            <v>3.6950342890493801E-2</v>
          </cell>
          <cell r="O692">
            <v>6.3679526645493104E-2</v>
          </cell>
          <cell r="P692">
            <v>2.71729669869657E-2</v>
          </cell>
        </row>
        <row r="693">
          <cell r="B693" t="str">
            <v>ITOT-CHPWST</v>
          </cell>
          <cell r="C693" t="str">
            <v>VAR_fin</v>
          </cell>
          <cell r="D693" t="str">
            <v>IWST</v>
          </cell>
          <cell r="E693">
            <v>3.7119615113799473</v>
          </cell>
          <cell r="F693">
            <v>3.7138486212298081</v>
          </cell>
          <cell r="G693">
            <v>5.433135017117813</v>
          </cell>
          <cell r="H693">
            <v>5.3724564743939132</v>
          </cell>
          <cell r="I693">
            <v>5.3117804430881739</v>
          </cell>
          <cell r="J693">
            <v>3.1753946456238569</v>
          </cell>
          <cell r="K693">
            <v>1.0204706621716405E-3</v>
          </cell>
          <cell r="L693">
            <v>5.6549844414492342E-4</v>
          </cell>
          <cell r="M693">
            <v>7.2634482619806035E-4</v>
          </cell>
          <cell r="N693">
            <v>3.9817179838894204E-4</v>
          </cell>
          <cell r="O693">
            <v>6.8620179574884854E-4</v>
          </cell>
          <cell r="P693">
            <v>2.9281214425609545E-4</v>
          </cell>
        </row>
        <row r="694">
          <cell r="B694" t="str">
            <v>ITOT-CHPWST</v>
          </cell>
          <cell r="C694" t="str">
            <v>VAR_ncap</v>
          </cell>
          <cell r="D694" t="str">
            <v>-</v>
          </cell>
          <cell r="F694">
            <v>1.0059813250272E-7</v>
          </cell>
          <cell r="G694">
            <v>4.1739892549338699E-7</v>
          </cell>
          <cell r="H694">
            <v>1.54982145841861E-3</v>
          </cell>
          <cell r="I694">
            <v>5.0005830856344E-3</v>
          </cell>
          <cell r="J694">
            <v>4.66625444854061E-8</v>
          </cell>
          <cell r="K694">
            <v>4.83607900549406E-8</v>
          </cell>
          <cell r="L694">
            <v>6.3853584928799999E-8</v>
          </cell>
          <cell r="M694">
            <v>5.0200536891295102E-8</v>
          </cell>
          <cell r="N694">
            <v>1.79197648486061E-7</v>
          </cell>
          <cell r="O694">
            <v>1.10784791007806E-5</v>
          </cell>
          <cell r="P694">
            <v>4.5472178750610397E-6</v>
          </cell>
        </row>
        <row r="695">
          <cell r="B695" t="str">
            <v>ITOT-CHPWST</v>
          </cell>
          <cell r="C695" t="str">
            <v>VAR_cap</v>
          </cell>
          <cell r="D695" t="str">
            <v>-</v>
          </cell>
          <cell r="E695">
            <v>4.8839575424723412E-2</v>
          </cell>
          <cell r="F695">
            <v>1.3699023313783705E-2</v>
          </cell>
          <cell r="G695">
            <v>1.3699288270466695E-2</v>
          </cell>
          <cell r="H695">
            <v>1.3545741072964697E-2</v>
          </cell>
          <cell r="I695">
            <v>1.3392719247466624E-2</v>
          </cell>
          <cell r="J695">
            <v>1.2588213303545637E-2</v>
          </cell>
          <cell r="K695">
            <v>2.4075361834189485E-5</v>
          </cell>
          <cell r="L695">
            <v>2.2724725893300338E-5</v>
          </cell>
          <cell r="M695">
            <v>2.1214761060700006E-5</v>
          </cell>
          <cell r="N695">
            <v>2.1085284032280015E-5</v>
          </cell>
          <cell r="O695">
            <v>1.4981510670774938E-5</v>
          </cell>
          <cell r="P695">
            <v>1.5823994589061552E-5</v>
          </cell>
        </row>
        <row r="696">
          <cell r="B696" t="str">
            <v>CAES-EBAT</v>
          </cell>
          <cell r="C696" t="str">
            <v>VAR_fout</v>
          </cell>
          <cell r="D696" t="str">
            <v>ELC13</v>
          </cell>
          <cell r="E696">
            <v>9.4508217838747174E-2</v>
          </cell>
          <cell r="F696">
            <v>7.2899756046386661E-3</v>
          </cell>
          <cell r="G696">
            <v>8.1130065720600608E-2</v>
          </cell>
          <cell r="H696">
            <v>4.4301428067518932E-2</v>
          </cell>
          <cell r="I696">
            <v>3.4340610071854988E-2</v>
          </cell>
          <cell r="J696">
            <v>2.4005100947742643E-2</v>
          </cell>
          <cell r="K696">
            <v>2.7802789759560995E-2</v>
          </cell>
          <cell r="L696">
            <v>9.4480333081112339E-2</v>
          </cell>
          <cell r="M696">
            <v>9.4498044153493888E-2</v>
          </cell>
          <cell r="N696">
            <v>9.4495897155678604E-2</v>
          </cell>
          <cell r="O696">
            <v>9.4495799488665225E-2</v>
          </cell>
          <cell r="P696">
            <v>9.4496025685118903E-2</v>
          </cell>
        </row>
        <row r="697">
          <cell r="B697" t="str">
            <v>CAES-EBAT</v>
          </cell>
          <cell r="C697" t="str">
            <v>VAR_fout</v>
          </cell>
          <cell r="D697" t="str">
            <v>AUX_CAES_OUT</v>
          </cell>
          <cell r="E697">
            <v>9.4508217838747105E-2</v>
          </cell>
          <cell r="F697">
            <v>7.2899756046386644E-3</v>
          </cell>
          <cell r="G697">
            <v>8.1130065720600567E-2</v>
          </cell>
          <cell r="H697">
            <v>4.4301428067518918E-2</v>
          </cell>
          <cell r="I697">
            <v>3.4340610071854967E-2</v>
          </cell>
          <cell r="J697">
            <v>2.4005100947742643E-2</v>
          </cell>
          <cell r="K697">
            <v>2.7802789759560957E-2</v>
          </cell>
          <cell r="L697">
            <v>9.4480333081112269E-2</v>
          </cell>
          <cell r="M697">
            <v>9.4498044153493818E-2</v>
          </cell>
          <cell r="N697">
            <v>9.4495897155678479E-2</v>
          </cell>
          <cell r="O697">
            <v>9.4495799488665128E-2</v>
          </cell>
          <cell r="P697">
            <v>9.4496025685118806E-2</v>
          </cell>
        </row>
        <row r="698">
          <cell r="B698" t="str">
            <v>CAES-EBAT</v>
          </cell>
          <cell r="C698" t="str">
            <v>VAR_fin</v>
          </cell>
          <cell r="D698" t="str">
            <v>ELC13</v>
          </cell>
          <cell r="E698">
            <v>0.13501509851530649</v>
          </cell>
          <cell r="F698">
            <v>1.0414441760463848E-2</v>
          </cell>
          <cell r="G698">
            <v>0.11590025617913205</v>
          </cell>
          <cell r="H698">
            <v>6.3287936448446977E-2</v>
          </cell>
          <cell r="I698">
            <v>4.9058317491779788E-2</v>
          </cell>
          <cell r="J698">
            <v>3.4293145258473066E-2</v>
          </cell>
          <cell r="K698">
            <v>3.9718459077678139E-2</v>
          </cell>
          <cell r="L698">
            <v>0.13497225632258714</v>
          </cell>
          <cell r="M698">
            <v>0.13499753872522838</v>
          </cell>
          <cell r="N698">
            <v>0.13499449501990091</v>
          </cell>
          <cell r="O698">
            <v>0.13499429929965964</v>
          </cell>
          <cell r="P698">
            <v>0.13499470008484316</v>
          </cell>
        </row>
        <row r="699">
          <cell r="B699" t="str">
            <v>CAES-EBAT</v>
          </cell>
          <cell r="C699" t="str">
            <v>VAR_fin</v>
          </cell>
          <cell r="D699" t="str">
            <v>AUX_CAES_IN</v>
          </cell>
          <cell r="E699">
            <v>0.13501509851530649</v>
          </cell>
          <cell r="F699">
            <v>1.0414441760463848E-2</v>
          </cell>
          <cell r="G699">
            <v>0.11590025617913205</v>
          </cell>
          <cell r="H699">
            <v>6.3287936448446977E-2</v>
          </cell>
          <cell r="I699">
            <v>4.9058317491779788E-2</v>
          </cell>
          <cell r="J699">
            <v>3.4293145258473066E-2</v>
          </cell>
          <cell r="K699">
            <v>3.9718459077678139E-2</v>
          </cell>
          <cell r="L699">
            <v>0.13497225632258714</v>
          </cell>
          <cell r="M699">
            <v>0.13499753872522838</v>
          </cell>
          <cell r="N699">
            <v>0.13499449501990091</v>
          </cell>
          <cell r="O699">
            <v>0.13499429929965964</v>
          </cell>
          <cell r="P699">
            <v>0.13499470008484316</v>
          </cell>
        </row>
        <row r="700">
          <cell r="B700" t="str">
            <v>CAES-EBAT</v>
          </cell>
          <cell r="C700" t="str">
            <v>VAR_ncap</v>
          </cell>
          <cell r="D700" t="str">
            <v>-</v>
          </cell>
          <cell r="F700">
            <v>2.0767258709946199E-7</v>
          </cell>
          <cell r="G700">
            <v>2.25092241920424E-7</v>
          </cell>
          <cell r="H700">
            <v>2.45521687724288E-7</v>
          </cell>
          <cell r="I700">
            <v>3.8216637114506303E-7</v>
          </cell>
          <cell r="J700">
            <v>3.5250391479183501E-7</v>
          </cell>
          <cell r="K700">
            <v>3.3131303478190502E-7</v>
          </cell>
          <cell r="L700">
            <v>2.97681843570699E-7</v>
          </cell>
          <cell r="M700">
            <v>2.85525155029684E-7</v>
          </cell>
          <cell r="N700">
            <v>3.4633231209497698E-7</v>
          </cell>
          <cell r="O700">
            <v>4.28342949235848E-7</v>
          </cell>
          <cell r="P700">
            <v>5.3235640052469901E-7</v>
          </cell>
        </row>
        <row r="701">
          <cell r="B701" t="str">
            <v>CAES-EBAT</v>
          </cell>
          <cell r="C701" t="str">
            <v>VAR_cap</v>
          </cell>
          <cell r="D701" t="str">
            <v>-</v>
          </cell>
          <cell r="E701">
            <v>0.1</v>
          </cell>
          <cell r="F701">
            <v>9.999916877210166E-2</v>
          </cell>
          <cell r="G701">
            <v>9.9999156481179449E-2</v>
          </cell>
          <cell r="H701">
            <v>9.9999184900558077E-2</v>
          </cell>
          <cell r="I701">
            <v>9.999938769915738E-2</v>
          </cell>
          <cell r="J701">
            <v>9.9999485925967982E-2</v>
          </cell>
          <cell r="K701">
            <v>9.9999496944732508E-2</v>
          </cell>
          <cell r="L701">
            <v>9.9999353675764568E-2</v>
          </cell>
          <cell r="M701">
            <v>9.9999250618451205E-2</v>
          </cell>
          <cell r="N701">
            <v>9.9999102695985359E-2</v>
          </cell>
          <cell r="O701">
            <v>9.9999061590249724E-2</v>
          </cell>
          <cell r="P701">
            <v>9.9999111542086044E-2</v>
          </cell>
        </row>
        <row r="702">
          <cell r="B702" t="str">
            <v>HPLSOL</v>
          </cell>
          <cell r="C702" t="str">
            <v>VAR_fout</v>
          </cell>
          <cell r="D702" t="str">
            <v>LTH</v>
          </cell>
          <cell r="H702">
            <v>1.4555472365237275E-5</v>
          </cell>
          <cell r="I702">
            <v>2.1940043421209092E-5</v>
          </cell>
          <cell r="J702">
            <v>2.2226851875610692E-5</v>
          </cell>
          <cell r="K702">
            <v>2.2901331037541532E-5</v>
          </cell>
          <cell r="L702">
            <v>2.5250430095370821E-5</v>
          </cell>
          <cell r="M702">
            <v>2.5780845736088154E-5</v>
          </cell>
          <cell r="N702">
            <v>3.1477027392311066E-5</v>
          </cell>
          <cell r="O702">
            <v>3.2654261967319557E-5</v>
          </cell>
          <cell r="P702">
            <v>6.15663676882221E-5</v>
          </cell>
        </row>
        <row r="703">
          <cell r="B703" t="str">
            <v>HPLSOL</v>
          </cell>
          <cell r="C703" t="str">
            <v>VAR_fin</v>
          </cell>
          <cell r="D703" t="str">
            <v>SOL</v>
          </cell>
          <cell r="H703">
            <v>1.4555472365237275E-5</v>
          </cell>
          <cell r="I703">
            <v>2.1940043421209092E-5</v>
          </cell>
          <cell r="J703">
            <v>2.2226851875610692E-5</v>
          </cell>
          <cell r="K703">
            <v>2.2901331037541532E-5</v>
          </cell>
          <cell r="L703">
            <v>2.5250430095370821E-5</v>
          </cell>
          <cell r="M703">
            <v>2.5780845736088154E-5</v>
          </cell>
          <cell r="N703">
            <v>3.1477027392311066E-5</v>
          </cell>
          <cell r="O703">
            <v>3.2654261967319557E-5</v>
          </cell>
          <cell r="P703">
            <v>6.15663676882221E-5</v>
          </cell>
        </row>
        <row r="704">
          <cell r="B704" t="str">
            <v>HPLSOL</v>
          </cell>
          <cell r="C704" t="str">
            <v>VAR_fin</v>
          </cell>
          <cell r="D704" t="str">
            <v>SOLPVC</v>
          </cell>
          <cell r="H704">
            <v>1.45554723652373E-5</v>
          </cell>
          <cell r="I704">
            <v>2.1940043421209099E-5</v>
          </cell>
          <cell r="J704">
            <v>2.2226851875610699E-5</v>
          </cell>
          <cell r="K704">
            <v>2.2901331037541502E-5</v>
          </cell>
          <cell r="L704">
            <v>2.5250430095370801E-5</v>
          </cell>
          <cell r="M704">
            <v>2.57808457360881E-5</v>
          </cell>
          <cell r="N704">
            <v>3.1477027392310998E-5</v>
          </cell>
          <cell r="O704">
            <v>3.2654261967319598E-5</v>
          </cell>
          <cell r="P704">
            <v>6.15663676882221E-5</v>
          </cell>
        </row>
        <row r="705">
          <cell r="B705" t="str">
            <v>HPLSOL</v>
          </cell>
          <cell r="C705" t="str">
            <v>VAR_ncap</v>
          </cell>
          <cell r="D705" t="str">
            <v>-</v>
          </cell>
          <cell r="H705">
            <v>2.9741500760748502E-6</v>
          </cell>
          <cell r="I705">
            <v>1.5494170097890299E-6</v>
          </cell>
          <cell r="J705">
            <v>9.5271025548190794E-8</v>
          </cell>
          <cell r="K705">
            <v>9.4857165971125601E-7</v>
          </cell>
          <cell r="L705">
            <v>3.4686143901668202E-6</v>
          </cell>
          <cell r="M705">
            <v>1.04915250072343E-7</v>
          </cell>
          <cell r="N705">
            <v>2.4738760746850599E-6</v>
          </cell>
          <cell r="O705">
            <v>5.7028346693652602E-7</v>
          </cell>
          <cell r="P705">
            <v>9.35655996934375E-6</v>
          </cell>
        </row>
        <row r="706">
          <cell r="B706" t="str">
            <v>HPLSOL</v>
          </cell>
          <cell r="C706" t="str">
            <v>VAR_cap</v>
          </cell>
          <cell r="D706" t="str">
            <v>-</v>
          </cell>
          <cell r="H706">
            <v>2.9741500760748502E-6</v>
          </cell>
          <cell r="I706">
            <v>4.5235670858638797E-6</v>
          </cell>
          <cell r="J706">
            <v>4.6188381114120701E-6</v>
          </cell>
          <cell r="K706">
            <v>4.62456347986927E-6</v>
          </cell>
          <cell r="L706">
            <v>6.0618740852152999E-6</v>
          </cell>
          <cell r="M706">
            <v>5.0750911451684201E-6</v>
          </cell>
          <cell r="N706">
            <v>6.9959773746354796E-6</v>
          </cell>
          <cell r="O706">
            <v>6.6176891818607496E-6</v>
          </cell>
          <cell r="P706">
            <v>1.2505634761037699E-5</v>
          </cell>
        </row>
        <row r="707">
          <cell r="B707" t="str">
            <v>RHEM-CHPNGA</v>
          </cell>
          <cell r="C707" t="str">
            <v>VAR_fout</v>
          </cell>
          <cell r="D707" t="str">
            <v>CO2_R</v>
          </cell>
          <cell r="E707">
            <v>5.6606643830421497</v>
          </cell>
          <cell r="F707">
            <v>5.3383263544509498</v>
          </cell>
          <cell r="G707">
            <v>21.5759629985785</v>
          </cell>
          <cell r="H707">
            <v>21.078891597245001</v>
          </cell>
          <cell r="I707">
            <v>21.093778183027901</v>
          </cell>
          <cell r="J707">
            <v>8.6897591446684004</v>
          </cell>
          <cell r="M707">
            <v>0.195069074832426</v>
          </cell>
          <cell r="N707">
            <v>0.40444542469054401</v>
          </cell>
          <cell r="O707">
            <v>0.340357988988013</v>
          </cell>
          <cell r="P707">
            <v>0.454475508487166</v>
          </cell>
        </row>
        <row r="708">
          <cell r="B708" t="str">
            <v>RHEM-CHPNGA</v>
          </cell>
          <cell r="C708" t="str">
            <v>VAR_fout</v>
          </cell>
          <cell r="D708" t="str">
            <v>RHEM_LTH_CHPNGA</v>
          </cell>
          <cell r="E708">
            <v>6.0085336485702807E-2</v>
          </cell>
          <cell r="F708">
            <v>5.9450347243791682E-2</v>
          </cell>
          <cell r="G708">
            <v>0.23859441791962518</v>
          </cell>
          <cell r="H708">
            <v>0.23102124843597666</v>
          </cell>
          <cell r="I708">
            <v>0.2298155920206629</v>
          </cell>
          <cell r="J708">
            <v>9.4189438562914771E-2</v>
          </cell>
          <cell r="M708">
            <v>2.0669681194704134E-3</v>
          </cell>
          <cell r="N708">
            <v>4.2953516810038837E-3</v>
          </cell>
          <cell r="O708">
            <v>3.6126466143097851E-3</v>
          </cell>
          <cell r="P708">
            <v>4.7722799293758366E-3</v>
          </cell>
        </row>
        <row r="709">
          <cell r="B709" t="str">
            <v>RHEM-CHPNGA</v>
          </cell>
          <cell r="C709" t="str">
            <v>VAR_fout</v>
          </cell>
          <cell r="D709" t="str">
            <v>RHEM_NKEV_GAS_ELC_CHP</v>
          </cell>
          <cell r="E709">
            <v>2.7658329493418725E-2</v>
          </cell>
          <cell r="F709">
            <v>2.763507271965095E-2</v>
          </cell>
          <cell r="G709">
            <v>0.11256894988615714</v>
          </cell>
          <cell r="H709">
            <v>0.11178447504966596</v>
          </cell>
          <cell r="I709">
            <v>0.11257027125209122</v>
          </cell>
          <cell r="J709">
            <v>4.6711835384860144E-2</v>
          </cell>
          <cell r="M709">
            <v>1.0504264213702101E-3</v>
          </cell>
          <cell r="N709">
            <v>2.1828836411659095E-3</v>
          </cell>
          <cell r="O709">
            <v>1.8359351646492338E-3</v>
          </cell>
          <cell r="P709">
            <v>2.4252570132893589E-3</v>
          </cell>
        </row>
        <row r="710">
          <cell r="B710" t="str">
            <v>RHEM-CHPNGA</v>
          </cell>
          <cell r="C710" t="str">
            <v>VAR_fin</v>
          </cell>
          <cell r="D710" t="str">
            <v>RNGA</v>
          </cell>
          <cell r="E710">
            <v>0.10036638977025085</v>
          </cell>
          <cell r="F710">
            <v>9.4651176497357242E-2</v>
          </cell>
          <cell r="G710">
            <v>0.38255253543578954</v>
          </cell>
          <cell r="H710">
            <v>0.3737392127171098</v>
          </cell>
          <cell r="I710">
            <v>0.37400315927354483</v>
          </cell>
          <cell r="J710">
            <v>0.15407374369979443</v>
          </cell>
          <cell r="M710">
            <v>3.4586715395820266E-3</v>
          </cell>
          <cell r="N710">
            <v>7.1710181682720668E-3</v>
          </cell>
          <cell r="O710">
            <v>6.0347161168087344E-3</v>
          </cell>
          <cell r="P710">
            <v>8.0580763916164189E-3</v>
          </cell>
        </row>
        <row r="711">
          <cell r="B711" t="str">
            <v>RHEM-CHPNGA</v>
          </cell>
          <cell r="C711" t="str">
            <v>VAR_ncap</v>
          </cell>
          <cell r="D711" t="str">
            <v>-</v>
          </cell>
          <cell r="F711">
            <v>3.0716778316557199E-6</v>
          </cell>
          <cell r="M711">
            <v>9.1074284605301893E-5</v>
          </cell>
          <cell r="N711">
            <v>7.2525892086932605E-5</v>
          </cell>
          <cell r="O711">
            <v>2.8705273045829699E-7</v>
          </cell>
          <cell r="P711">
            <v>4.9431078536440401E-5</v>
          </cell>
        </row>
        <row r="712">
          <cell r="B712" t="str">
            <v>RHEM-CHPNGA</v>
          </cell>
          <cell r="C712" t="str">
            <v>VAR_cap</v>
          </cell>
          <cell r="D712" t="str">
            <v>-</v>
          </cell>
          <cell r="E712">
            <v>8.3595667728242808E-3</v>
          </cell>
          <cell r="F712">
            <v>8.3539836912827764E-3</v>
          </cell>
          <cell r="G712">
            <v>8.3539201552243637E-3</v>
          </cell>
          <cell r="H712">
            <v>8.3538022761579355E-3</v>
          </cell>
          <cell r="I712">
            <v>8.3530947285042918E-3</v>
          </cell>
          <cell r="J712">
            <v>3.4659908979797387E-3</v>
          </cell>
          <cell r="M712">
            <v>9.1074284605301893E-5</v>
          </cell>
          <cell r="N712">
            <v>1.6356705279100644E-4</v>
          </cell>
          <cell r="O712">
            <v>1.6373559336340361E-4</v>
          </cell>
          <cell r="P712">
            <v>2.1294334475322469E-4</v>
          </cell>
        </row>
        <row r="713">
          <cell r="B713" t="str">
            <v>D-DH2</v>
          </cell>
          <cell r="C713" t="str">
            <v>VAR_fout</v>
          </cell>
          <cell r="D713" t="str">
            <v>H2</v>
          </cell>
          <cell r="H713">
            <v>6.0161100814788888E-7</v>
          </cell>
          <cell r="I713">
            <v>1.1478362169818295E-4</v>
          </cell>
          <cell r="J713">
            <v>4.1445736669021841E-4</v>
          </cell>
          <cell r="K713">
            <v>5.8310334088122989E-4</v>
          </cell>
          <cell r="L713">
            <v>6.0628880207073933E-4</v>
          </cell>
          <cell r="M713">
            <v>6.0740731561189829E-4</v>
          </cell>
          <cell r="N713">
            <v>6.1435697129017485E-4</v>
          </cell>
          <cell r="O713">
            <v>4.7355812956398097E-4</v>
          </cell>
          <cell r="P713">
            <v>6.0845915338232626E-4</v>
          </cell>
        </row>
        <row r="714">
          <cell r="B714" t="str">
            <v>D-DH2</v>
          </cell>
          <cell r="C714" t="str">
            <v>VAR_fin</v>
          </cell>
          <cell r="D714" t="str">
            <v>H2_E</v>
          </cell>
          <cell r="H714">
            <v>6.0768788701806967E-7</v>
          </cell>
          <cell r="I714">
            <v>1.1594305222038685E-4</v>
          </cell>
          <cell r="J714">
            <v>4.1864380473759439E-4</v>
          </cell>
          <cell r="K714">
            <v>5.8899327361740315E-4</v>
          </cell>
          <cell r="L714">
            <v>6.124129313845848E-4</v>
          </cell>
          <cell r="M714">
            <v>6.1354274304232181E-4</v>
          </cell>
          <cell r="N714">
            <v>6.2056259726280417E-4</v>
          </cell>
          <cell r="O714">
            <v>4.7834154501412229E-4</v>
          </cell>
          <cell r="P714">
            <v>6.1460520543669267E-4</v>
          </cell>
        </row>
        <row r="715">
          <cell r="B715" t="str">
            <v>D-DH2</v>
          </cell>
          <cell r="C715" t="str">
            <v>VAR_ncap</v>
          </cell>
          <cell r="D715" t="str">
            <v>-</v>
          </cell>
          <cell r="H715">
            <v>9.79147994323815E-6</v>
          </cell>
          <cell r="I715">
            <v>1.9058159921989699E-5</v>
          </cell>
          <cell r="J715">
            <v>7.1786380016201904E-5</v>
          </cell>
          <cell r="K715">
            <v>1.46070349022689E-5</v>
          </cell>
          <cell r="L715">
            <v>4.50791707285213E-5</v>
          </cell>
          <cell r="M715">
            <v>2.0751951877860801E-6</v>
          </cell>
          <cell r="N715">
            <v>3.2799029890588298E-5</v>
          </cell>
          <cell r="O715">
            <v>5.6168308093815303E-6</v>
          </cell>
          <cell r="P715">
            <v>1.60559694514882E-4</v>
          </cell>
        </row>
        <row r="716">
          <cell r="B716" t="str">
            <v>D-DH2</v>
          </cell>
          <cell r="C716" t="str">
            <v>VAR_cap</v>
          </cell>
          <cell r="D716" t="str">
            <v>-</v>
          </cell>
          <cell r="H716">
            <v>9.79147994323815E-6</v>
          </cell>
          <cell r="I716">
            <v>2.88496398652278E-5</v>
          </cell>
          <cell r="J716">
            <v>1.0063601988143E-4</v>
          </cell>
          <cell r="K716">
            <v>1.15243054783699E-4</v>
          </cell>
          <cell r="L716">
            <v>1.6032222551222E-4</v>
          </cell>
          <cell r="M716">
            <v>1.62397420700006E-4</v>
          </cell>
          <cell r="N716">
            <v>1.9519645059059399E-4</v>
          </cell>
          <cell r="O716">
            <v>1.9770924820923801E-4</v>
          </cell>
          <cell r="P716">
            <v>3.5158149597162001E-4</v>
          </cell>
        </row>
        <row r="717">
          <cell r="B717" t="str">
            <v>D-SBIO</v>
          </cell>
          <cell r="C717" t="str">
            <v>VAR_fout</v>
          </cell>
          <cell r="D717" t="str">
            <v>SBIO</v>
          </cell>
          <cell r="E717">
            <v>4.0476715295814945</v>
          </cell>
          <cell r="F717">
            <v>4.5832727764998049</v>
          </cell>
          <cell r="G717">
            <v>4.5976084980615681</v>
          </cell>
          <cell r="H717">
            <v>4.5783495058040238</v>
          </cell>
          <cell r="I717">
            <v>6.1293414433663802</v>
          </cell>
          <cell r="J717">
            <v>7.9413976481514545</v>
          </cell>
          <cell r="K717">
            <v>14.766957099277647</v>
          </cell>
          <cell r="L717">
            <v>22.080556668479151</v>
          </cell>
          <cell r="M717">
            <v>24.532814417340479</v>
          </cell>
          <cell r="N717">
            <v>29.949599057189541</v>
          </cell>
          <cell r="O717">
            <v>33.597369286644984</v>
          </cell>
          <cell r="P717">
            <v>36.392183481987843</v>
          </cell>
        </row>
        <row r="718">
          <cell r="B718" t="str">
            <v>D-SBIO</v>
          </cell>
          <cell r="C718" t="str">
            <v>VAR_fin</v>
          </cell>
          <cell r="D718" t="str">
            <v>BIO</v>
          </cell>
          <cell r="E718">
            <v>4.0476715295814945</v>
          </cell>
          <cell r="F718">
            <v>4.5832727764998049</v>
          </cell>
          <cell r="G718">
            <v>4.5976084980615681</v>
          </cell>
          <cell r="H718">
            <v>4.5783495058040238</v>
          </cell>
          <cell r="I718">
            <v>6.1293414433663802</v>
          </cell>
          <cell r="J718">
            <v>7.9413976481514545</v>
          </cell>
          <cell r="K718">
            <v>14.766957099277647</v>
          </cell>
          <cell r="L718">
            <v>22.080556668479151</v>
          </cell>
          <cell r="M718">
            <v>24.532814417340479</v>
          </cell>
          <cell r="N718">
            <v>29.949599057189541</v>
          </cell>
          <cell r="O718">
            <v>33.597369286644984</v>
          </cell>
          <cell r="P718">
            <v>36.392183481987843</v>
          </cell>
        </row>
        <row r="719">
          <cell r="B719" t="str">
            <v>SCOM-CHPBIO</v>
          </cell>
          <cell r="C719" t="str">
            <v>VAR_fout</v>
          </cell>
          <cell r="D719" t="str">
            <v>SCOM_LTH_CHPBIO</v>
          </cell>
          <cell r="E719">
            <v>1.4243088526007546</v>
          </cell>
          <cell r="F719">
            <v>1.5783210442457019</v>
          </cell>
          <cell r="G719">
            <v>1.4829748307860846</v>
          </cell>
          <cell r="H719">
            <v>1.3239672867673631</v>
          </cell>
          <cell r="I719">
            <v>1.1667618302846412</v>
          </cell>
          <cell r="J719">
            <v>1.2190277959722897</v>
          </cell>
          <cell r="K719">
            <v>2.2979383165665794</v>
          </cell>
          <cell r="L719">
            <v>3.4897695269291669</v>
          </cell>
          <cell r="M719">
            <v>3.8767376605211794</v>
          </cell>
          <cell r="N719">
            <v>4.72967513676927</v>
          </cell>
          <cell r="O719">
            <v>5.2958351627838427</v>
          </cell>
          <cell r="P719">
            <v>6.3226149501509621</v>
          </cell>
        </row>
        <row r="720">
          <cell r="B720" t="str">
            <v>SCOM-CHPBIO</v>
          </cell>
          <cell r="C720" t="str">
            <v>VAR_fout</v>
          </cell>
          <cell r="D720" t="str">
            <v>SCOM_KEV_BIO_ELC_CHP</v>
          </cell>
          <cell r="E720">
            <v>0.95936493589577942</v>
          </cell>
          <cell r="F720">
            <v>1.1059417555439905</v>
          </cell>
          <cell r="G720">
            <v>1.1059832162553229</v>
          </cell>
          <cell r="H720">
            <v>1.1059844091620241</v>
          </cell>
          <cell r="I720">
            <v>1.1076967880855895</v>
          </cell>
          <cell r="J720">
            <v>1.3402525745503058</v>
          </cell>
          <cell r="K720">
            <v>2.526454076856965</v>
          </cell>
          <cell r="L720">
            <v>3.8368055334813187</v>
          </cell>
          <cell r="M720">
            <v>4.2622552558167834</v>
          </cell>
          <cell r="N720">
            <v>5.2000120914270589</v>
          </cell>
          <cell r="O720">
            <v>5.8224732321660859</v>
          </cell>
          <cell r="P720">
            <v>6.9513599220855751</v>
          </cell>
        </row>
        <row r="721">
          <cell r="B721" t="str">
            <v>SCOM-CHPBIO</v>
          </cell>
          <cell r="C721" t="str">
            <v>VAR_fin</v>
          </cell>
          <cell r="D721" t="str">
            <v>SBIO</v>
          </cell>
          <cell r="E721">
            <v>2.6453939414924559</v>
          </cell>
          <cell r="F721">
            <v>3.0460492697469137</v>
          </cell>
          <cell r="G721">
            <v>3.0412520962039551</v>
          </cell>
          <cell r="H721">
            <v>3.0322820470182732</v>
          </cell>
          <cell r="I721">
            <v>3.0022139545710944</v>
          </cell>
          <cell r="J721">
            <v>3.5858676542682457</v>
          </cell>
          <cell r="K721">
            <v>6.6678156480781157</v>
          </cell>
          <cell r="L721">
            <v>9.9701627618611042</v>
          </cell>
          <cell r="M721">
            <v>11.077441795564248</v>
          </cell>
          <cell r="N721">
            <v>13.523316217492027</v>
          </cell>
          <cell r="O721">
            <v>15.170705120421808</v>
          </cell>
          <cell r="P721">
            <v>18.111723493808768</v>
          </cell>
        </row>
        <row r="722">
          <cell r="B722" t="str">
            <v>SCOM-CHPBIO</v>
          </cell>
          <cell r="C722" t="str">
            <v>VAR_ncap</v>
          </cell>
          <cell r="D722" t="str">
            <v>-</v>
          </cell>
          <cell r="F722">
            <v>2.6187044866540801E-2</v>
          </cell>
          <cell r="G722">
            <v>6.5693459386141498E-3</v>
          </cell>
          <cell r="H722">
            <v>1.2221039915347599E-2</v>
          </cell>
          <cell r="I722">
            <v>4.4214644492999097E-2</v>
          </cell>
          <cell r="J722">
            <v>4.7208735159669002E-2</v>
          </cell>
          <cell r="K722">
            <v>0.102169969423695</v>
          </cell>
          <cell r="L722">
            <v>0.14462241176872401</v>
          </cell>
          <cell r="M722">
            <v>8.6092739213326802E-2</v>
          </cell>
          <cell r="N722">
            <v>0.167743742501094</v>
          </cell>
          <cell r="O722">
            <v>0.193996237647968</v>
          </cell>
          <cell r="P722">
            <v>0.17091863328807499</v>
          </cell>
        </row>
        <row r="723">
          <cell r="B723" t="str">
            <v>SCOM-CHPBIO</v>
          </cell>
          <cell r="C723" t="str">
            <v>VAR_cap</v>
          </cell>
          <cell r="D723" t="str">
            <v>-</v>
          </cell>
          <cell r="E723">
            <v>7.35127E-2</v>
          </cell>
          <cell r="F723">
            <v>8.4744436234638898E-2</v>
          </cell>
          <cell r="G723">
            <v>8.4747687263552141E-2</v>
          </cell>
          <cell r="H723">
            <v>8.4747822019729802E-2</v>
          </cell>
          <cell r="I723">
            <v>8.4879018735396772E-2</v>
          </cell>
          <cell r="J723">
            <v>0.10269879226136384</v>
          </cell>
          <cell r="K723">
            <v>0.19359325713942341</v>
          </cell>
          <cell r="L723">
            <v>0.29400096183019431</v>
          </cell>
          <cell r="M723">
            <v>0.32660170856907911</v>
          </cell>
          <cell r="N723">
            <v>0.39845873455959424</v>
          </cell>
          <cell r="O723">
            <v>0.4461557282013634</v>
          </cell>
          <cell r="P723">
            <v>0.53265842907135952</v>
          </cell>
        </row>
        <row r="724">
          <cell r="B724" t="str">
            <v>SCOM-CHPHFC</v>
          </cell>
          <cell r="C724" t="str">
            <v>VAR_fout</v>
          </cell>
          <cell r="D724" t="str">
            <v>SCOM_KEV_HFC_ELC_CHP</v>
          </cell>
          <cell r="H724">
            <v>4.4797777997224452E-4</v>
          </cell>
          <cell r="I724">
            <v>1.6766317751610532E-3</v>
          </cell>
          <cell r="J724">
            <v>2.5961073602389006E-3</v>
          </cell>
          <cell r="K724">
            <v>3.0924559812498136E-3</v>
          </cell>
          <cell r="L724">
            <v>1.5960746267757234E-2</v>
          </cell>
          <cell r="M724">
            <v>2.7730657954115466E-2</v>
          </cell>
          <cell r="N724">
            <v>2.7241113105057752E-2</v>
          </cell>
          <cell r="O724">
            <v>1.1660784045069881E-2</v>
          </cell>
          <cell r="P724">
            <v>6.8209327829334546E-2</v>
          </cell>
        </row>
        <row r="725">
          <cell r="B725" t="str">
            <v>SCOM-CHPHFC</v>
          </cell>
          <cell r="C725" t="str">
            <v>VAR_fout</v>
          </cell>
          <cell r="D725" t="str">
            <v>SCOM_LTH_CHPHFC</v>
          </cell>
          <cell r="H725">
            <v>3.3716222387384726E-4</v>
          </cell>
          <cell r="I725">
            <v>1.1587715319363568E-3</v>
          </cell>
          <cell r="J725">
            <v>1.634586115705976E-3</v>
          </cell>
          <cell r="K725">
            <v>1.8475059082828991E-3</v>
          </cell>
          <cell r="L725">
            <v>9.0212913687323544E-3</v>
          </cell>
          <cell r="M725">
            <v>1.567385014797832E-2</v>
          </cell>
          <cell r="N725">
            <v>1.5397150885467422E-2</v>
          </cell>
          <cell r="O725">
            <v>6.590877938517762E-3</v>
          </cell>
          <cell r="P725">
            <v>3.8553098338319526E-2</v>
          </cell>
        </row>
        <row r="726">
          <cell r="B726" t="str">
            <v>SCOM-CHPHFC</v>
          </cell>
          <cell r="C726" t="str">
            <v>VAR_fin</v>
          </cell>
          <cell r="D726" t="str">
            <v>RSH2</v>
          </cell>
          <cell r="H726">
            <v>9.4311111573104113E-4</v>
          </cell>
          <cell r="I726">
            <v>3.3037079313518267E-3</v>
          </cell>
          <cell r="J726">
            <v>4.8076062226646314E-3</v>
          </cell>
          <cell r="K726">
            <v>5.5470062443942775E-3</v>
          </cell>
          <cell r="L726">
            <v>2.7757819596099499E-2</v>
          </cell>
          <cell r="M726">
            <v>4.8227231224548611E-2</v>
          </cell>
          <cell r="N726">
            <v>4.7375848878361312E-2</v>
          </cell>
          <cell r="O726">
            <v>2.0279624426208495E-2</v>
          </cell>
          <cell r="P726">
            <v>0.11862491796406009</v>
          </cell>
        </row>
        <row r="727">
          <cell r="B727" t="str">
            <v>SCOM-CHPHFC</v>
          </cell>
          <cell r="C727" t="str">
            <v>VAR_ncap</v>
          </cell>
          <cell r="D727" t="str">
            <v>-</v>
          </cell>
          <cell r="H727">
            <v>2.6858447716941499E-5</v>
          </cell>
          <cell r="I727">
            <v>7.1678184697049403E-5</v>
          </cell>
          <cell r="J727">
            <v>5.8552336846485802E-5</v>
          </cell>
          <cell r="K727">
            <v>5.1789953471072598E-5</v>
          </cell>
          <cell r="L727">
            <v>1.09149178559701E-3</v>
          </cell>
          <cell r="M727">
            <v>9.5009526327807098E-4</v>
          </cell>
          <cell r="N727">
            <v>1.0352056117182901E-6</v>
          </cell>
          <cell r="O727">
            <v>3.26137706523959E-6</v>
          </cell>
          <cell r="P727">
            <v>5.0022343208558102E-3</v>
          </cell>
        </row>
        <row r="728">
          <cell r="B728" t="str">
            <v>SCOM-CHPHFC</v>
          </cell>
          <cell r="C728" t="str">
            <v>VAR_cap</v>
          </cell>
          <cell r="D728" t="str">
            <v>-</v>
          </cell>
          <cell r="H728">
            <v>2.6858447716941499E-5</v>
          </cell>
          <cell r="I728">
            <v>9.8525872428691135E-5</v>
          </cell>
          <cell r="J728">
            <v>1.5194417156303371E-4</v>
          </cell>
          <cell r="K728">
            <v>1.8199777943270031E-4</v>
          </cell>
          <cell r="L728">
            <v>1.2017394618909143E-3</v>
          </cell>
          <cell r="M728">
            <v>2.0952765542292203E-3</v>
          </cell>
          <cell r="N728">
            <v>2.04242536311172E-3</v>
          </cell>
          <cell r="O728">
            <v>8.4634464142669731E-4</v>
          </cell>
          <cell r="P728">
            <v>5.0063762124463625E-3</v>
          </cell>
        </row>
        <row r="729">
          <cell r="B729" t="str">
            <v>RHES-EBAT</v>
          </cell>
          <cell r="C729" t="str">
            <v>VAR_fout</v>
          </cell>
          <cell r="D729" t="str">
            <v>RHES_ELC</v>
          </cell>
          <cell r="E729">
            <v>3.0384759467799E-4</v>
          </cell>
          <cell r="F729">
            <v>3.0363878706375289E-4</v>
          </cell>
          <cell r="G729">
            <v>3.046095580397725E-4</v>
          </cell>
          <cell r="H729">
            <v>1.2064330228050611E-2</v>
          </cell>
          <cell r="I729">
            <v>1.8696672986616758E-2</v>
          </cell>
          <cell r="J729">
            <v>1.2580702354136697E-2</v>
          </cell>
          <cell r="K729">
            <v>1.7717652026645443E-2</v>
          </cell>
          <cell r="L729">
            <v>2.3262453615593558E-2</v>
          </cell>
          <cell r="M729">
            <v>1.4986770825852253E-2</v>
          </cell>
          <cell r="N729">
            <v>2.4922050486874712E-2</v>
          </cell>
          <cell r="O729">
            <v>2.3609417076947269E-2</v>
          </cell>
          <cell r="P729">
            <v>3.8334064055800914E-2</v>
          </cell>
        </row>
        <row r="730">
          <cell r="B730" t="str">
            <v>RHES-EBAT</v>
          </cell>
          <cell r="C730" t="str">
            <v>VAR_fout</v>
          </cell>
          <cell r="D730" t="str">
            <v>AUX_RHES-EBAT_OUT</v>
          </cell>
          <cell r="E730">
            <v>3.0384759467799022E-4</v>
          </cell>
          <cell r="F730">
            <v>3.036387870637531E-4</v>
          </cell>
          <cell r="G730">
            <v>3.0460955803977282E-4</v>
          </cell>
          <cell r="H730">
            <v>1.206433022805062E-2</v>
          </cell>
          <cell r="I730">
            <v>1.8696672986616775E-2</v>
          </cell>
          <cell r="J730">
            <v>1.2580702354136716E-2</v>
          </cell>
          <cell r="K730">
            <v>1.7717652026645464E-2</v>
          </cell>
          <cell r="L730">
            <v>2.3262453615593582E-2</v>
          </cell>
          <cell r="M730">
            <v>1.4986770825852275E-2</v>
          </cell>
          <cell r="N730">
            <v>2.4922050486874736E-2</v>
          </cell>
          <cell r="O730">
            <v>2.3609417076947282E-2</v>
          </cell>
          <cell r="P730">
            <v>3.8334064055800948E-2</v>
          </cell>
        </row>
        <row r="731">
          <cell r="B731" t="str">
            <v>RHES-EBAT</v>
          </cell>
          <cell r="C731" t="str">
            <v>VAR_fin</v>
          </cell>
          <cell r="D731" t="str">
            <v>RHES_ELC</v>
          </cell>
          <cell r="E731">
            <v>3.3618229573608208E-4</v>
          </cell>
          <cell r="F731">
            <v>3.3599467908725528E-4</v>
          </cell>
          <cell r="G731">
            <v>3.3698156134207984E-4</v>
          </cell>
          <cell r="H731">
            <v>1.3341612446768073E-2</v>
          </cell>
          <cell r="I731">
            <v>2.0676086593888993E-2</v>
          </cell>
          <cell r="J731">
            <v>1.3912585521454563E-2</v>
          </cell>
          <cell r="K731">
            <v>1.9593381214032625E-2</v>
          </cell>
          <cell r="L731">
            <v>2.5725393290527088E-2</v>
          </cell>
          <cell r="M731">
            <v>1.6573474503355612E-2</v>
          </cell>
          <cell r="N731">
            <v>2.7560676687421581E-2</v>
          </cell>
          <cell r="O731">
            <v>2.6109028080812335E-2</v>
          </cell>
          <cell r="P731">
            <v>4.2392692260455569E-2</v>
          </cell>
        </row>
        <row r="732">
          <cell r="B732" t="str">
            <v>RHES-EBAT</v>
          </cell>
          <cell r="C732" t="str">
            <v>VAR_fin</v>
          </cell>
          <cell r="D732" t="str">
            <v>AUX_RHES-EBAT_IN</v>
          </cell>
          <cell r="E732">
            <v>3.3618229573608208E-4</v>
          </cell>
          <cell r="F732">
            <v>3.3599467908725528E-4</v>
          </cell>
          <cell r="G732">
            <v>3.3698156134207984E-4</v>
          </cell>
          <cell r="H732">
            <v>1.3341612446768073E-2</v>
          </cell>
          <cell r="I732">
            <v>2.0676086593888993E-2</v>
          </cell>
          <cell r="J732">
            <v>1.3912585521454563E-2</v>
          </cell>
          <cell r="K732">
            <v>1.9593381214032625E-2</v>
          </cell>
          <cell r="L732">
            <v>2.5725393290527088E-2</v>
          </cell>
          <cell r="M732">
            <v>1.6573474503355612E-2</v>
          </cell>
          <cell r="N732">
            <v>2.7560676687421581E-2</v>
          </cell>
          <cell r="O732">
            <v>2.6109028080812335E-2</v>
          </cell>
          <cell r="P732">
            <v>4.2392692260455569E-2</v>
          </cell>
        </row>
        <row r="733">
          <cell r="B733" t="str">
            <v>RHES-EBAT</v>
          </cell>
          <cell r="C733" t="str">
            <v>VAR_ncap</v>
          </cell>
          <cell r="D733" t="str">
            <v>-</v>
          </cell>
          <cell r="E733">
            <v>1.21620022748022E-4</v>
          </cell>
          <cell r="F733">
            <v>1.9611308906057099E-7</v>
          </cell>
          <cell r="G733">
            <v>5.3297662563812597E-7</v>
          </cell>
          <cell r="H733">
            <v>9.1581223376089194E-3</v>
          </cell>
          <cell r="I733">
            <v>3.0849065635639E-4</v>
          </cell>
          <cell r="J733">
            <v>3.7185970736558602E-3</v>
          </cell>
          <cell r="K733">
            <v>4.7738050120445501E-3</v>
          </cell>
          <cell r="L733">
            <v>3.5136891349088302E-3</v>
          </cell>
          <cell r="M733">
            <v>4.80147172321256E-4</v>
          </cell>
          <cell r="N733">
            <v>7.9342764875154608E-3</v>
          </cell>
          <cell r="O733">
            <v>1.65644932154267E-3</v>
          </cell>
          <cell r="P733">
            <v>8.6951816333935093E-3</v>
          </cell>
        </row>
        <row r="734">
          <cell r="B734" t="str">
            <v>RHES-EBAT</v>
          </cell>
          <cell r="C734" t="str">
            <v>VAR_cap</v>
          </cell>
          <cell r="D734" t="str">
            <v>-</v>
          </cell>
          <cell r="E734">
            <v>1.2436658497048313E-4</v>
          </cell>
          <cell r="F734">
            <v>1.245019048997104E-4</v>
          </cell>
          <cell r="G734">
            <v>1.249024937641627E-4</v>
          </cell>
          <cell r="H734">
            <v>9.2476246110379436E-3</v>
          </cell>
          <cell r="I734">
            <v>9.4667816941416891E-3</v>
          </cell>
          <cell r="J734">
            <v>5.9501547932069125E-3</v>
          </cell>
          <cell r="K734">
            <v>8.6522299126399298E-3</v>
          </cell>
          <cell r="L734">
            <v>9.5574931514463106E-3</v>
          </cell>
          <cell r="M734">
            <v>6.1409734343878877E-3</v>
          </cell>
          <cell r="N734">
            <v>1.0214335394472437E-2</v>
          </cell>
          <cell r="O734">
            <v>9.6755481624367853E-3</v>
          </cell>
          <cell r="P734">
            <v>1.570572579434748E-2</v>
          </cell>
        </row>
        <row r="735">
          <cell r="B735" t="str">
            <v>D-INGA</v>
          </cell>
          <cell r="C735" t="str">
            <v>VAR_fout</v>
          </cell>
          <cell r="D735" t="str">
            <v>CO2</v>
          </cell>
          <cell r="E735">
            <v>2101.41405860642</v>
          </cell>
          <cell r="F735">
            <v>1757.5828810117901</v>
          </cell>
          <cell r="G735">
            <v>1835.67288881636</v>
          </cell>
          <cell r="H735">
            <v>1360.5898604062099</v>
          </cell>
          <cell r="I735">
            <v>639.42525107009806</v>
          </cell>
          <cell r="J735">
            <v>800.27761310012795</v>
          </cell>
          <cell r="K735">
            <v>545.06093311255802</v>
          </cell>
          <cell r="L735">
            <v>54.387294689906199</v>
          </cell>
          <cell r="M735">
            <v>5.4772000993435703E-2</v>
          </cell>
          <cell r="N735">
            <v>1.23248726570062E-2</v>
          </cell>
          <cell r="O735">
            <v>7.0965308900596998E-3</v>
          </cell>
          <cell r="P735">
            <v>3.1382009709440802E-3</v>
          </cell>
        </row>
        <row r="736">
          <cell r="B736" t="str">
            <v>D-INGA</v>
          </cell>
          <cell r="C736" t="str">
            <v>VAR_fout</v>
          </cell>
          <cell r="D736" t="str">
            <v>IH2</v>
          </cell>
          <cell r="H736">
            <v>2.8234235368518552E-2</v>
          </cell>
          <cell r="I736">
            <v>0.42847611910412164</v>
          </cell>
          <cell r="J736">
            <v>0.51619533434934051</v>
          </cell>
          <cell r="K736">
            <v>0.37626435865462837</v>
          </cell>
          <cell r="L736">
            <v>0.1076186517102746</v>
          </cell>
          <cell r="M736">
            <v>7.7486293062533837E-2</v>
          </cell>
          <cell r="N736">
            <v>7.70206560474926E-2</v>
          </cell>
          <cell r="O736">
            <v>7.7218995512808211E-2</v>
          </cell>
          <cell r="P736">
            <v>7.6362834070848609E-2</v>
          </cell>
        </row>
        <row r="737">
          <cell r="B737" t="str">
            <v>D-INGA</v>
          </cell>
          <cell r="C737" t="str">
            <v>VAR_fout</v>
          </cell>
          <cell r="D737" t="str">
            <v>INGA</v>
          </cell>
          <cell r="E737">
            <v>37.468433262182018</v>
          </cell>
          <cell r="F737">
            <v>31.063583132195568</v>
          </cell>
          <cell r="G737">
            <v>34.598967425659907</v>
          </cell>
          <cell r="H737">
            <v>26.556790273967074</v>
          </cell>
          <cell r="I737">
            <v>13.809624065349297</v>
          </cell>
          <cell r="J737">
            <v>16.652229778467749</v>
          </cell>
          <cell r="K737">
            <v>12.141953891426647</v>
          </cell>
          <cell r="L737">
            <v>3.4706261829387466</v>
          </cell>
          <cell r="M737">
            <v>2.5104510919912131</v>
          </cell>
          <cell r="N737">
            <v>2.5096964645838979</v>
          </cell>
          <cell r="O737">
            <v>2.5096028281379317</v>
          </cell>
          <cell r="P737">
            <v>2.509541753278675</v>
          </cell>
        </row>
        <row r="738">
          <cell r="B738" t="str">
            <v>D-INGA</v>
          </cell>
          <cell r="C738" t="str">
            <v>VAR_fin</v>
          </cell>
          <cell r="D738" t="str">
            <v>NGA</v>
          </cell>
          <cell r="E738">
            <v>37.259114514298176</v>
          </cell>
          <cell r="F738">
            <v>31.162817039216208</v>
          </cell>
          <cell r="G738">
            <v>32.547391645680136</v>
          </cell>
          <cell r="H738">
            <v>24.123933695145485</v>
          </cell>
          <cell r="I738">
            <v>11.337327146632934</v>
          </cell>
          <cell r="J738">
            <v>14.189319381207943</v>
          </cell>
          <cell r="K738">
            <v>9.6642009417120178</v>
          </cell>
          <cell r="L738">
            <v>0.96431373563663425</v>
          </cell>
          <cell r="M738">
            <v>9.7113476938715741E-4</v>
          </cell>
          <cell r="N738">
            <v>2.1852611093982642E-4</v>
          </cell>
          <cell r="O738">
            <v>1.258250157812003E-4</v>
          </cell>
          <cell r="P738">
            <v>5.5641861186951637E-5</v>
          </cell>
        </row>
        <row r="739">
          <cell r="B739" t="str">
            <v>D-INGA</v>
          </cell>
          <cell r="C739" t="str">
            <v>VAR_fin</v>
          </cell>
          <cell r="D739" t="str">
            <v>BNGA</v>
          </cell>
          <cell r="E739">
            <v>0.32901613871718033</v>
          </cell>
          <cell r="F739">
            <v>2.0101019734244572E-5</v>
          </cell>
          <cell r="G739">
            <v>2.1621063190445375</v>
          </cell>
          <cell r="H739">
            <v>2.5178060278255954</v>
          </cell>
          <cell r="I739">
            <v>2.517806300881825</v>
          </cell>
          <cell r="J739">
            <v>2.5178063848925198</v>
          </cell>
          <cell r="K739">
            <v>2.5178064796891557</v>
          </cell>
          <cell r="L739">
            <v>2.5178008374095864</v>
          </cell>
          <cell r="M739">
            <v>2.5177727325489254</v>
          </cell>
          <cell r="N739">
            <v>2.5177729654341694</v>
          </cell>
          <cell r="O739">
            <v>2.5177686912604598</v>
          </cell>
          <cell r="P739">
            <v>2.5177713412731939</v>
          </cell>
        </row>
        <row r="740">
          <cell r="B740" t="str">
            <v>D-INGA</v>
          </cell>
          <cell r="C740" t="str">
            <v>VAR_fin</v>
          </cell>
          <cell r="D740" t="str">
            <v>H2</v>
          </cell>
          <cell r="H740">
            <v>2.823423554262634E-2</v>
          </cell>
          <cell r="I740">
            <v>0.42847611936188273</v>
          </cell>
          <cell r="J740">
            <v>0.51619533434935394</v>
          </cell>
          <cell r="K740">
            <v>0.37626336928220067</v>
          </cell>
          <cell r="L740">
            <v>0.10761856397468059</v>
          </cell>
          <cell r="M740">
            <v>7.7486293062535364E-2</v>
          </cell>
          <cell r="N740">
            <v>7.7020515097437486E-2</v>
          </cell>
          <cell r="O740">
            <v>7.7218555319014601E-2</v>
          </cell>
          <cell r="P740">
            <v>7.6360801117081462E-2</v>
          </cell>
        </row>
        <row r="741">
          <cell r="B741" t="str">
            <v>D-INGA</v>
          </cell>
          <cell r="C741" t="str">
            <v>VAR_ncap</v>
          </cell>
          <cell r="D741" t="str">
            <v>-</v>
          </cell>
          <cell r="E741">
            <v>1.6931165082080201E-7</v>
          </cell>
          <cell r="F741">
            <v>1.0921016484054599E-7</v>
          </cell>
          <cell r="G741">
            <v>1.43652319454265E-7</v>
          </cell>
          <cell r="H741">
            <v>2.1936796748272799E-7</v>
          </cell>
          <cell r="I741">
            <v>4.1763446916845201E-7</v>
          </cell>
          <cell r="J741">
            <v>7.1380574497149399E-7</v>
          </cell>
          <cell r="K741">
            <v>1.04054629053316E-6</v>
          </cell>
          <cell r="L741">
            <v>0.27340178517716701</v>
          </cell>
          <cell r="M741">
            <v>1.9345386278055401E-6</v>
          </cell>
          <cell r="N741">
            <v>3.8989447715655198E-6</v>
          </cell>
          <cell r="O741">
            <v>2.0170391886422498E-6</v>
          </cell>
          <cell r="P741">
            <v>1.59377790996307E-5</v>
          </cell>
        </row>
        <row r="742">
          <cell r="B742" t="str">
            <v>D-INGA</v>
          </cell>
          <cell r="C742" t="str">
            <v>VAR_cap</v>
          </cell>
          <cell r="D742" t="str">
            <v>-</v>
          </cell>
          <cell r="E742">
            <v>1.9844835395777509</v>
          </cell>
          <cell r="F742">
            <v>1.9844836487879156</v>
          </cell>
          <cell r="G742">
            <v>1.9844837924402352</v>
          </cell>
          <cell r="H742">
            <v>1.9844840118082026</v>
          </cell>
          <cell r="I742">
            <v>1.9844844294426718</v>
          </cell>
          <cell r="J742">
            <v>1.9844851432484167</v>
          </cell>
          <cell r="K742">
            <v>1.9844861837947072</v>
          </cell>
          <cell r="L742">
            <v>1.1668188539138209</v>
          </cell>
          <cell r="M742">
            <v>0.38025458244308202</v>
          </cell>
          <cell r="N742">
            <v>0.273410253528863</v>
          </cell>
          <cell r="O742">
            <v>0.27341198295555302</v>
          </cell>
          <cell r="P742">
            <v>0.27342774546535897</v>
          </cell>
        </row>
        <row r="743">
          <cell r="B743" t="str">
            <v>EWIND</v>
          </cell>
          <cell r="C743" t="str">
            <v>VAR_fout</v>
          </cell>
          <cell r="D743" t="str">
            <v>ELC35</v>
          </cell>
          <cell r="E743">
            <v>0.52400000000000047</v>
          </cell>
          <cell r="F743">
            <v>0.54529201541730321</v>
          </cell>
          <cell r="G743">
            <v>0.50316461375085242</v>
          </cell>
          <cell r="H743">
            <v>2.0502580118443223</v>
          </cell>
          <cell r="I743">
            <v>2.6087278270265699</v>
          </cell>
          <cell r="J743">
            <v>2.6087303278524723</v>
          </cell>
          <cell r="K743">
            <v>3.02629808325768</v>
          </cell>
          <cell r="L743">
            <v>3.0263334704456639</v>
          </cell>
          <cell r="M743">
            <v>3.0263347098079607</v>
          </cell>
          <cell r="N743">
            <v>3.0264180288717606</v>
          </cell>
          <cell r="O743">
            <v>3.0268161257046819</v>
          </cell>
          <cell r="P743">
            <v>3.0270610836370531</v>
          </cell>
        </row>
        <row r="744">
          <cell r="B744" t="str">
            <v>EWIND</v>
          </cell>
          <cell r="C744" t="str">
            <v>VAR_fin</v>
          </cell>
          <cell r="D744" t="str">
            <v>WND</v>
          </cell>
          <cell r="E744">
            <v>0.52400000000000047</v>
          </cell>
          <cell r="F744">
            <v>0.54529201541730321</v>
          </cell>
          <cell r="G744">
            <v>0.50316461375085242</v>
          </cell>
          <cell r="H744">
            <v>2.0502580118443223</v>
          </cell>
          <cell r="I744">
            <v>2.6087278270265699</v>
          </cell>
          <cell r="J744">
            <v>2.6087303278524723</v>
          </cell>
          <cell r="K744">
            <v>3.02629808325768</v>
          </cell>
          <cell r="L744">
            <v>3.0263334704456639</v>
          </cell>
          <cell r="M744">
            <v>3.0263347098079607</v>
          </cell>
          <cell r="N744">
            <v>3.0264180288717606</v>
          </cell>
          <cell r="O744">
            <v>3.0268161257046819</v>
          </cell>
          <cell r="P744">
            <v>3.0270610836370531</v>
          </cell>
        </row>
        <row r="745">
          <cell r="B745" t="str">
            <v>EWIND</v>
          </cell>
          <cell r="C745" t="str">
            <v>VAR_ncap</v>
          </cell>
          <cell r="D745" t="str">
            <v>-</v>
          </cell>
          <cell r="F745">
            <v>7.1321126946055202E-3</v>
          </cell>
          <cell r="G745">
            <v>0.399027290788042</v>
          </cell>
          <cell r="H745">
            <v>8.0893270962752901E-3</v>
          </cell>
          <cell r="I745">
            <v>2.1962583632699501E-2</v>
          </cell>
          <cell r="J745">
            <v>8.5689229302480902E-6</v>
          </cell>
          <cell r="K745">
            <v>0.47309634111971899</v>
          </cell>
          <cell r="L745">
            <v>5.3314956052166997E-5</v>
          </cell>
          <cell r="M745">
            <v>3.0012776596518801E-2</v>
          </cell>
          <cell r="N745">
            <v>8.5267602282383399E-5</v>
          </cell>
          <cell r="O745">
            <v>0.47312697627442202</v>
          </cell>
        </row>
        <row r="746">
          <cell r="B746" t="str">
            <v>EWIND</v>
          </cell>
          <cell r="C746" t="str">
            <v>VAR_cap</v>
          </cell>
          <cell r="D746" t="str">
            <v>-</v>
          </cell>
          <cell r="E746">
            <v>8.7120000000000003E-2</v>
          </cell>
          <cell r="F746">
            <v>9.066000073121272E-2</v>
          </cell>
          <cell r="G746">
            <v>8.365591822514172E-2</v>
          </cell>
          <cell r="H746">
            <v>0.34087493483648229</v>
          </cell>
          <cell r="I746">
            <v>0.43372589975304776</v>
          </cell>
          <cell r="J746">
            <v>0.43372633924507326</v>
          </cell>
          <cell r="K746">
            <v>0.50315098833471295</v>
          </cell>
          <cell r="L746">
            <v>0.50315682077162405</v>
          </cell>
          <cell r="M746">
            <v>0.50315714964138103</v>
          </cell>
          <cell r="N746">
            <v>0.50317100159521999</v>
          </cell>
          <cell r="O746">
            <v>0.50323739344540597</v>
          </cell>
          <cell r="P746">
            <v>0.50327833542927503</v>
          </cell>
        </row>
        <row r="747">
          <cell r="B747" t="str">
            <v>EGEO</v>
          </cell>
          <cell r="C747" t="str">
            <v>VAR_fout</v>
          </cell>
          <cell r="D747" t="str">
            <v>ELC35</v>
          </cell>
          <cell r="K747">
            <v>8.3358520273324761E-3</v>
          </cell>
          <cell r="L747">
            <v>8.3877235679145623E-3</v>
          </cell>
          <cell r="M747">
            <v>8.3917018339525126E-3</v>
          </cell>
          <cell r="N747">
            <v>8.3947143860961856E-3</v>
          </cell>
          <cell r="O747">
            <v>8.4257902671997422E-3</v>
          </cell>
          <cell r="P747">
            <v>8.5744288931562419E-3</v>
          </cell>
        </row>
        <row r="748">
          <cell r="B748" t="str">
            <v>EGEO</v>
          </cell>
          <cell r="C748" t="str">
            <v>VAR_fin</v>
          </cell>
          <cell r="D748" t="str">
            <v>GEO</v>
          </cell>
          <cell r="K748">
            <v>5.5572346848883139E-2</v>
          </cell>
          <cell r="L748">
            <v>5.591815711943042E-2</v>
          </cell>
          <cell r="M748">
            <v>5.5944678893016707E-2</v>
          </cell>
          <cell r="N748">
            <v>5.596476257397457E-2</v>
          </cell>
          <cell r="O748">
            <v>5.6171935114664957E-2</v>
          </cell>
          <cell r="P748">
            <v>5.7162859287708284E-2</v>
          </cell>
        </row>
        <row r="749">
          <cell r="B749" t="str">
            <v>EGEO</v>
          </cell>
          <cell r="C749" t="str">
            <v>VAR_ncap</v>
          </cell>
          <cell r="D749" t="str">
            <v>-</v>
          </cell>
          <cell r="J749">
            <v>3.3041907364950499E-4</v>
          </cell>
          <cell r="K749">
            <v>2.51949756815018E-6</v>
          </cell>
          <cell r="L749">
            <v>1.2852460537004301E-7</v>
          </cell>
          <cell r="M749">
            <v>3.0873286254823503E-7</v>
          </cell>
          <cell r="N749">
            <v>1.83573080733805E-7</v>
          </cell>
          <cell r="O749">
            <v>7.2634912483394904E-6</v>
          </cell>
        </row>
        <row r="750">
          <cell r="B750" t="str">
            <v>EGEO</v>
          </cell>
          <cell r="C750" t="str">
            <v>VAR_cap</v>
          </cell>
          <cell r="D750" t="str">
            <v>-</v>
          </cell>
          <cell r="K750">
            <v>3.3081350091760298E-4</v>
          </cell>
          <cell r="L750">
            <v>3.3292456136776809E-4</v>
          </cell>
          <cell r="M750">
            <v>3.3307385629283099E-4</v>
          </cell>
          <cell r="N750">
            <v>3.3329344991514867E-4</v>
          </cell>
          <cell r="O750">
            <v>3.3452534190987586E-4</v>
          </cell>
          <cell r="P750">
            <v>3.4061926293049472E-4</v>
          </cell>
        </row>
        <row r="751">
          <cell r="B751" t="str">
            <v>D-SPLT</v>
          </cell>
          <cell r="C751" t="str">
            <v>VAR_fout</v>
          </cell>
          <cell r="D751" t="str">
            <v>SPLT</v>
          </cell>
          <cell r="E751">
            <v>2.0856341786007335</v>
          </cell>
          <cell r="F751">
            <v>2.4000913323849185</v>
          </cell>
          <cell r="G751">
            <v>2.3592224312732544</v>
          </cell>
          <cell r="H751">
            <v>2.4190455154191564</v>
          </cell>
          <cell r="I751">
            <v>2.568558666949436</v>
          </cell>
          <cell r="J751">
            <v>2.8397949360617236</v>
          </cell>
          <cell r="K751">
            <v>2.8527471903716393</v>
          </cell>
          <cell r="L751">
            <v>3.0935275674350464</v>
          </cell>
          <cell r="M751">
            <v>2.4325983050244089</v>
          </cell>
          <cell r="N751">
            <v>2.4496569461249953</v>
          </cell>
          <cell r="O751">
            <v>2.4503397560215894</v>
          </cell>
          <cell r="P751">
            <v>2.4510446729545121</v>
          </cell>
        </row>
        <row r="752">
          <cell r="B752" t="str">
            <v>D-SPLT</v>
          </cell>
          <cell r="C752" t="str">
            <v>VAR_fin</v>
          </cell>
          <cell r="D752" t="str">
            <v>PLT</v>
          </cell>
          <cell r="E752">
            <v>2.0856341786007335</v>
          </cell>
          <cell r="F752">
            <v>2.4000913323849185</v>
          </cell>
          <cell r="G752">
            <v>2.3592224312732544</v>
          </cell>
          <cell r="H752">
            <v>2.4190455154191564</v>
          </cell>
          <cell r="I752">
            <v>2.568558666949436</v>
          </cell>
          <cell r="J752">
            <v>2.8397949360617236</v>
          </cell>
          <cell r="K752">
            <v>2.8527471903716393</v>
          </cell>
          <cell r="L752">
            <v>3.0935275674350464</v>
          </cell>
          <cell r="M752">
            <v>2.4325983050244089</v>
          </cell>
          <cell r="N752">
            <v>2.4496569461249953</v>
          </cell>
          <cell r="O752">
            <v>2.4503397560215894</v>
          </cell>
          <cell r="P752">
            <v>2.4510446729545121</v>
          </cell>
        </row>
        <row r="753">
          <cell r="B753" t="str">
            <v>RHES-ESOLPV</v>
          </cell>
          <cell r="C753" t="str">
            <v>VAR_fout</v>
          </cell>
          <cell r="D753" t="str">
            <v>RHES_SOL_ELC</v>
          </cell>
          <cell r="E753">
            <v>2.1349390887346629</v>
          </cell>
          <cell r="F753">
            <v>3.3906651609562051</v>
          </cell>
          <cell r="G753">
            <v>4.3176284993532796</v>
          </cell>
          <cell r="H753">
            <v>18.917064735899679</v>
          </cell>
          <cell r="I753">
            <v>19.882027881147369</v>
          </cell>
          <cell r="J753">
            <v>20.896211173539683</v>
          </cell>
          <cell r="K753">
            <v>21.962128263322818</v>
          </cell>
          <cell r="L753">
            <v>23.082418142274459</v>
          </cell>
          <cell r="M753">
            <v>24.259853970431077</v>
          </cell>
          <cell r="N753">
            <v>25.497351378194278</v>
          </cell>
          <cell r="O753">
            <v>26.797973976723878</v>
          </cell>
          <cell r="P753">
            <v>28.164948514175606</v>
          </cell>
        </row>
        <row r="754">
          <cell r="B754" t="str">
            <v>RHES-ESOLPV</v>
          </cell>
          <cell r="C754" t="str">
            <v>VAR_fin</v>
          </cell>
          <cell r="D754" t="str">
            <v>SOL</v>
          </cell>
          <cell r="E754">
            <v>2.1349390887346629</v>
          </cell>
          <cell r="F754">
            <v>3.3906651609562051</v>
          </cell>
          <cell r="G754">
            <v>4.3176284993532796</v>
          </cell>
          <cell r="H754">
            <v>18.917064735899679</v>
          </cell>
          <cell r="I754">
            <v>19.882027881147369</v>
          </cell>
          <cell r="J754">
            <v>20.896211173539683</v>
          </cell>
          <cell r="K754">
            <v>21.962128263322818</v>
          </cell>
          <cell r="L754">
            <v>23.082418142274459</v>
          </cell>
          <cell r="M754">
            <v>24.259853970431077</v>
          </cell>
          <cell r="N754">
            <v>25.497351378194278</v>
          </cell>
          <cell r="O754">
            <v>26.797973976723878</v>
          </cell>
          <cell r="P754">
            <v>28.164948514175606</v>
          </cell>
        </row>
        <row r="755">
          <cell r="B755" t="str">
            <v>RHES-ESOLPV</v>
          </cell>
          <cell r="C755" t="str">
            <v>VAR_fin</v>
          </cell>
          <cell r="D755" t="str">
            <v>SOLPVC</v>
          </cell>
          <cell r="E755">
            <v>2.1349390887346602</v>
          </cell>
          <cell r="F755">
            <v>3.3906651609562002</v>
          </cell>
          <cell r="G755">
            <v>4.3176284993532796</v>
          </cell>
          <cell r="H755">
            <v>18.9170647358997</v>
          </cell>
          <cell r="I755">
            <v>19.882027881147401</v>
          </cell>
          <cell r="J755">
            <v>20.896211173539701</v>
          </cell>
          <cell r="K755">
            <v>21.9621282633228</v>
          </cell>
          <cell r="L755">
            <v>23.082418142274499</v>
          </cell>
          <cell r="M755">
            <v>24.259853970431099</v>
          </cell>
          <cell r="N755">
            <v>25.497351378194299</v>
          </cell>
          <cell r="O755">
            <v>26.797973976723899</v>
          </cell>
          <cell r="P755">
            <v>28.164948514175599</v>
          </cell>
        </row>
        <row r="756">
          <cell r="B756" t="str">
            <v>RHES-ESOLPV</v>
          </cell>
          <cell r="C756" t="str">
            <v>VAR_ncap</v>
          </cell>
          <cell r="D756" t="str">
            <v>-</v>
          </cell>
          <cell r="G756">
            <v>2.45418541130035E-7</v>
          </cell>
          <cell r="H756">
            <v>3.4275730331858401</v>
          </cell>
          <cell r="I756">
            <v>0.46160252954487202</v>
          </cell>
          <cell r="J756">
            <v>0.75117028019874399</v>
          </cell>
          <cell r="K756">
            <v>1.87940008446949</v>
          </cell>
          <cell r="L756">
            <v>2.6181313447735399</v>
          </cell>
          <cell r="M756">
            <v>0.71228792580252898</v>
          </cell>
          <cell r="N756">
            <v>1.09790947942934</v>
          </cell>
          <cell r="O756">
            <v>2.20115806562502</v>
          </cell>
          <cell r="P756">
            <v>2.9563040092430501</v>
          </cell>
        </row>
        <row r="757">
          <cell r="B757" t="str">
            <v>RHES-ESOLPV</v>
          </cell>
          <cell r="C757" t="str">
            <v>VAR_cap</v>
          </cell>
          <cell r="D757" t="str">
            <v>-</v>
          </cell>
          <cell r="E757">
            <v>0.67885700000000004</v>
          </cell>
          <cell r="F757">
            <v>1.1558999176781499</v>
          </cell>
          <cell r="G757">
            <v>1.2891572454185412</v>
          </cell>
          <cell r="H757">
            <v>4.6798474436607602</v>
          </cell>
          <cell r="I757">
            <v>4.9185672973279102</v>
          </cell>
          <cell r="J757">
            <v>5.1694637265425403</v>
          </cell>
          <cell r="K757">
            <v>5.4331583946933399</v>
          </cell>
          <cell r="L757">
            <v>5.7103042389866498</v>
          </cell>
          <cell r="M757">
            <v>6.0015872996183397</v>
          </cell>
          <cell r="N757">
            <v>6.3077288344748998</v>
          </cell>
          <cell r="O757">
            <v>6.6294868156304396</v>
          </cell>
          <cell r="P757">
            <v>6.9676594800999503</v>
          </cell>
        </row>
        <row r="758">
          <cell r="B758" t="str">
            <v>SUP_DAC</v>
          </cell>
          <cell r="C758" t="str">
            <v>VAR_fout</v>
          </cell>
          <cell r="D758" t="str">
            <v>CO2_O</v>
          </cell>
          <cell r="J758">
            <v>1.9430678985890382E-3</v>
          </cell>
          <cell r="K758">
            <v>3.1391762835147083E-3</v>
          </cell>
          <cell r="L758">
            <v>96.149909621709241</v>
          </cell>
          <cell r="M758">
            <v>214.27537892772824</v>
          </cell>
          <cell r="N758">
            <v>1418.6254257380408</v>
          </cell>
          <cell r="O758">
            <v>2074.3549650134742</v>
          </cell>
          <cell r="P758">
            <v>2756.9083032561766</v>
          </cell>
        </row>
        <row r="759">
          <cell r="B759" t="str">
            <v>SUP_DAC</v>
          </cell>
          <cell r="C759" t="str">
            <v>VAR_fout</v>
          </cell>
          <cell r="D759" t="str">
            <v>CO2</v>
          </cell>
          <cell r="J759">
            <v>-1.9430678985890399E-3</v>
          </cell>
          <cell r="K759">
            <v>-3.13917628351471E-3</v>
          </cell>
          <cell r="L759">
            <v>-96.149909621709398</v>
          </cell>
          <cell r="M759">
            <v>-214.27537892772801</v>
          </cell>
          <cell r="N759">
            <v>-1418.6254257380399</v>
          </cell>
          <cell r="O759">
            <v>-2074.3549650134701</v>
          </cell>
          <cell r="P759">
            <v>-2756.9083032561798</v>
          </cell>
        </row>
        <row r="760">
          <cell r="B760" t="str">
            <v>SUP_DAC</v>
          </cell>
          <cell r="C760" t="str">
            <v>VAR_fin</v>
          </cell>
          <cell r="D760" t="str">
            <v>CHEAT</v>
          </cell>
          <cell r="J760">
            <v>1.2919808847011715E-5</v>
          </cell>
          <cell r="K760">
            <v>2.0440669177246615E-5</v>
          </cell>
          <cell r="L760">
            <v>0.612837456736403</v>
          </cell>
          <cell r="M760">
            <v>1.365742087329521</v>
          </cell>
          <cell r="N760">
            <v>9.0419928774909817</v>
          </cell>
          <cell r="O760">
            <v>13.221462465528491</v>
          </cell>
          <cell r="P760">
            <v>17.57190079190168</v>
          </cell>
        </row>
        <row r="761">
          <cell r="B761" t="str">
            <v>SUP_DAC</v>
          </cell>
          <cell r="C761" t="str">
            <v>VAR_fin</v>
          </cell>
          <cell r="D761" t="str">
            <v>CELC</v>
          </cell>
          <cell r="J761">
            <v>2.6943874860434677E-6</v>
          </cell>
          <cell r="K761">
            <v>3.6048207655693908E-6</v>
          </cell>
          <cell r="L761">
            <v>8.7496417755755437E-2</v>
          </cell>
          <cell r="M761">
            <v>0.19499059482423273</v>
          </cell>
          <cell r="N761">
            <v>1.2909491374216155</v>
          </cell>
          <cell r="O761">
            <v>1.8876630181622605</v>
          </cell>
          <cell r="P761">
            <v>2.5087865559631211</v>
          </cell>
        </row>
        <row r="762">
          <cell r="B762" t="str">
            <v>SUP_DAC</v>
          </cell>
          <cell r="C762" t="str">
            <v>VAR_ncap</v>
          </cell>
          <cell r="D762" t="str">
            <v>-</v>
          </cell>
          <cell r="J762">
            <v>5.1725774414957499E-4</v>
          </cell>
          <cell r="K762">
            <v>1.3516660271754499E-4</v>
          </cell>
          <cell r="L762">
            <v>12.1949410306765</v>
          </cell>
          <cell r="M762">
            <v>14.983415442384601</v>
          </cell>
          <cell r="N762">
            <v>152.75893345662001</v>
          </cell>
          <cell r="O762">
            <v>97.957102845624902</v>
          </cell>
          <cell r="P762">
            <v>98.968408123258001</v>
          </cell>
        </row>
        <row r="763">
          <cell r="B763" t="str">
            <v>SUP_DAC</v>
          </cell>
          <cell r="C763" t="str">
            <v>VAR_cap</v>
          </cell>
          <cell r="D763" t="str">
            <v>-</v>
          </cell>
          <cell r="J763">
            <v>5.1725774414957499E-4</v>
          </cell>
          <cell r="K763">
            <v>6.5072641422866061E-4</v>
          </cell>
          <cell r="L763">
            <v>12.195580688809033</v>
          </cell>
          <cell r="M763">
            <v>27.178514975623465</v>
          </cell>
          <cell r="N763">
            <v>179.9372765116193</v>
          </cell>
          <cell r="O763">
            <v>263.1094637600479</v>
          </cell>
          <cell r="P763">
            <v>349.68442696664721</v>
          </cell>
        </row>
        <row r="764">
          <cell r="B764" t="str">
            <v>EHYD-DAM10</v>
          </cell>
          <cell r="C764" t="str">
            <v>VAR_fout</v>
          </cell>
          <cell r="D764" t="str">
            <v>ELC</v>
          </cell>
          <cell r="F764">
            <v>3.0799889105755803E-3</v>
          </cell>
          <cell r="G764">
            <v>2.1531953335922734E-2</v>
          </cell>
          <cell r="H764">
            <v>0.73810294493464246</v>
          </cell>
          <cell r="I764">
            <v>0.73618874372188792</v>
          </cell>
          <cell r="J764">
            <v>0.73440703372984395</v>
          </cell>
          <cell r="K764">
            <v>0.72821719607239221</v>
          </cell>
          <cell r="L764">
            <v>0.72838997318001431</v>
          </cell>
          <cell r="M764">
            <v>0.7287692086253964</v>
          </cell>
          <cell r="N764">
            <v>0.73051741726436559</v>
          </cell>
          <cell r="O764">
            <v>0.72618795208905007</v>
          </cell>
          <cell r="P764">
            <v>0.72823302261768819</v>
          </cell>
        </row>
        <row r="765">
          <cell r="B765" t="str">
            <v>EHYD-DAM10</v>
          </cell>
          <cell r="C765" t="str">
            <v>VAR_fin</v>
          </cell>
          <cell r="D765" t="str">
            <v>HYDD</v>
          </cell>
          <cell r="F765">
            <v>3.0799889105755803E-3</v>
          </cell>
          <cell r="G765">
            <v>2.1531953335922734E-2</v>
          </cell>
          <cell r="H765">
            <v>0.73810294493464246</v>
          </cell>
          <cell r="I765">
            <v>0.73618874372188792</v>
          </cell>
          <cell r="J765">
            <v>0.73440703372984395</v>
          </cell>
          <cell r="K765">
            <v>0.72821719607239221</v>
          </cell>
          <cell r="L765">
            <v>0.72838997318001431</v>
          </cell>
          <cell r="M765">
            <v>0.7287692086253964</v>
          </cell>
          <cell r="N765">
            <v>0.73051741726436559</v>
          </cell>
          <cell r="O765">
            <v>0.72618795208905007</v>
          </cell>
          <cell r="P765">
            <v>0.72823302261768819</v>
          </cell>
        </row>
        <row r="766">
          <cell r="B766" t="str">
            <v>EHYD-DAM10</v>
          </cell>
          <cell r="C766" t="str">
            <v>VAR_ncap</v>
          </cell>
          <cell r="D766" t="str">
            <v>-</v>
          </cell>
          <cell r="F766">
            <v>3.9148589723984298E-4</v>
          </cell>
          <cell r="G766">
            <v>1.95008794207222E-3</v>
          </cell>
          <cell r="H766">
            <v>7.2958922261865095E-2</v>
          </cell>
          <cell r="I766">
            <v>5.8358052751929897E-8</v>
          </cell>
          <cell r="J766">
            <v>2.9739062318720501E-8</v>
          </cell>
          <cell r="K766">
            <v>1.4935222350183199E-8</v>
          </cell>
          <cell r="O766">
            <v>9.7590877196717996E-8</v>
          </cell>
          <cell r="P766">
            <v>3.1440382589953099E-8</v>
          </cell>
        </row>
        <row r="767">
          <cell r="B767" t="str">
            <v>EHYD-DAM10</v>
          </cell>
          <cell r="C767" t="str">
            <v>VAR_cap</v>
          </cell>
          <cell r="D767" t="str">
            <v>-</v>
          </cell>
          <cell r="F767">
            <v>3.9148589723984298E-4</v>
          </cell>
          <cell r="G767">
            <v>2.34157383931206E-3</v>
          </cell>
          <cell r="H767">
            <v>7.5300496101177103E-2</v>
          </cell>
          <cell r="I767">
            <v>7.5300554459229896E-2</v>
          </cell>
          <cell r="J767">
            <v>7.5300584198292206E-2</v>
          </cell>
          <cell r="K767">
            <v>7.5300599133514501E-2</v>
          </cell>
          <cell r="L767">
            <v>7.5300599133514501E-2</v>
          </cell>
          <cell r="M767">
            <v>7.5300599133514501E-2</v>
          </cell>
          <cell r="N767">
            <v>7.5300599133514501E-2</v>
          </cell>
          <cell r="O767">
            <v>7.53006967243917E-2</v>
          </cell>
          <cell r="P767">
            <v>7.5300728164774303E-2</v>
          </cell>
        </row>
        <row r="768">
          <cell r="B768" t="str">
            <v>DH-EBAT</v>
          </cell>
          <cell r="C768" t="str">
            <v>VAR_fout</v>
          </cell>
          <cell r="D768" t="str">
            <v>ELC35</v>
          </cell>
          <cell r="E768">
            <v>9.3815147459513709E-4</v>
          </cell>
          <cell r="F768">
            <v>7.5613276214147478E-4</v>
          </cell>
          <cell r="G768">
            <v>9.1853707396935297E-4</v>
          </cell>
          <cell r="H768">
            <v>9.6869787214046068E-4</v>
          </cell>
          <cell r="I768">
            <v>1.2561646898472055E-2</v>
          </cell>
          <cell r="J768">
            <v>1.8302360848023003E-2</v>
          </cell>
          <cell r="K768">
            <v>1.0666244012692276</v>
          </cell>
          <cell r="L768">
            <v>1.6805950604913313</v>
          </cell>
          <cell r="M768">
            <v>2.8492944700224276</v>
          </cell>
          <cell r="N768">
            <v>2.8035916191934671</v>
          </cell>
          <cell r="O768">
            <v>3.1060357056832966</v>
          </cell>
          <cell r="P768">
            <v>3.5616835515549656</v>
          </cell>
        </row>
        <row r="769">
          <cell r="B769" t="str">
            <v>DH-EBAT</v>
          </cell>
          <cell r="C769" t="str">
            <v>VAR_fout</v>
          </cell>
          <cell r="D769" t="str">
            <v>AUX_DH-EBAT_OUT</v>
          </cell>
          <cell r="E769">
            <v>9.3815147459513676E-4</v>
          </cell>
          <cell r="F769">
            <v>7.5613276214147457E-4</v>
          </cell>
          <cell r="G769">
            <v>9.1853707396935265E-4</v>
          </cell>
          <cell r="H769">
            <v>9.6869787214046014E-4</v>
          </cell>
          <cell r="I769">
            <v>1.2561646898472049E-2</v>
          </cell>
          <cell r="J769">
            <v>1.8302360848022999E-2</v>
          </cell>
          <cell r="K769">
            <v>1.0666244012692274</v>
          </cell>
          <cell r="L769">
            <v>1.6805950604913307</v>
          </cell>
          <cell r="M769">
            <v>2.8492944700224259</v>
          </cell>
          <cell r="N769">
            <v>2.8035916191934653</v>
          </cell>
          <cell r="O769">
            <v>3.1060357056832952</v>
          </cell>
          <cell r="P769">
            <v>3.5616835515549647</v>
          </cell>
        </row>
        <row r="770">
          <cell r="B770" t="str">
            <v>DH-EBAT</v>
          </cell>
          <cell r="C770" t="str">
            <v>VAR_fin</v>
          </cell>
          <cell r="D770" t="str">
            <v>ELC35</v>
          </cell>
          <cell r="E770">
            <v>1.0493218910473661E-3</v>
          </cell>
          <cell r="F770">
            <v>8.455989295997118E-4</v>
          </cell>
          <cell r="G770">
            <v>1.0272566175683149E-3</v>
          </cell>
          <cell r="H770">
            <v>1.0833799765445349E-3</v>
          </cell>
          <cell r="I770">
            <v>1.4047049522722016E-2</v>
          </cell>
          <cell r="J770">
            <v>2.0466303845287009E-2</v>
          </cell>
          <cell r="K770">
            <v>1.192732430281636</v>
          </cell>
          <cell r="L770">
            <v>1.8792936464910388</v>
          </cell>
          <cell r="M770">
            <v>3.1861693162236651</v>
          </cell>
          <cell r="N770">
            <v>3.1350630358691682</v>
          </cell>
          <cell r="O770">
            <v>3.4732653347706641</v>
          </cell>
          <cell r="P770">
            <v>3.9827849405812072</v>
          </cell>
        </row>
        <row r="771">
          <cell r="B771" t="str">
            <v>DH-EBAT</v>
          </cell>
          <cell r="C771" t="str">
            <v>VAR_fin</v>
          </cell>
          <cell r="D771" t="str">
            <v>AUX_DH-EBAT_IN</v>
          </cell>
          <cell r="E771">
            <v>1.0493218910473661E-3</v>
          </cell>
          <cell r="F771">
            <v>8.455989295997118E-4</v>
          </cell>
          <cell r="G771">
            <v>1.0272566175683149E-3</v>
          </cell>
          <cell r="H771">
            <v>1.0833799765445349E-3</v>
          </cell>
          <cell r="I771">
            <v>1.4047049522722016E-2</v>
          </cell>
          <cell r="J771">
            <v>2.0466303845287009E-2</v>
          </cell>
          <cell r="K771">
            <v>1.192732430281636</v>
          </cell>
          <cell r="L771">
            <v>1.8792936464910388</v>
          </cell>
          <cell r="M771">
            <v>3.1861693162236651</v>
          </cell>
          <cell r="N771">
            <v>3.1350630358691682</v>
          </cell>
          <cell r="O771">
            <v>3.4732653347706641</v>
          </cell>
          <cell r="P771">
            <v>3.9827849405812072</v>
          </cell>
        </row>
        <row r="772">
          <cell r="B772" t="str">
            <v>DH-EBAT</v>
          </cell>
          <cell r="C772" t="str">
            <v>VAR_ncap</v>
          </cell>
          <cell r="D772" t="str">
            <v>-</v>
          </cell>
          <cell r="E772">
            <v>1.3007250809375301E-4</v>
          </cell>
          <cell r="F772">
            <v>2.0353938537334499E-7</v>
          </cell>
          <cell r="G772">
            <v>7.1344489579753005E-7</v>
          </cell>
          <cell r="H772">
            <v>3.7836275260155999E-5</v>
          </cell>
          <cell r="I772">
            <v>2.0495295469007101E-3</v>
          </cell>
          <cell r="J772">
            <v>2.61735742779425E-3</v>
          </cell>
          <cell r="K772">
            <v>0.33258768997876098</v>
          </cell>
          <cell r="L772">
            <v>0.21361270250501899</v>
          </cell>
          <cell r="M772">
            <v>0.248209205256091</v>
          </cell>
          <cell r="N772">
            <v>0.29997367211613402</v>
          </cell>
          <cell r="O772">
            <v>0.38928101257936998</v>
          </cell>
          <cell r="P772">
            <v>0.18277574897532101</v>
          </cell>
        </row>
        <row r="773">
          <cell r="B773" t="str">
            <v>DH-EBAT</v>
          </cell>
          <cell r="C773" t="str">
            <v>VAR_cap</v>
          </cell>
          <cell r="D773" t="str">
            <v>-</v>
          </cell>
          <cell r="E773">
            <v>1.3007250809375301E-4</v>
          </cell>
          <cell r="F773">
            <v>1.30238053211357E-4</v>
          </cell>
          <cell r="G773">
            <v>1.3086658207921663E-4</v>
          </cell>
          <cell r="H773">
            <v>1.3368489086647148E-4</v>
          </cell>
          <cell r="I773">
            <v>2.0875627616560185E-3</v>
          </cell>
          <cell r="J773">
            <v>4.6746372725716568E-3</v>
          </cell>
          <cell r="K773">
            <v>0.33626753685271182</v>
          </cell>
          <cell r="L773">
            <v>0.54709392694297165</v>
          </cell>
          <cell r="M773">
            <v>0.61142304254414237</v>
          </cell>
          <cell r="N773">
            <v>0.65762536722156562</v>
          </cell>
          <cell r="O773">
            <v>0.73321748924710806</v>
          </cell>
          <cell r="P773">
            <v>0.77449687755939423</v>
          </cell>
        </row>
        <row r="774">
          <cell r="B774" t="str">
            <v>RHEM-EBAT</v>
          </cell>
          <cell r="C774" t="str">
            <v>VAR_fout</v>
          </cell>
          <cell r="D774" t="str">
            <v>RHEM_ELC</v>
          </cell>
          <cell r="E774">
            <v>3.0372571936233513E-4</v>
          </cell>
          <cell r="F774">
            <v>3.0351483579277771E-4</v>
          </cell>
          <cell r="G774">
            <v>3.0444487792332634E-4</v>
          </cell>
          <cell r="H774">
            <v>1.9670325378681582E-2</v>
          </cell>
          <cell r="I774">
            <v>3.8915024945511696E-2</v>
          </cell>
          <cell r="J774">
            <v>3.045358493900148E-2</v>
          </cell>
          <cell r="K774">
            <v>2.1150387240193233E-2</v>
          </cell>
          <cell r="L774">
            <v>6.2359950718764538E-2</v>
          </cell>
          <cell r="M774">
            <v>5.6390180452743563E-2</v>
          </cell>
          <cell r="N774">
            <v>5.5454942893984074E-2</v>
          </cell>
          <cell r="O774">
            <v>6.0547665606466496E-2</v>
          </cell>
          <cell r="P774">
            <v>9.2303274265409699E-2</v>
          </cell>
        </row>
        <row r="775">
          <cell r="B775" t="str">
            <v>RHEM-EBAT</v>
          </cell>
          <cell r="C775" t="str">
            <v>VAR_fout</v>
          </cell>
          <cell r="D775" t="str">
            <v>AUX_RHEM-EBAT_OUT</v>
          </cell>
          <cell r="E775">
            <v>3.037257193623354E-4</v>
          </cell>
          <cell r="F775">
            <v>3.0351483579277804E-4</v>
          </cell>
          <cell r="G775">
            <v>3.0444487792332677E-4</v>
          </cell>
          <cell r="H775">
            <v>1.9670325378681599E-2</v>
          </cell>
          <cell r="I775">
            <v>3.8915024945511731E-2</v>
          </cell>
          <cell r="J775">
            <v>3.0453584939001497E-2</v>
          </cell>
          <cell r="K775">
            <v>2.115038724019325E-2</v>
          </cell>
          <cell r="L775">
            <v>6.2359950718764594E-2</v>
          </cell>
          <cell r="M775">
            <v>5.6390180452743618E-2</v>
          </cell>
          <cell r="N775">
            <v>5.5454942893984109E-2</v>
          </cell>
          <cell r="O775">
            <v>6.0547665606466586E-2</v>
          </cell>
          <cell r="P775">
            <v>9.2303274265409754E-2</v>
          </cell>
        </row>
        <row r="776">
          <cell r="B776" t="str">
            <v>RHEM-EBAT</v>
          </cell>
          <cell r="C776" t="str">
            <v>VAR_fin</v>
          </cell>
          <cell r="D776" t="str">
            <v>RHEM_ELC</v>
          </cell>
          <cell r="E776">
            <v>3.3604751811496138E-4</v>
          </cell>
          <cell r="F776">
            <v>3.3585760574021944E-4</v>
          </cell>
          <cell r="G776">
            <v>3.36799447398646E-4</v>
          </cell>
          <cell r="H776">
            <v>2.175281468471307E-2</v>
          </cell>
          <cell r="I776">
            <v>4.3034850264723638E-2</v>
          </cell>
          <cell r="J776">
            <v>3.3677577239525927E-2</v>
          </cell>
          <cell r="K776">
            <v>2.3389522138079148E-2</v>
          </cell>
          <cell r="L776">
            <v>6.8961938962779537E-2</v>
          </cell>
          <cell r="M776">
            <v>6.2360047728854569E-2</v>
          </cell>
          <cell r="N776">
            <v>6.1325927531546323E-2</v>
          </cell>
          <cell r="O776">
            <v>6.6957737010998442E-2</v>
          </cell>
          <cell r="P776">
            <v>0.10207534191871129</v>
          </cell>
        </row>
        <row r="777">
          <cell r="B777" t="str">
            <v>RHEM-EBAT</v>
          </cell>
          <cell r="C777" t="str">
            <v>VAR_fin</v>
          </cell>
          <cell r="D777" t="str">
            <v>AUX_RHEM-EBAT_IN</v>
          </cell>
          <cell r="E777">
            <v>3.3604751811496138E-4</v>
          </cell>
          <cell r="F777">
            <v>3.3585760574021944E-4</v>
          </cell>
          <cell r="G777">
            <v>3.36799447398646E-4</v>
          </cell>
          <cell r="H777">
            <v>2.175281468471307E-2</v>
          </cell>
          <cell r="I777">
            <v>4.3034850264723638E-2</v>
          </cell>
          <cell r="J777">
            <v>3.3677577239525927E-2</v>
          </cell>
          <cell r="K777">
            <v>2.3389522138079148E-2</v>
          </cell>
          <cell r="L777">
            <v>6.8961938962779537E-2</v>
          </cell>
          <cell r="M777">
            <v>6.2360047728854569E-2</v>
          </cell>
          <cell r="N777">
            <v>6.1325927531546323E-2</v>
          </cell>
          <cell r="O777">
            <v>6.6957737010998442E-2</v>
          </cell>
          <cell r="P777">
            <v>0.10207534191871129</v>
          </cell>
        </row>
        <row r="778">
          <cell r="B778" t="str">
            <v>RHEM-EBAT</v>
          </cell>
          <cell r="C778" t="str">
            <v>VAR_ncap</v>
          </cell>
          <cell r="D778" t="str">
            <v>-</v>
          </cell>
          <cell r="E778">
            <v>1.21569765805236E-4</v>
          </cell>
          <cell r="F778">
            <v>1.95940664571613E-7</v>
          </cell>
          <cell r="G778">
            <v>5.3175308375756805E-7</v>
          </cell>
          <cell r="H778">
            <v>1.6487680345617799E-2</v>
          </cell>
          <cell r="I778">
            <v>1.79714119806143E-3</v>
          </cell>
          <cell r="J778">
            <v>8.2935606064195293E-3</v>
          </cell>
          <cell r="K778">
            <v>1.0712653084384101E-3</v>
          </cell>
          <cell r="L778">
            <v>2.1733175996746699E-2</v>
          </cell>
          <cell r="M778">
            <v>8.8467914142450099E-4</v>
          </cell>
          <cell r="N778">
            <v>1.0700843828886799E-2</v>
          </cell>
          <cell r="O778">
            <v>1.39463155352189E-2</v>
          </cell>
          <cell r="P778">
            <v>1.66428274331437E-2</v>
          </cell>
        </row>
        <row r="779">
          <cell r="B779" t="str">
            <v>RHEM-EBAT</v>
          </cell>
          <cell r="C779" t="str">
            <v>VAR_cap</v>
          </cell>
          <cell r="D779" t="str">
            <v>-</v>
          </cell>
          <cell r="E779">
            <v>1.2431628723858946E-4</v>
          </cell>
          <cell r="F779">
            <v>1.2445098966125945E-4</v>
          </cell>
          <cell r="G779">
            <v>1.2485346669843434E-4</v>
          </cell>
          <cell r="H779">
            <v>1.657714571642168E-2</v>
          </cell>
          <cell r="I779">
            <v>1.8284989733500283E-2</v>
          </cell>
          <cell r="J779">
            <v>1.3552953597141206E-2</v>
          </cell>
          <cell r="K779">
            <v>1.0296535202357878E-2</v>
          </cell>
          <cell r="L779">
            <v>2.5637234955046915E-2</v>
          </cell>
          <cell r="M779">
            <v>2.3099549853926819E-2</v>
          </cell>
          <cell r="N779">
            <v>2.2720075771618879E-2</v>
          </cell>
          <cell r="O779">
            <v>2.4803633869300398E-2</v>
          </cell>
          <cell r="P779">
            <v>3.7810291140548034E-2</v>
          </cell>
        </row>
        <row r="780">
          <cell r="B780" t="str">
            <v>HPLGEO</v>
          </cell>
          <cell r="C780" t="str">
            <v>VAR_fout</v>
          </cell>
          <cell r="D780" t="str">
            <v>LTH</v>
          </cell>
          <cell r="J780">
            <v>1.2624651877967116E-4</v>
          </cell>
          <cell r="K780">
            <v>1.2670362025095916E-4</v>
          </cell>
          <cell r="L780">
            <v>1.27922135816608E-4</v>
          </cell>
          <cell r="M780">
            <v>1.2930351668822507E-4</v>
          </cell>
          <cell r="N780">
            <v>1.418304122765964E-4</v>
          </cell>
          <cell r="O780">
            <v>1.4404905663952872E-4</v>
          </cell>
          <cell r="P780">
            <v>3.1326583997625811E-4</v>
          </cell>
        </row>
        <row r="781">
          <cell r="B781" t="str">
            <v>HPLGEO</v>
          </cell>
          <cell r="C781" t="str">
            <v>VAR_fin</v>
          </cell>
          <cell r="D781" t="str">
            <v>GEO</v>
          </cell>
          <cell r="J781">
            <v>1.4852531621137782E-4</v>
          </cell>
          <cell r="K781">
            <v>1.4906308264818745E-4</v>
          </cell>
          <cell r="L781">
            <v>1.5049663037248025E-4</v>
          </cell>
          <cell r="M781">
            <v>1.5212178433908838E-4</v>
          </cell>
          <cell r="N781">
            <v>1.6685930856070156E-4</v>
          </cell>
          <cell r="O781">
            <v>1.6946947839944536E-4</v>
          </cell>
          <cell r="P781">
            <v>3.6854804703089178E-4</v>
          </cell>
        </row>
        <row r="782">
          <cell r="B782" t="str">
            <v>HPLGEO</v>
          </cell>
          <cell r="C782" t="str">
            <v>VAR_ncap</v>
          </cell>
          <cell r="D782" t="str">
            <v>-</v>
          </cell>
          <cell r="J782">
            <v>6.4854228908763001E-6</v>
          </cell>
          <cell r="K782">
            <v>3.5165831452910602E-8</v>
          </cell>
          <cell r="L782">
            <v>1.68122773758616E-6</v>
          </cell>
          <cell r="M782">
            <v>8.9873135222267904E-8</v>
          </cell>
          <cell r="N782">
            <v>7.5384354736568799E-6</v>
          </cell>
          <cell r="O782">
            <v>1.8192557762671E-7</v>
          </cell>
          <cell r="P782">
            <v>1.1869725785060499E-5</v>
          </cell>
        </row>
        <row r="783">
          <cell r="B783" t="str">
            <v>HPLGEO</v>
          </cell>
          <cell r="C783" t="str">
            <v>VAR_cap</v>
          </cell>
          <cell r="D783" t="str">
            <v>-</v>
          </cell>
          <cell r="J783">
            <v>6.4854228908763001E-6</v>
          </cell>
          <cell r="K783">
            <v>6.5205887223292098E-6</v>
          </cell>
          <cell r="L783">
            <v>8.2018164599153704E-6</v>
          </cell>
          <cell r="M783">
            <v>7.4324007101497E-6</v>
          </cell>
          <cell r="N783">
            <v>9.3447021779182195E-6</v>
          </cell>
          <cell r="O783">
            <v>9.4914619240920192E-6</v>
          </cell>
          <cell r="P783">
            <v>1.96799599715664E-5</v>
          </cell>
        </row>
        <row r="784">
          <cell r="B784" t="str">
            <v>CT_CWODBDSCCS</v>
          </cell>
          <cell r="C784" t="str">
            <v>VAR_fout</v>
          </cell>
          <cell r="D784" t="str">
            <v>CO2_O</v>
          </cell>
          <cell r="J784">
            <v>6.634251467577487E-3</v>
          </cell>
          <cell r="K784">
            <v>1.0561104482861416E-2</v>
          </cell>
          <cell r="L784">
            <v>604.36664132676901</v>
          </cell>
          <cell r="M784">
            <v>641.40545832154532</v>
          </cell>
          <cell r="N784">
            <v>604.36654102854186</v>
          </cell>
          <cell r="O784">
            <v>641.61583733478528</v>
          </cell>
          <cell r="P784">
            <v>707.87831979882606</v>
          </cell>
        </row>
        <row r="785">
          <cell r="B785" t="str">
            <v>CT_CWODBDSCCS</v>
          </cell>
          <cell r="C785" t="str">
            <v>VAR_fout</v>
          </cell>
          <cell r="D785" t="str">
            <v>CO2</v>
          </cell>
          <cell r="J785">
            <v>-6.6342514675774896E-3</v>
          </cell>
          <cell r="K785">
            <v>-1.05611044828614E-2</v>
          </cell>
          <cell r="L785">
            <v>-604.36664132676799</v>
          </cell>
          <cell r="M785">
            <v>-641.40545832154601</v>
          </cell>
          <cell r="N785">
            <v>-604.36654102854197</v>
          </cell>
          <cell r="O785">
            <v>-641.61583733478506</v>
          </cell>
          <cell r="P785">
            <v>-707.87831979882696</v>
          </cell>
        </row>
        <row r="786">
          <cell r="B786" t="str">
            <v>CT_CWODBDSCCS</v>
          </cell>
          <cell r="C786" t="str">
            <v>VAR_fout</v>
          </cell>
          <cell r="D786" t="str">
            <v>BDS</v>
          </cell>
          <cell r="J786">
            <v>3.7120790679674651E-5</v>
          </cell>
          <cell r="K786">
            <v>5.9092808099061336E-5</v>
          </cell>
          <cell r="L786">
            <v>3.3816275575488572</v>
          </cell>
          <cell r="M786">
            <v>3.5888717627776279</v>
          </cell>
          <cell r="N786">
            <v>3.3816269963477192</v>
          </cell>
          <cell r="O786">
            <v>3.5900489016533577</v>
          </cell>
          <cell r="P786">
            <v>3.9608090022440976</v>
          </cell>
        </row>
        <row r="787">
          <cell r="B787" t="str">
            <v>CT_CWODBDSCCS</v>
          </cell>
          <cell r="C787" t="str">
            <v>VAR_fout</v>
          </cell>
          <cell r="D787" t="str">
            <v>LTH</v>
          </cell>
          <cell r="J787">
            <v>1.4477108365073099E-5</v>
          </cell>
          <cell r="K787">
            <v>2.3046195158633885E-5</v>
          </cell>
          <cell r="L787">
            <v>1.3188347474440534</v>
          </cell>
          <cell r="M787">
            <v>1.3996599874832742</v>
          </cell>
          <cell r="N787">
            <v>1.3188345285756093</v>
          </cell>
          <cell r="O787">
            <v>1.4001190716448078</v>
          </cell>
          <cell r="P787">
            <v>1.5447155108751958</v>
          </cell>
        </row>
        <row r="788">
          <cell r="B788" t="str">
            <v>CT_CWODBDSCCS</v>
          </cell>
          <cell r="C788" t="str">
            <v>VAR_fin</v>
          </cell>
          <cell r="D788" t="str">
            <v>CWOD</v>
          </cell>
          <cell r="J788">
            <v>1.057756930417329E-4</v>
          </cell>
          <cell r="K788">
            <v>1.6838495667827519E-4</v>
          </cell>
          <cell r="L788">
            <v>9.6359477252354626</v>
          </cell>
          <cell r="M788">
            <v>10.226490088034849</v>
          </cell>
          <cell r="N788">
            <v>9.6359461260928274</v>
          </cell>
          <cell r="O788">
            <v>10.229844345261245</v>
          </cell>
          <cell r="P788">
            <v>11.286325251894551</v>
          </cell>
        </row>
        <row r="789">
          <cell r="B789" t="str">
            <v>CT_CWODBDSCCS</v>
          </cell>
          <cell r="C789" t="str">
            <v>VAR_fin</v>
          </cell>
          <cell r="D789" t="str">
            <v>CELC</v>
          </cell>
          <cell r="J789">
            <v>4.7912334827265816E-6</v>
          </cell>
          <cell r="K789">
            <v>7.6271931596431249E-6</v>
          </cell>
          <cell r="L789">
            <v>0.43647149974934202</v>
          </cell>
          <cell r="M789">
            <v>0.46322080538136978</v>
          </cell>
          <cell r="N789">
            <v>0.43647142731430932</v>
          </cell>
          <cell r="O789">
            <v>0.46337274037768716</v>
          </cell>
          <cell r="P789">
            <v>0.51122727621822084</v>
          </cell>
        </row>
        <row r="790">
          <cell r="B790" t="str">
            <v>CT_CWODBDSCCS</v>
          </cell>
          <cell r="C790" t="str">
            <v>VAR_ncap</v>
          </cell>
          <cell r="D790" t="str">
            <v>-</v>
          </cell>
          <cell r="J790">
            <v>7.0529744497762303E-6</v>
          </cell>
          <cell r="K790">
            <v>1.0121137302842601E-6</v>
          </cell>
          <cell r="L790">
            <v>0.18930619671472099</v>
          </cell>
          <cell r="M790">
            <v>1.0820835562966201E-2</v>
          </cell>
          <cell r="N790">
            <v>2.9231464309033099E-7</v>
          </cell>
          <cell r="O790">
            <v>1.7730608064972E-6</v>
          </cell>
          <cell r="P790">
            <v>0.21009924568979901</v>
          </cell>
        </row>
        <row r="791">
          <cell r="B791" t="str">
            <v>CT_CWODBDSCCS</v>
          </cell>
          <cell r="C791" t="str">
            <v>VAR_cap</v>
          </cell>
          <cell r="D791" t="str">
            <v>-</v>
          </cell>
          <cell r="J791">
            <v>7.0529744497762303E-6</v>
          </cell>
          <cell r="K791">
            <v>8.0650881800604908E-6</v>
          </cell>
          <cell r="L791">
            <v>0.18931426180290101</v>
          </cell>
          <cell r="M791">
            <v>0.20013416287899499</v>
          </cell>
          <cell r="N791">
            <v>0.20012833670606101</v>
          </cell>
          <cell r="O791">
            <v>0.20012909765313699</v>
          </cell>
          <cell r="P791">
            <v>0.22092214662821499</v>
          </cell>
        </row>
        <row r="792">
          <cell r="B792" t="str">
            <v>EHYD-PUM15</v>
          </cell>
          <cell r="C792" t="str">
            <v>VAR_fout</v>
          </cell>
          <cell r="D792" t="str">
            <v>ELC</v>
          </cell>
          <cell r="F792">
            <v>5.3467696833804808E-4</v>
          </cell>
          <cell r="G792">
            <v>6.5320728239762953E-4</v>
          </cell>
          <cell r="H792">
            <v>7.3739978884047896E-4</v>
          </cell>
          <cell r="I792">
            <v>6.6474070531788085E-4</v>
          </cell>
          <cell r="J792">
            <v>6.4838454586965124E-4</v>
          </cell>
          <cell r="K792">
            <v>6.9462305560366729E-4</v>
          </cell>
          <cell r="L792">
            <v>9.759342206339301E-4</v>
          </cell>
          <cell r="M792">
            <v>9.4012460830738133E-4</v>
          </cell>
          <cell r="N792">
            <v>1.2398229661504051E-3</v>
          </cell>
          <cell r="O792">
            <v>1.2171457334880906E-3</v>
          </cell>
          <cell r="P792">
            <v>2.4373553054790943E-3</v>
          </cell>
        </row>
        <row r="793">
          <cell r="B793" t="str">
            <v>EHYD-PUM15</v>
          </cell>
          <cell r="C793" t="str">
            <v>VAR_fout</v>
          </cell>
          <cell r="D793" t="str">
            <v>AUX_PUMP_OUT</v>
          </cell>
          <cell r="F793">
            <v>5.3467696833804808E-4</v>
          </cell>
          <cell r="G793">
            <v>6.5320728239762953E-4</v>
          </cell>
          <cell r="H793">
            <v>7.3739978884047896E-4</v>
          </cell>
          <cell r="I793">
            <v>6.6474070531788085E-4</v>
          </cell>
          <cell r="J793">
            <v>6.4838454586965124E-4</v>
          </cell>
          <cell r="K793">
            <v>6.9462305560366729E-4</v>
          </cell>
          <cell r="L793">
            <v>9.759342206339301E-4</v>
          </cell>
          <cell r="M793">
            <v>9.4012460830738133E-4</v>
          </cell>
          <cell r="N793">
            <v>1.2398229661504051E-3</v>
          </cell>
          <cell r="O793">
            <v>1.217145733488091E-3</v>
          </cell>
          <cell r="P793">
            <v>2.4373553054790943E-3</v>
          </cell>
        </row>
        <row r="794">
          <cell r="B794" t="str">
            <v>EHYD-PUM15</v>
          </cell>
          <cell r="C794" t="str">
            <v>VAR_fin</v>
          </cell>
          <cell r="D794" t="str">
            <v>AUX_PUMP_IN</v>
          </cell>
          <cell r="F794">
            <v>6.6843280310918945E-4</v>
          </cell>
          <cell r="G794">
            <v>8.1660165028254713E-4</v>
          </cell>
          <cell r="H794">
            <v>9.2185695138092985E-4</v>
          </cell>
          <cell r="I794">
            <v>8.3097523663168481E-4</v>
          </cell>
          <cell r="J794">
            <v>8.1034915577417224E-4</v>
          </cell>
          <cell r="K794">
            <v>8.6814708441461906E-4</v>
          </cell>
          <cell r="L794">
            <v>1.2197853851112356E-3</v>
          </cell>
          <cell r="M794">
            <v>1.175022903354991E-3</v>
          </cell>
          <cell r="N794">
            <v>1.5496456978418322E-3</v>
          </cell>
          <cell r="O794">
            <v>1.5212997305489712E-3</v>
          </cell>
          <cell r="P794">
            <v>3.0465607110845144E-3</v>
          </cell>
        </row>
        <row r="795">
          <cell r="B795" t="str">
            <v>EHYD-PUM15</v>
          </cell>
          <cell r="C795" t="str">
            <v>VAR_fin</v>
          </cell>
          <cell r="D795" t="str">
            <v>ELC</v>
          </cell>
          <cell r="F795">
            <v>6.6843280310918945E-4</v>
          </cell>
          <cell r="G795">
            <v>8.1660165028254713E-4</v>
          </cell>
          <cell r="H795">
            <v>9.2185695138092985E-4</v>
          </cell>
          <cell r="I795">
            <v>8.3097523663168481E-4</v>
          </cell>
          <cell r="J795">
            <v>8.1034915577417224E-4</v>
          </cell>
          <cell r="K795">
            <v>8.6814708441461906E-4</v>
          </cell>
          <cell r="L795">
            <v>1.2197853851112356E-3</v>
          </cell>
          <cell r="M795">
            <v>1.175022903354991E-3</v>
          </cell>
          <cell r="N795">
            <v>1.5496456978418322E-3</v>
          </cell>
          <cell r="O795">
            <v>1.5212997305489712E-3</v>
          </cell>
          <cell r="P795">
            <v>3.0465607110845144E-3</v>
          </cell>
        </row>
        <row r="796">
          <cell r="B796" t="str">
            <v>EHYD-PUM15</v>
          </cell>
          <cell r="C796" t="str">
            <v>VAR_ncap</v>
          </cell>
          <cell r="D796" t="str">
            <v>-</v>
          </cell>
          <cell r="F796">
            <v>6.6937327208566502E-5</v>
          </cell>
          <cell r="G796">
            <v>3.4064187267239998E-7</v>
          </cell>
          <cell r="H796">
            <v>3.53993393453131E-7</v>
          </cell>
          <cell r="I796">
            <v>2.3854912561596001E-7</v>
          </cell>
          <cell r="J796">
            <v>2.6730263140011401E-5</v>
          </cell>
          <cell r="K796">
            <v>1.3492730475060401E-7</v>
          </cell>
          <cell r="L796">
            <v>2.6569334621513101E-5</v>
          </cell>
          <cell r="M796">
            <v>4.3323056143294098E-7</v>
          </cell>
          <cell r="N796">
            <v>1.1825996326956599E-4</v>
          </cell>
        </row>
        <row r="797">
          <cell r="B797" t="str">
            <v>EHYD-PUM15</v>
          </cell>
          <cell r="C797" t="str">
            <v>VAR_cap</v>
          </cell>
          <cell r="D797" t="str">
            <v>-</v>
          </cell>
          <cell r="F797">
            <v>6.6937327208566502E-5</v>
          </cell>
          <cell r="G797">
            <v>6.6937327208566502E-5</v>
          </cell>
          <cell r="H797">
            <v>6.6937327208566502E-5</v>
          </cell>
          <cell r="I797">
            <v>6.7363217018337002E-5</v>
          </cell>
          <cell r="J797">
            <v>6.7631962474692099E-5</v>
          </cell>
          <cell r="K797">
            <v>7.2012881206570605E-5</v>
          </cell>
          <cell r="L797">
            <v>9.4600774740319501E-5</v>
          </cell>
          <cell r="M797">
            <v>9.4714969914474705E-5</v>
          </cell>
          <cell r="N797">
            <v>1.21409366330167E-4</v>
          </cell>
          <cell r="O797">
            <v>1.2173826722801599E-4</v>
          </cell>
          <cell r="P797">
            <v>2.3999823049758199E-4</v>
          </cell>
        </row>
        <row r="798">
          <cell r="B798" t="str">
            <v>D-EWST</v>
          </cell>
          <cell r="C798" t="str">
            <v>VAR_fout</v>
          </cell>
          <cell r="D798" t="str">
            <v>CO2</v>
          </cell>
          <cell r="E798">
            <v>2266.2744617409298</v>
          </cell>
          <cell r="F798">
            <v>2235.4031966119901</v>
          </cell>
          <cell r="G798">
            <v>2268.7811924034499</v>
          </cell>
          <cell r="H798">
            <v>2238.5108032961002</v>
          </cell>
          <cell r="I798">
            <v>2240.4529715680201</v>
          </cell>
          <cell r="J798">
            <v>2266.0991218753302</v>
          </cell>
          <cell r="K798">
            <v>2291.7453689459899</v>
          </cell>
          <cell r="L798">
            <v>2317.3900830082498</v>
          </cell>
          <cell r="M798">
            <v>2317.3896763502198</v>
          </cell>
          <cell r="N798">
            <v>2317.3896940775298</v>
          </cell>
          <cell r="O798">
            <v>2317.38963122221</v>
          </cell>
          <cell r="P798">
            <v>2317.3897497446601</v>
          </cell>
        </row>
        <row r="799">
          <cell r="B799" t="str">
            <v>D-EWST</v>
          </cell>
          <cell r="C799" t="str">
            <v>VAR_fout</v>
          </cell>
          <cell r="D799" t="str">
            <v>EWST</v>
          </cell>
          <cell r="E799">
            <v>48.842122020278701</v>
          </cell>
          <cell r="F799">
            <v>48.176794624937862</v>
          </cell>
          <cell r="G799">
            <v>48.896147404822841</v>
          </cell>
          <cell r="H799">
            <v>48.243766744258217</v>
          </cell>
          <cell r="I799">
            <v>48.285624984048951</v>
          </cell>
          <cell r="J799">
            <v>48.838343143864755</v>
          </cell>
          <cell r="K799">
            <v>49.391063985905049</v>
          </cell>
          <cell r="L799">
            <v>49.943751788970971</v>
          </cell>
          <cell r="M799">
            <v>49.943743024789235</v>
          </cell>
          <cell r="N799">
            <v>49.943743406843382</v>
          </cell>
          <cell r="O799">
            <v>49.943742052202744</v>
          </cell>
          <cell r="P799">
            <v>49.943744606566028</v>
          </cell>
        </row>
        <row r="800">
          <cell r="B800" t="str">
            <v>D-EWST</v>
          </cell>
          <cell r="C800" t="str">
            <v>VAR_fin</v>
          </cell>
          <cell r="D800" t="str">
            <v>WSTNREN</v>
          </cell>
          <cell r="E800">
            <v>24.421061010139351</v>
          </cell>
          <cell r="F800">
            <v>24.088396515215461</v>
          </cell>
          <cell r="G800">
            <v>24.448073194002632</v>
          </cell>
          <cell r="H800">
            <v>24.121883656207959</v>
          </cell>
          <cell r="I800">
            <v>24.142812193620959</v>
          </cell>
          <cell r="J800">
            <v>24.419171571932374</v>
          </cell>
          <cell r="K800">
            <v>24.695531992952514</v>
          </cell>
          <cell r="L800">
            <v>24.971875894485482</v>
          </cell>
          <cell r="M800">
            <v>24.971871512394607</v>
          </cell>
          <cell r="N800">
            <v>24.97187170342168</v>
          </cell>
          <cell r="O800">
            <v>24.971871026101365</v>
          </cell>
          <cell r="P800">
            <v>24.971872303283003</v>
          </cell>
        </row>
        <row r="801">
          <cell r="B801" t="str">
            <v>D-EWST</v>
          </cell>
          <cell r="C801" t="str">
            <v>VAR_fin</v>
          </cell>
          <cell r="D801" t="str">
            <v>WSTREN</v>
          </cell>
          <cell r="E801">
            <v>24.421061010139351</v>
          </cell>
          <cell r="F801">
            <v>24.088396515215461</v>
          </cell>
          <cell r="G801">
            <v>24.448073194002632</v>
          </cell>
          <cell r="H801">
            <v>24.121883656207959</v>
          </cell>
          <cell r="I801">
            <v>24.142812193620959</v>
          </cell>
          <cell r="J801">
            <v>24.419171571932374</v>
          </cell>
          <cell r="K801">
            <v>24.695531992952514</v>
          </cell>
          <cell r="L801">
            <v>24.971875894485482</v>
          </cell>
          <cell r="M801">
            <v>24.971871512394607</v>
          </cell>
          <cell r="N801">
            <v>24.97187170342168</v>
          </cell>
          <cell r="O801">
            <v>24.971871026101365</v>
          </cell>
          <cell r="P801">
            <v>24.971872303283003</v>
          </cell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2040</v>
          </cell>
          <cell r="E3" t="str">
            <v>2045</v>
          </cell>
          <cell r="F3" t="str">
            <v>2050</v>
          </cell>
          <cell r="G3" t="str">
            <v>2055</v>
          </cell>
          <cell r="H3" t="str">
            <v>2060</v>
          </cell>
          <cell r="I3" t="str">
            <v>2065</v>
          </cell>
          <cell r="J3" t="str">
            <v>2070</v>
          </cell>
        </row>
        <row r="4">
          <cell r="A4" t="str">
            <v>CO2_M</v>
          </cell>
          <cell r="B4" t="str">
            <v>VAR_fout</v>
          </cell>
          <cell r="C4" t="str">
            <v>D-CO2_O</v>
          </cell>
          <cell r="D4">
            <v>11.802587583166176</v>
          </cell>
          <cell r="E4">
            <v>8.2898671109134998</v>
          </cell>
          <cell r="F4">
            <v>23.724423851558406</v>
          </cell>
          <cell r="G4">
            <v>77.063104886117202</v>
          </cell>
          <cell r="H4">
            <v>286.39857115285685</v>
          </cell>
          <cell r="I4">
            <v>409.55544625720739</v>
          </cell>
          <cell r="J4">
            <v>411.08020696619127</v>
          </cell>
        </row>
        <row r="5">
          <cell r="A5" t="str">
            <v>CO2_M</v>
          </cell>
          <cell r="B5" t="str">
            <v>VAR_fin</v>
          </cell>
          <cell r="C5" t="str">
            <v>SUP_H2NGA</v>
          </cell>
          <cell r="D5">
            <v>1.4663254230508722E-2</v>
          </cell>
          <cell r="E5">
            <v>6.0121694214201995E-3</v>
          </cell>
          <cell r="F5">
            <v>0.10550994459208742</v>
          </cell>
          <cell r="G5">
            <v>72.136197789561933</v>
          </cell>
          <cell r="H5">
            <v>282.18578040049613</v>
          </cell>
          <cell r="I5">
            <v>402.25976897236256</v>
          </cell>
          <cell r="J5">
            <v>404.82204817471552</v>
          </cell>
        </row>
        <row r="6">
          <cell r="A6" t="str">
            <v>CO2_M</v>
          </cell>
          <cell r="B6" t="str">
            <v>VAR_fin</v>
          </cell>
          <cell r="C6" t="str">
            <v>SUP_H2GSL</v>
          </cell>
          <cell r="D6">
            <v>11.65053450664089</v>
          </cell>
          <cell r="E6">
            <v>8.2203723029731322</v>
          </cell>
          <cell r="F6">
            <v>23.599663852807634</v>
          </cell>
          <cell r="G6">
            <v>4.9124865485992437</v>
          </cell>
          <cell r="H6">
            <v>4.1899790081386215</v>
          </cell>
          <cell r="I6">
            <v>7.2714425690441242</v>
          </cell>
          <cell r="J6">
            <v>6.2172667703551063</v>
          </cell>
        </row>
        <row r="7">
          <cell r="A7" t="str">
            <v>CO2_M</v>
          </cell>
          <cell r="B7" t="str">
            <v>VAR_fin</v>
          </cell>
          <cell r="C7" t="str">
            <v>SUP_H2DSL</v>
          </cell>
          <cell r="D7">
            <v>0.13738982229476426</v>
          </cell>
          <cell r="E7">
            <v>6.3482638518956275E-2</v>
          </cell>
          <cell r="F7">
            <v>1.9250054158695299E-2</v>
          </cell>
          <cell r="G7">
            <v>1.4420547955976791E-2</v>
          </cell>
          <cell r="H7">
            <v>2.2811744222049863E-2</v>
          </cell>
          <cell r="I7">
            <v>2.4234715800933719E-2</v>
          </cell>
          <cell r="J7">
            <v>4.089202112057494E-2</v>
          </cell>
        </row>
        <row r="8">
          <cell r="A8" t="str">
            <v>CO2_O</v>
          </cell>
          <cell r="B8" t="str">
            <v>VAR_fout</v>
          </cell>
          <cell r="C8" t="str">
            <v>EWSTINCCS</v>
          </cell>
          <cell r="D8">
            <v>565.52768301850097</v>
          </cell>
          <cell r="E8">
            <v>1096.6320533663595</v>
          </cell>
          <cell r="F8">
            <v>1140.9252036442006</v>
          </cell>
          <cell r="G8">
            <v>1140.9250501479653</v>
          </cell>
          <cell r="H8">
            <v>1140.9250503390538</v>
          </cell>
          <cell r="I8">
            <v>1140.9249965942543</v>
          </cell>
          <cell r="J8">
            <v>1140.9250339086364</v>
          </cell>
        </row>
        <row r="9">
          <cell r="A9" t="str">
            <v>CO2_O</v>
          </cell>
          <cell r="B9" t="str">
            <v>VAR_fout</v>
          </cell>
          <cell r="C9" t="str">
            <v>ENGA-CCS</v>
          </cell>
          <cell r="E9">
            <v>1.9191964776832057E-4</v>
          </cell>
          <cell r="F9">
            <v>4.5770620573001288E-3</v>
          </cell>
          <cell r="G9">
            <v>240.63139163303251</v>
          </cell>
          <cell r="H9">
            <v>265.34743323053988</v>
          </cell>
          <cell r="I9">
            <v>270.35731393953705</v>
          </cell>
          <cell r="J9">
            <v>275.20979384360976</v>
          </cell>
        </row>
        <row r="10">
          <cell r="A10" t="str">
            <v>CO2_O</v>
          </cell>
          <cell r="B10" t="str">
            <v>VAR_fout</v>
          </cell>
          <cell r="C10" t="str">
            <v>CHPWSTCCS</v>
          </cell>
          <cell r="D10">
            <v>630.83421439902372</v>
          </cell>
          <cell r="E10">
            <v>1132.529793253306</v>
          </cell>
          <cell r="F10">
            <v>1088.6111770569003</v>
          </cell>
          <cell r="G10">
            <v>1088.6109551265793</v>
          </cell>
          <cell r="H10">
            <v>1088.6110116305379</v>
          </cell>
          <cell r="I10">
            <v>1088.6109208522896</v>
          </cell>
          <cell r="J10">
            <v>1088.6110171135451</v>
          </cell>
        </row>
        <row r="11">
          <cell r="A11" t="str">
            <v>CO2_O</v>
          </cell>
          <cell r="B11" t="str">
            <v>VAR_fout</v>
          </cell>
          <cell r="C11" t="str">
            <v>ITOT-CHPWSTCCS</v>
          </cell>
          <cell r="D11">
            <v>149.57700031560995</v>
          </cell>
          <cell r="E11">
            <v>754.21293382536317</v>
          </cell>
          <cell r="F11">
            <v>715.173717959908</v>
          </cell>
          <cell r="G11">
            <v>715.12904717063566</v>
          </cell>
          <cell r="H11">
            <v>715.18759754081054</v>
          </cell>
          <cell r="I11">
            <v>715.16255410639371</v>
          </cell>
          <cell r="J11">
            <v>715.20189331435267</v>
          </cell>
        </row>
        <row r="12">
          <cell r="A12" t="str">
            <v>CO2_O</v>
          </cell>
          <cell r="B12" t="str">
            <v>VAR_fout</v>
          </cell>
          <cell r="C12" t="str">
            <v>ITOT-CHPNGACCS</v>
          </cell>
          <cell r="D12">
            <v>0.26997158577365654</v>
          </cell>
          <cell r="E12">
            <v>37.9609612956531</v>
          </cell>
          <cell r="F12">
            <v>38.005661793569779</v>
          </cell>
          <cell r="G12">
            <v>37.988153436308878</v>
          </cell>
          <cell r="H12">
            <v>27.784172051073302</v>
          </cell>
          <cell r="I12">
            <v>38.005552251797589</v>
          </cell>
          <cell r="J12">
            <v>38.008060796741894</v>
          </cell>
        </row>
        <row r="13">
          <cell r="A13" t="str">
            <v>CO2_O</v>
          </cell>
          <cell r="B13" t="str">
            <v>VAR_fout</v>
          </cell>
          <cell r="C13" t="str">
            <v>SUP_WSTHTGBIOCCS</v>
          </cell>
          <cell r="D13">
            <v>1.5944389741564687E-3</v>
          </cell>
          <cell r="E13">
            <v>2.2067975855734698E-3</v>
          </cell>
          <cell r="F13">
            <v>1.5200812752842147E-2</v>
          </cell>
          <cell r="G13">
            <v>1.5036954096962986E-2</v>
          </cell>
          <cell r="H13">
            <v>1.1048861763677462E-2</v>
          </cell>
          <cell r="I13">
            <v>1.1577434482943839E-2</v>
          </cell>
          <cell r="J13">
            <v>1.2940490054544996E-2</v>
          </cell>
        </row>
        <row r="14">
          <cell r="A14" t="str">
            <v>CO2_O</v>
          </cell>
          <cell r="B14" t="str">
            <v>VAR_fout</v>
          </cell>
          <cell r="C14" t="str">
            <v>ITOT-CHPWODCCS</v>
          </cell>
          <cell r="D14">
            <v>487.56841045216538</v>
          </cell>
          <cell r="E14">
            <v>1055.3087922350396</v>
          </cell>
          <cell r="F14">
            <v>1225.7773624740087</v>
          </cell>
          <cell r="G14">
            <v>1209.6914315036624</v>
          </cell>
          <cell r="H14">
            <v>1225.7778964967238</v>
          </cell>
          <cell r="I14">
            <v>1220.9405853600081</v>
          </cell>
          <cell r="J14">
            <v>1225.77821182925</v>
          </cell>
        </row>
        <row r="15">
          <cell r="A15" t="str">
            <v>CO2_O</v>
          </cell>
          <cell r="B15" t="str">
            <v>VAR_fout</v>
          </cell>
          <cell r="C15" t="str">
            <v>EWOD-CCS</v>
          </cell>
          <cell r="D15">
            <v>6.3493771160830187E-2</v>
          </cell>
          <cell r="E15">
            <v>11.386037531215123</v>
          </cell>
          <cell r="F15">
            <v>197.59784395061254</v>
          </cell>
          <cell r="G15">
            <v>203.20900785954186</v>
          </cell>
          <cell r="H15">
            <v>203.43848586327647</v>
          </cell>
          <cell r="I15">
            <v>203.35216078956816</v>
          </cell>
          <cell r="J15">
            <v>203.28615805114484</v>
          </cell>
        </row>
        <row r="16">
          <cell r="A16" t="str">
            <v>CO2_O</v>
          </cell>
          <cell r="B16" t="str">
            <v>VAR_fout</v>
          </cell>
          <cell r="C16" t="str">
            <v>ITOT-PROCESSCO2CCS</v>
          </cell>
          <cell r="D16">
            <v>2.9539679440699764E-2</v>
          </cell>
          <cell r="E16">
            <v>1035.2918142915414</v>
          </cell>
          <cell r="F16">
            <v>1031.8768963287014</v>
          </cell>
          <cell r="G16">
            <v>1031.8780231141075</v>
          </cell>
          <cell r="H16">
            <v>1031.8790657550776</v>
          </cell>
          <cell r="I16">
            <v>1031.8793468857282</v>
          </cell>
          <cell r="J16">
            <v>1031.8800711048309</v>
          </cell>
        </row>
        <row r="17">
          <cell r="A17" t="str">
            <v>CO2_O</v>
          </cell>
          <cell r="B17" t="str">
            <v>VAR_fout</v>
          </cell>
          <cell r="C17" t="str">
            <v>SUP_WODH2CCS</v>
          </cell>
          <cell r="F17">
            <v>383.17673859016361</v>
          </cell>
          <cell r="G17">
            <v>963.67593316353998</v>
          </cell>
          <cell r="H17">
            <v>963.66789771029346</v>
          </cell>
          <cell r="I17">
            <v>1058.4190353693134</v>
          </cell>
          <cell r="J17">
            <v>1062.1598890806406</v>
          </cell>
        </row>
        <row r="18">
          <cell r="A18" t="str">
            <v>CO2_O</v>
          </cell>
          <cell r="B18" t="str">
            <v>VAR_fout</v>
          </cell>
          <cell r="C18" t="str">
            <v>SUP_WODBIOCCS</v>
          </cell>
          <cell r="D18">
            <v>8.5416054031695991E-3</v>
          </cell>
          <cell r="E18">
            <v>1.2002030910712495E-2</v>
          </cell>
          <cell r="F18">
            <v>2.3686503336320903E-2</v>
          </cell>
          <cell r="G18">
            <v>2.5115253785085997E-2</v>
          </cell>
          <cell r="H18">
            <v>2.3323832089084423E-2</v>
          </cell>
          <cell r="I18">
            <v>2.3229506142303988E-2</v>
          </cell>
          <cell r="J18">
            <v>3.8026105386988994E-2</v>
          </cell>
        </row>
        <row r="19">
          <cell r="A19" t="str">
            <v>CO2_O</v>
          </cell>
          <cell r="B19" t="str">
            <v>VAR_fout</v>
          </cell>
          <cell r="C19" t="str">
            <v>SUP_NGAH2CCS</v>
          </cell>
          <cell r="F19">
            <v>3.5874213770918009E-3</v>
          </cell>
          <cell r="G19">
            <v>4.1886544626182562E-3</v>
          </cell>
          <cell r="H19">
            <v>3.8104909796859371E-3</v>
          </cell>
          <cell r="I19">
            <v>4.5561711479549811E-3</v>
          </cell>
          <cell r="J19">
            <v>6.6167200586721249E-3</v>
          </cell>
        </row>
        <row r="20">
          <cell r="A20" t="str">
            <v>CO2_O</v>
          </cell>
          <cell r="B20" t="str">
            <v>VAR_fout</v>
          </cell>
          <cell r="C20" t="str">
            <v>CT_CWODETHCCS</v>
          </cell>
          <cell r="D20">
            <v>8.5194146833462775E-4</v>
          </cell>
          <cell r="E20">
            <v>6.6993975061292157E-4</v>
          </cell>
          <cell r="F20">
            <v>1.331312533089382E-3</v>
          </cell>
          <cell r="G20">
            <v>5.9212019633778936E-4</v>
          </cell>
          <cell r="H20">
            <v>1.3542529298762017E-3</v>
          </cell>
          <cell r="I20">
            <v>9.5443456814332459E-4</v>
          </cell>
          <cell r="J20">
            <v>3.0644394058102348E-3</v>
          </cell>
        </row>
        <row r="21">
          <cell r="A21" t="str">
            <v>CO2_O</v>
          </cell>
          <cell r="B21" t="str">
            <v>VAR_fout</v>
          </cell>
          <cell r="C21" t="str">
            <v>SUP_DAC</v>
          </cell>
          <cell r="D21">
            <v>1.9430678985890382E-3</v>
          </cell>
          <cell r="E21">
            <v>3.1391762835147083E-3</v>
          </cell>
          <cell r="F21">
            <v>96.149909621709241</v>
          </cell>
          <cell r="G21">
            <v>214.27537892772824</v>
          </cell>
          <cell r="H21">
            <v>1418.6254257380408</v>
          </cell>
          <cell r="I21">
            <v>2074.3549650134742</v>
          </cell>
          <cell r="J21">
            <v>2756.9083032561766</v>
          </cell>
        </row>
        <row r="22">
          <cell r="A22" t="str">
            <v>CO2_O</v>
          </cell>
          <cell r="B22" t="str">
            <v>VAR_fout</v>
          </cell>
          <cell r="C22" t="str">
            <v>CT_CWODBDSCCS</v>
          </cell>
          <cell r="D22">
            <v>6.634251467577487E-3</v>
          </cell>
          <cell r="E22">
            <v>1.0561104482861416E-2</v>
          </cell>
          <cell r="F22">
            <v>604.36664132676901</v>
          </cell>
          <cell r="G22">
            <v>641.40545832154532</v>
          </cell>
          <cell r="H22">
            <v>604.36654102854186</v>
          </cell>
          <cell r="I22">
            <v>641.61583733478528</v>
          </cell>
          <cell r="J22">
            <v>707.87831979882606</v>
          </cell>
        </row>
        <row r="23">
          <cell r="A23" t="str">
            <v>CO2_O</v>
          </cell>
          <cell r="B23" t="str">
            <v>VAR_fin</v>
          </cell>
          <cell r="C23" t="str">
            <v>D-CO2_O</v>
          </cell>
          <cell r="D23">
            <v>1833.8813583408798</v>
          </cell>
          <cell r="E23">
            <v>5123.3413128203983</v>
          </cell>
          <cell r="F23">
            <v>6521.6989106396768</v>
          </cell>
          <cell r="G23">
            <v>7487.4580358263565</v>
          </cell>
          <cell r="H23">
            <v>8685.6400506559839</v>
          </cell>
          <cell r="I23">
            <v>9483.6548399542426</v>
          </cell>
          <cell r="J23">
            <v>10245.898250851298</v>
          </cell>
        </row>
        <row r="24">
          <cell r="A24" t="str">
            <v>CO2_Q</v>
          </cell>
          <cell r="B24" t="str">
            <v>VAR_fout</v>
          </cell>
          <cell r="C24" t="str">
            <v>D-CO2_O</v>
          </cell>
          <cell r="D24">
            <v>833.33092443225394</v>
          </cell>
          <cell r="E24">
            <v>331.04387477326719</v>
          </cell>
          <cell r="F24">
            <v>190.77643964365768</v>
          </cell>
          <cell r="G24">
            <v>1103.19609283819</v>
          </cell>
          <cell r="H24">
            <v>2092.0426216971205</v>
          </cell>
          <cell r="I24">
            <v>2766.9001208465206</v>
          </cell>
          <cell r="J24">
            <v>3527.6076731241842</v>
          </cell>
        </row>
        <row r="25">
          <cell r="A25" t="str">
            <v>CO2_Q</v>
          </cell>
          <cell r="B25" t="str">
            <v>VAR_fin</v>
          </cell>
          <cell r="C25" t="str">
            <v>CO2SINK</v>
          </cell>
          <cell r="D25">
            <v>833.33092443225394</v>
          </cell>
          <cell r="E25">
            <v>331.04387477326719</v>
          </cell>
          <cell r="F25">
            <v>190.77643964365768</v>
          </cell>
          <cell r="G25">
            <v>1103.19609283819</v>
          </cell>
          <cell r="H25">
            <v>2092.0426216971205</v>
          </cell>
          <cell r="I25">
            <v>2766.9001208465206</v>
          </cell>
          <cell r="J25">
            <v>3527.6076731241842</v>
          </cell>
        </row>
        <row r="26">
          <cell r="A26" t="str">
            <v>CO2_X</v>
          </cell>
          <cell r="B26" t="str">
            <v>VAR_fout</v>
          </cell>
          <cell r="C26" t="str">
            <v>D-CO2_O</v>
          </cell>
          <cell r="D26">
            <v>988.74784632545811</v>
          </cell>
          <cell r="E26">
            <v>4784.0075709362209</v>
          </cell>
          <cell r="F26">
            <v>6307.1980471444367</v>
          </cell>
          <cell r="G26">
            <v>6307.1988381020765</v>
          </cell>
          <cell r="H26">
            <v>6307.1988578059963</v>
          </cell>
          <cell r="I26">
            <v>6307.1992728505302</v>
          </cell>
          <cell r="J26">
            <v>6307.2103707608958</v>
          </cell>
        </row>
        <row r="27">
          <cell r="A27" t="str">
            <v>CO2_X</v>
          </cell>
          <cell r="B27" t="str">
            <v>VAR_fin</v>
          </cell>
          <cell r="C27" t="str">
            <v>CO2EXP</v>
          </cell>
          <cell r="D27">
            <v>988.74784632545811</v>
          </cell>
          <cell r="E27">
            <v>4784.0075709362209</v>
          </cell>
          <cell r="F27">
            <v>6307.1980471444367</v>
          </cell>
          <cell r="G27">
            <v>6307.1988381020765</v>
          </cell>
          <cell r="H27">
            <v>6307.1988578059963</v>
          </cell>
          <cell r="I27">
            <v>6307.1992728505302</v>
          </cell>
          <cell r="J27">
            <v>6307.2103707608958</v>
          </cell>
        </row>
      </sheetData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2045</v>
          </cell>
          <cell r="K3" t="str">
            <v>2050</v>
          </cell>
          <cell r="L3" t="str">
            <v>2055</v>
          </cell>
          <cell r="M3" t="str">
            <v>2060</v>
          </cell>
          <cell r="N3" t="str">
            <v>2065</v>
          </cell>
          <cell r="O3" t="str">
            <v>2070</v>
          </cell>
        </row>
        <row r="4">
          <cell r="A4" t="str">
            <v>IMPBDS1</v>
          </cell>
          <cell r="C4" t="str">
            <v>BDS1</v>
          </cell>
          <cell r="G4">
            <v>5.29992688652856</v>
          </cell>
          <cell r="H4">
            <v>18.511808427524102</v>
          </cell>
          <cell r="I4">
            <v>38.846718819577099</v>
          </cell>
          <cell r="J4">
            <v>68.659022416120905</v>
          </cell>
          <cell r="K4">
            <v>93.853199230264906</v>
          </cell>
          <cell r="L4">
            <v>93.853201118738298</v>
          </cell>
          <cell r="M4">
            <v>94.908954172014305</v>
          </cell>
          <cell r="N4">
            <v>96.620385441532704</v>
          </cell>
          <cell r="O4">
            <v>98.328896064274602</v>
          </cell>
        </row>
        <row r="5">
          <cell r="A5" t="str">
            <v>EXPELC_DE</v>
          </cell>
          <cell r="C5" t="str">
            <v>ELC_E-DE</v>
          </cell>
          <cell r="D5">
            <v>26.492979875915619</v>
          </cell>
          <cell r="E5">
            <v>1.1364820842560419E-4</v>
          </cell>
          <cell r="F5">
            <v>1.2892564986449965E-4</v>
          </cell>
          <cell r="G5">
            <v>2.0706177120835288E-4</v>
          </cell>
          <cell r="H5">
            <v>2.624370964329774E-4</v>
          </cell>
          <cell r="I5">
            <v>1.6439850427604083E-4</v>
          </cell>
          <cell r="J5">
            <v>1.1399324689075067E-4</v>
          </cell>
          <cell r="K5">
            <v>8.6027421185210049E-5</v>
          </cell>
          <cell r="L5">
            <v>6.0236694041301864E-5</v>
          </cell>
          <cell r="M5">
            <v>1.0019068796721434E-4</v>
          </cell>
          <cell r="N5">
            <v>1.0184135202719279E-4</v>
          </cell>
          <cell r="O5">
            <v>2.1682940695026847E-4</v>
          </cell>
        </row>
        <row r="6">
          <cell r="A6" t="str">
            <v>IMPDSL</v>
          </cell>
          <cell r="C6" t="str">
            <v>DSL</v>
          </cell>
          <cell r="D6">
            <v>118.55623694111289</v>
          </cell>
          <cell r="E6">
            <v>111.84348601871493</v>
          </cell>
          <cell r="F6">
            <v>95.774516670285593</v>
          </cell>
          <cell r="G6">
            <v>63.189772133587162</v>
          </cell>
          <cell r="H6">
            <v>36.66726466022839</v>
          </cell>
          <cell r="I6">
            <v>24.221482490402536</v>
          </cell>
          <cell r="J6">
            <v>10.52084609400768</v>
          </cell>
          <cell r="L6">
            <v>7.1954838511752907E-5</v>
          </cell>
          <cell r="M6">
            <v>1.0843007333143511E-4</v>
          </cell>
          <cell r="N6">
            <v>9.6454033921572686E-5</v>
          </cell>
          <cell r="O6">
            <v>1.5285381251715755E-4</v>
          </cell>
        </row>
        <row r="7">
          <cell r="A7" t="str">
            <v>IMPH2</v>
          </cell>
          <cell r="C7" t="str">
            <v>H2</v>
          </cell>
          <cell r="I7">
            <v>6.100730703788078</v>
          </cell>
          <cell r="J7">
            <v>8.2900267172746407</v>
          </cell>
          <cell r="K7">
            <v>12.022692455690525</v>
          </cell>
          <cell r="L7">
            <v>9.6741155505917558</v>
          </cell>
          <cell r="M7">
            <v>8.3073203725475295</v>
          </cell>
          <cell r="N7">
            <v>6.8061969703253675</v>
          </cell>
          <cell r="O7">
            <v>6.6822233684149666</v>
          </cell>
        </row>
        <row r="8">
          <cell r="A8" t="str">
            <v>IMPELC_AT</v>
          </cell>
          <cell r="C8" t="str">
            <v>ELC_I-AT</v>
          </cell>
          <cell r="D8">
            <v>15.013806189854497</v>
          </cell>
          <cell r="E8">
            <v>3.885661375543538E-3</v>
          </cell>
          <cell r="F8">
            <v>2.3685546107507891E-3</v>
          </cell>
          <cell r="G8">
            <v>3.2564453160636004E-3</v>
          </cell>
          <cell r="H8">
            <v>1.0160737308297959E-3</v>
          </cell>
          <cell r="I8">
            <v>1.4283240461735009E-3</v>
          </cell>
          <cell r="J8">
            <v>2.2767531916576679E-3</v>
          </cell>
          <cell r="K8">
            <v>2.438835850196352E-3</v>
          </cell>
          <cell r="L8">
            <v>2.5881582163336399E-3</v>
          </cell>
          <cell r="M8">
            <v>8.2920030715564135</v>
          </cell>
          <cell r="N8">
            <v>9.5101646384004912</v>
          </cell>
          <cell r="O8">
            <v>9.3718312372540318</v>
          </cell>
        </row>
        <row r="9">
          <cell r="A9" t="str">
            <v>IMPELC_AT</v>
          </cell>
          <cell r="C9" t="str">
            <v>ELCS</v>
          </cell>
          <cell r="D9">
            <v>15.013806189854497</v>
          </cell>
          <cell r="E9">
            <v>3.885661375543538E-3</v>
          </cell>
          <cell r="F9">
            <v>2.3685546107507891E-3</v>
          </cell>
          <cell r="G9">
            <v>3.2564453160636004E-3</v>
          </cell>
          <cell r="H9">
            <v>1.0160737308297959E-3</v>
          </cell>
          <cell r="I9">
            <v>1.4283240461735009E-3</v>
          </cell>
          <cell r="J9">
            <v>2.2767531916576679E-3</v>
          </cell>
          <cell r="K9">
            <v>2.438835850196352E-3</v>
          </cell>
          <cell r="L9">
            <v>2.5881582163336399E-3</v>
          </cell>
          <cell r="M9">
            <v>8.2920030715564135</v>
          </cell>
          <cell r="N9">
            <v>9.5101646384004912</v>
          </cell>
          <cell r="O9">
            <v>9.3718312372540318</v>
          </cell>
        </row>
        <row r="10">
          <cell r="A10" t="str">
            <v>IMPELC_FR</v>
          </cell>
          <cell r="C10" t="str">
            <v>ELC_I-FR</v>
          </cell>
          <cell r="D10">
            <v>28.948621709888915</v>
          </cell>
          <cell r="E10">
            <v>21.297672370818457</v>
          </cell>
          <cell r="F10">
            <v>26.284716483026003</v>
          </cell>
          <cell r="G10">
            <v>15.518895453741534</v>
          </cell>
          <cell r="H10">
            <v>23.862098415342064</v>
          </cell>
          <cell r="I10">
            <v>29.875352222934204</v>
          </cell>
          <cell r="J10">
            <v>38.588169674221305</v>
          </cell>
          <cell r="K10">
            <v>50.004423206877746</v>
          </cell>
          <cell r="L10">
            <v>49.868179842242981</v>
          </cell>
          <cell r="M10">
            <v>50.214223190528969</v>
          </cell>
          <cell r="N10">
            <v>51.322046380324231</v>
          </cell>
          <cell r="O10">
            <v>51.660774413353707</v>
          </cell>
        </row>
        <row r="11">
          <cell r="A11" t="str">
            <v>IMPELC_FR</v>
          </cell>
          <cell r="C11" t="str">
            <v>ELCS</v>
          </cell>
          <cell r="D11">
            <v>28.948621709888915</v>
          </cell>
          <cell r="E11">
            <v>21.297672370818457</v>
          </cell>
          <cell r="F11">
            <v>26.284716483026003</v>
          </cell>
          <cell r="G11">
            <v>15.518895453741534</v>
          </cell>
          <cell r="H11">
            <v>23.862098415342064</v>
          </cell>
          <cell r="I11">
            <v>29.875352222934204</v>
          </cell>
          <cell r="J11">
            <v>38.588169674221305</v>
          </cell>
          <cell r="K11">
            <v>50.004423206877746</v>
          </cell>
          <cell r="L11">
            <v>49.868179842242981</v>
          </cell>
          <cell r="M11">
            <v>50.214223190528969</v>
          </cell>
          <cell r="N11">
            <v>51.322046380324231</v>
          </cell>
          <cell r="O11">
            <v>51.660774413353707</v>
          </cell>
        </row>
        <row r="12">
          <cell r="A12" t="str">
            <v>RNWHYDR1</v>
          </cell>
          <cell r="C12" t="str">
            <v>HYDR</v>
          </cell>
          <cell r="D12">
            <v>66.632400649744511</v>
          </cell>
          <cell r="E12">
            <v>55.764000107013885</v>
          </cell>
          <cell r="F12">
            <v>65.549743688845794</v>
          </cell>
          <cell r="G12">
            <v>64.713757043043117</v>
          </cell>
          <cell r="H12">
            <v>63.735421098953097</v>
          </cell>
          <cell r="I12">
            <v>62.650907534077909</v>
          </cell>
          <cell r="J12">
            <v>61.565868386089655</v>
          </cell>
          <cell r="K12">
            <v>60.481145119729639</v>
          </cell>
          <cell r="L12">
            <v>60.481130963801945</v>
          </cell>
          <cell r="M12">
            <v>60.48114681756838</v>
          </cell>
          <cell r="N12">
            <v>60.481137947601262</v>
          </cell>
          <cell r="O12">
            <v>60.481134043620003</v>
          </cell>
        </row>
        <row r="13">
          <cell r="A13" t="str">
            <v>EXPELC_IT</v>
          </cell>
          <cell r="C13" t="str">
            <v>ELC_E-IT</v>
          </cell>
          <cell r="D13">
            <v>71.694108051319873</v>
          </cell>
          <cell r="E13">
            <v>35.599795475085507</v>
          </cell>
          <cell r="F13">
            <v>64.430017375495382</v>
          </cell>
          <cell r="G13">
            <v>70.474367690307233</v>
          </cell>
          <cell r="H13">
            <v>51.325706282538803</v>
          </cell>
          <cell r="I13">
            <v>37.040463663849557</v>
          </cell>
          <cell r="J13">
            <v>21.964140520790469</v>
          </cell>
          <cell r="K13">
            <v>16.108941250289945</v>
          </cell>
          <cell r="L13">
            <v>18.9456742360567</v>
          </cell>
          <cell r="M13">
            <v>12.617922817666965</v>
          </cell>
          <cell r="N13">
            <v>12.557784873337809</v>
          </cell>
          <cell r="O13">
            <v>17.324536751800991</v>
          </cell>
        </row>
        <row r="14">
          <cell r="A14" t="str">
            <v>IMPLNG</v>
          </cell>
          <cell r="C14" t="str">
            <v>LBIO</v>
          </cell>
          <cell r="G14">
            <v>2.1355639844738907</v>
          </cell>
          <cell r="H14">
            <v>2.1350700508478959</v>
          </cell>
          <cell r="I14">
            <v>2.1353329857353787</v>
          </cell>
          <cell r="J14">
            <v>2.1354451117360149</v>
          </cell>
          <cell r="K14">
            <v>2.1354217338155412</v>
          </cell>
          <cell r="L14">
            <v>2.1355027512668374</v>
          </cell>
          <cell r="M14">
            <v>2.1351559299131537</v>
          </cell>
          <cell r="N14">
            <v>1.417011322298543E-3</v>
          </cell>
          <cell r="O14">
            <v>1.324717568029702E-3</v>
          </cell>
        </row>
        <row r="15">
          <cell r="A15" t="str">
            <v>IMPLNG</v>
          </cell>
          <cell r="C15" t="str">
            <v>LNGA</v>
          </cell>
          <cell r="G15">
            <v>1.3605690327024965E-4</v>
          </cell>
          <cell r="H15">
            <v>6.1917366471307786E-4</v>
          </cell>
          <cell r="I15">
            <v>3.6654500352449929E-4</v>
          </cell>
          <cell r="J15">
            <v>2.5491872758614327E-4</v>
          </cell>
          <cell r="K15">
            <v>2.7916182465029124E-4</v>
          </cell>
          <cell r="L15">
            <v>1.9750193667085618E-4</v>
          </cell>
          <cell r="M15">
            <v>5.4402326416510844E-4</v>
          </cell>
          <cell r="N15">
            <v>1.0482303947493454E-3</v>
          </cell>
          <cell r="O15">
            <v>1.8875923167461402E-3</v>
          </cell>
        </row>
        <row r="16">
          <cell r="A16" t="str">
            <v>IMPURN1</v>
          </cell>
          <cell r="C16" t="str">
            <v>URN</v>
          </cell>
          <cell r="D16">
            <v>250.94817837501941</v>
          </cell>
          <cell r="E16">
            <v>254.39254324048167</v>
          </cell>
          <cell r="F16">
            <v>224.18692539895818</v>
          </cell>
          <cell r="G16">
            <v>221.53743910497542</v>
          </cell>
          <cell r="H16">
            <v>189.73915367036079</v>
          </cell>
          <cell r="I16">
            <v>100.03575043037419</v>
          </cell>
        </row>
        <row r="17">
          <cell r="A17" t="str">
            <v>EXPELC_AT</v>
          </cell>
          <cell r="C17" t="str">
            <v>ELC_E-AT</v>
          </cell>
          <cell r="D17">
            <v>6.2295558451421345</v>
          </cell>
          <cell r="E17">
            <v>2.0519914161151048E-4</v>
          </cell>
          <cell r="F17">
            <v>2.6071990110102775E-4</v>
          </cell>
          <cell r="G17">
            <v>6.3647829407663056E-5</v>
          </cell>
          <cell r="H17">
            <v>9.1788279589441466E-5</v>
          </cell>
          <cell r="I17">
            <v>8.1870850254757497E-5</v>
          </cell>
          <cell r="J17">
            <v>6.0749924700399514E-5</v>
          </cell>
          <cell r="K17">
            <v>4.5518026758206721E-5</v>
          </cell>
          <cell r="L17">
            <v>3.5322829640633792E-5</v>
          </cell>
          <cell r="M17">
            <v>4.3327703513302593E-5</v>
          </cell>
          <cell r="N17">
            <v>4.3998107230245789E-5</v>
          </cell>
          <cell r="O17">
            <v>7.2918725987861403E-5</v>
          </cell>
        </row>
        <row r="18">
          <cell r="A18" t="str">
            <v>EXPELC_FR</v>
          </cell>
          <cell r="C18" t="str">
            <v>ELC_E-FR</v>
          </cell>
          <cell r="D18">
            <v>12.753359179197034</v>
          </cell>
          <cell r="E18">
            <v>1.5159532494162366E-4</v>
          </cell>
          <cell r="F18">
            <v>1.5355024423198451E-4</v>
          </cell>
          <cell r="G18">
            <v>1.273592339024224E-4</v>
          </cell>
          <cell r="H18">
            <v>1.9381731450682232E-4</v>
          </cell>
          <cell r="I18">
            <v>1.1471106852145036E-4</v>
          </cell>
          <cell r="J18">
            <v>8.9432392406706501E-5</v>
          </cell>
          <cell r="K18">
            <v>1.0917385612089776E-4</v>
          </cell>
          <cell r="L18">
            <v>9.9930652973143167E-5</v>
          </cell>
          <cell r="M18">
            <v>1.2426651670034713E-4</v>
          </cell>
          <cell r="N18">
            <v>1.2421888947993447E-4</v>
          </cell>
          <cell r="O18">
            <v>2.4595303283381535E-4</v>
          </cell>
        </row>
        <row r="19">
          <cell r="A19" t="str">
            <v>RNWWND1</v>
          </cell>
          <cell r="C19" t="str">
            <v>WND</v>
          </cell>
          <cell r="D19">
            <v>0.52287695590316319</v>
          </cell>
          <cell r="E19">
            <v>0.54416326708168705</v>
          </cell>
          <cell r="F19">
            <v>0.50202797506962582</v>
          </cell>
          <cell r="G19">
            <v>0.87512234544236578</v>
          </cell>
          <cell r="H19">
            <v>0.87512323718799256</v>
          </cell>
          <cell r="I19">
            <v>0.87512304623997983</v>
          </cell>
          <cell r="J19">
            <v>0.8751230169572598</v>
          </cell>
          <cell r="K19">
            <v>0.87512338008903456</v>
          </cell>
          <cell r="L19">
            <v>0.87512307459535388</v>
          </cell>
          <cell r="M19">
            <v>0.87512352372580415</v>
          </cell>
          <cell r="N19">
            <v>0.87512380117055888</v>
          </cell>
          <cell r="O19">
            <v>0.875122881592308</v>
          </cell>
        </row>
        <row r="20">
          <cell r="A20" t="str">
            <v>RNWWND2</v>
          </cell>
          <cell r="C20" t="str">
            <v>WND</v>
          </cell>
          <cell r="D20">
            <v>3.585484102082275E-4</v>
          </cell>
          <cell r="E20">
            <v>3.5912853307004937E-4</v>
          </cell>
          <cell r="F20">
            <v>3.6177059483724036E-4</v>
          </cell>
          <cell r="G20">
            <v>1.173831964080075</v>
          </cell>
          <cell r="H20">
            <v>1.7308407962573911</v>
          </cell>
          <cell r="I20">
            <v>1.7311158600428271</v>
          </cell>
          <cell r="J20">
            <v>2.1486719090160404</v>
          </cell>
          <cell r="K20">
            <v>2.1471286821927844</v>
          </cell>
          <cell r="L20">
            <v>2.1481123563765756</v>
          </cell>
          <cell r="M20">
            <v>2.1464406203214592</v>
          </cell>
          <cell r="N20">
            <v>2.1470588193861437</v>
          </cell>
          <cell r="O20">
            <v>2.1431977466130441</v>
          </cell>
        </row>
        <row r="21">
          <cell r="A21" t="str">
            <v>RNWMNR1</v>
          </cell>
          <cell r="C21" t="str">
            <v>MNR</v>
          </cell>
          <cell r="D21">
            <v>3.7980812744427261</v>
          </cell>
          <cell r="E21">
            <v>10.104624498381034</v>
          </cell>
          <cell r="F21">
            <v>12.540343482730803</v>
          </cell>
          <cell r="G21">
            <v>12.540426352787197</v>
          </cell>
          <cell r="H21">
            <v>12.540427040899422</v>
          </cell>
          <cell r="I21">
            <v>12.540423835259864</v>
          </cell>
          <cell r="J21">
            <v>12.540425370167144</v>
          </cell>
          <cell r="K21">
            <v>12.540425862541563</v>
          </cell>
          <cell r="L21">
            <v>12.540425732796662</v>
          </cell>
          <cell r="M21">
            <v>12.54042574988647</v>
          </cell>
          <cell r="N21">
            <v>12.54042562150955</v>
          </cell>
          <cell r="O21">
            <v>12.540424595847137</v>
          </cell>
        </row>
        <row r="22">
          <cell r="A22" t="str">
            <v>RNWWND3</v>
          </cell>
          <cell r="C22" t="str">
            <v>WND</v>
          </cell>
          <cell r="D22">
            <v>2.9553939141595536E-4</v>
          </cell>
          <cell r="E22">
            <v>2.9588873934500027E-4</v>
          </cell>
          <cell r="F22">
            <v>2.9806949826235481E-4</v>
          </cell>
          <cell r="G22">
            <v>6.14434154869209E-4</v>
          </cell>
          <cell r="H22">
            <v>1.3045940949869667E-3</v>
          </cell>
          <cell r="I22">
            <v>1.1942844390111164E-3</v>
          </cell>
          <cell r="J22">
            <v>1.2183684300153452E-3</v>
          </cell>
          <cell r="K22">
            <v>1.9244756123779634E-3</v>
          </cell>
          <cell r="L22">
            <v>1.4661098952633081E-3</v>
          </cell>
          <cell r="M22">
            <v>2.2290381779054361E-3</v>
          </cell>
          <cell r="N22">
            <v>2.0792436787662387E-3</v>
          </cell>
          <cell r="O22">
            <v>4.0309581474691969E-3</v>
          </cell>
        </row>
        <row r="23">
          <cell r="A23" t="str">
            <v>RNWMNR2</v>
          </cell>
          <cell r="C23" t="str">
            <v>MNR</v>
          </cell>
          <cell r="I23">
            <v>7.2413565628478996E-4</v>
          </cell>
          <cell r="J23">
            <v>3.3608964880171783E-3</v>
          </cell>
          <cell r="K23">
            <v>6.2702098961335553</v>
          </cell>
          <cell r="L23">
            <v>6.2702121893784035</v>
          </cell>
          <cell r="M23">
            <v>6.2702094434673237</v>
          </cell>
          <cell r="N23">
            <v>6.2702105087532019</v>
          </cell>
          <cell r="O23">
            <v>6.2701832210655555</v>
          </cell>
        </row>
        <row r="24">
          <cell r="A24" t="str">
            <v>RNWWND4</v>
          </cell>
          <cell r="C24" t="str">
            <v>WND</v>
          </cell>
          <cell r="D24">
            <v>2.8278640598237298E-4</v>
          </cell>
          <cell r="E24">
            <v>2.8308951536518552E-4</v>
          </cell>
          <cell r="F24">
            <v>2.851634351781052E-4</v>
          </cell>
          <cell r="G24">
            <v>4.9432308295042405E-4</v>
          </cell>
          <cell r="H24">
            <v>1.0690114788946437E-3</v>
          </cell>
          <cell r="I24">
            <v>9.6695062318118944E-4</v>
          </cell>
          <cell r="J24">
            <v>9.6141999475773336E-4</v>
          </cell>
          <cell r="K24">
            <v>1.5560021889840622E-3</v>
          </cell>
          <cell r="L24">
            <v>1.1656757491693131E-3</v>
          </cell>
          <cell r="M24">
            <v>1.8598953696231891E-3</v>
          </cell>
          <cell r="N24">
            <v>1.7595000139656186E-3</v>
          </cell>
          <cell r="O24">
            <v>3.2236575267985822E-3</v>
          </cell>
        </row>
        <row r="25">
          <cell r="A25" t="str">
            <v>RNWMNR3</v>
          </cell>
          <cell r="C25" t="str">
            <v>MNR</v>
          </cell>
          <cell r="I25">
            <v>2.1063110653621675E-4</v>
          </cell>
          <cell r="J25">
            <v>2.4879162420756107E-4</v>
          </cell>
          <cell r="K25">
            <v>1.2330036294894277E-3</v>
          </cell>
          <cell r="L25">
            <v>1.2325749174307791E-3</v>
          </cell>
          <cell r="M25">
            <v>1.2805840091438679E-3</v>
          </cell>
          <cell r="N25">
            <v>1.283905844756105E-3</v>
          </cell>
          <cell r="O25">
            <v>1.6503223079479118E-3</v>
          </cell>
        </row>
        <row r="26">
          <cell r="A26" t="str">
            <v>IMPLFO1</v>
          </cell>
          <cell r="C26" t="str">
            <v>LFO</v>
          </cell>
          <cell r="D26">
            <v>101.72618890835437</v>
          </cell>
          <cell r="E26">
            <v>88.407900275226879</v>
          </cell>
          <cell r="F26">
            <v>85.060353182815732</v>
          </cell>
          <cell r="G26">
            <v>69.425375331099971</v>
          </cell>
          <cell r="H26">
            <v>40.792476439785531</v>
          </cell>
          <cell r="I26">
            <v>22.646639215851042</v>
          </cell>
          <cell r="J26">
            <v>14.715863039502915</v>
          </cell>
          <cell r="L26">
            <v>3.4103460429854055E-3</v>
          </cell>
          <cell r="M26">
            <v>4.1413415083224802E-3</v>
          </cell>
          <cell r="N26">
            <v>2.519798143590872E-3</v>
          </cell>
          <cell r="O26">
            <v>4.8732739969425754E-3</v>
          </cell>
        </row>
        <row r="27">
          <cell r="A27" t="str">
            <v>RNWWND5</v>
          </cell>
          <cell r="C27" t="str">
            <v>WND</v>
          </cell>
          <cell r="D27">
            <v>1.912061848968175E-4</v>
          </cell>
          <cell r="E27">
            <v>1.9116679056097402E-4</v>
          </cell>
          <cell r="F27">
            <v>1.9218268249162284E-4</v>
          </cell>
          <cell r="G27">
            <v>1.9917488124026442E-4</v>
          </cell>
          <cell r="H27">
            <v>3.9588584847572572E-4</v>
          </cell>
          <cell r="I27">
            <v>3.3377370768269136E-4</v>
          </cell>
          <cell r="J27">
            <v>3.2603926847873108E-4</v>
          </cell>
          <cell r="K27">
            <v>6.0722801206898483E-4</v>
          </cell>
          <cell r="L27">
            <v>4.7119291212080976E-4</v>
          </cell>
          <cell r="M27">
            <v>7.7124892655709666E-4</v>
          </cell>
          <cell r="N27">
            <v>8.0143344093289842E-4</v>
          </cell>
          <cell r="O27">
            <v>1.4921374070254749E-3</v>
          </cell>
        </row>
        <row r="28">
          <cell r="A28" t="str">
            <v>IMPBNGA</v>
          </cell>
          <cell r="C28" t="str">
            <v>BIO</v>
          </cell>
          <cell r="E28">
            <v>0.51650019469473041</v>
          </cell>
          <cell r="F28">
            <v>1.167141435791258</v>
          </cell>
          <cell r="G28">
            <v>2.2314135378159268</v>
          </cell>
          <cell r="H28">
            <v>3.7951786752059737</v>
          </cell>
          <cell r="I28">
            <v>6.0928623654493972</v>
          </cell>
          <cell r="J28">
            <v>9.4689134589496557</v>
          </cell>
          <cell r="K28">
            <v>14.42944041112421</v>
          </cell>
          <cell r="L28">
            <v>21.718081361229256</v>
          </cell>
          <cell r="M28">
            <v>32.427485581333556</v>
          </cell>
          <cell r="N28">
            <v>40.804660051198624</v>
          </cell>
          <cell r="O28">
            <v>46.107717786651918</v>
          </cell>
        </row>
        <row r="29">
          <cell r="A29" t="str">
            <v>RNWGEO1</v>
          </cell>
          <cell r="C29" t="str">
            <v>GEO</v>
          </cell>
          <cell r="I29">
            <v>3.2282458016830497E-5</v>
          </cell>
          <cell r="J29">
            <v>5.1759022563951831E-2</v>
          </cell>
          <cell r="K29">
            <v>5.1132321782410332E-2</v>
          </cell>
          <cell r="L29">
            <v>5.1069147370718035E-2</v>
          </cell>
          <cell r="M29">
            <v>4.9944340532227537E-2</v>
          </cell>
          <cell r="N29">
            <v>5.0431211080526138E-2</v>
          </cell>
          <cell r="O29">
            <v>4.616771145190128E-2</v>
          </cell>
        </row>
        <row r="30">
          <cell r="A30" t="str">
            <v>RNWGEO2</v>
          </cell>
          <cell r="C30" t="str">
            <v>GEO</v>
          </cell>
          <cell r="I30">
            <v>3.1565886929380017E-5</v>
          </cell>
          <cell r="J30">
            <v>1.7658769864366693E-3</v>
          </cell>
          <cell r="K30">
            <v>2.126983891240056E-3</v>
          </cell>
          <cell r="L30">
            <v>2.1769299361423253E-3</v>
          </cell>
          <cell r="M30">
            <v>2.6223222022864483E-3</v>
          </cell>
          <cell r="N30">
            <v>2.5198840664239232E-3</v>
          </cell>
          <cell r="O30">
            <v>4.7932171424601979E-3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83.523173822308905</v>
          </cell>
          <cell r="G31">
            <v>83.032187890729404</v>
          </cell>
          <cell r="H31">
            <v>74.047233716647696</v>
          </cell>
          <cell r="I31">
            <v>52.509286675187703</v>
          </cell>
          <cell r="J31">
            <v>26.254659387377501</v>
          </cell>
        </row>
        <row r="32">
          <cell r="A32" t="str">
            <v>RNWGEO3</v>
          </cell>
          <cell r="C32" t="str">
            <v>GEO</v>
          </cell>
          <cell r="I32">
            <v>3.1281173986840323E-5</v>
          </cell>
          <cell r="J32">
            <v>1.1559517208132575E-3</v>
          </cell>
          <cell r="K32">
            <v>1.4452355878709928E-3</v>
          </cell>
          <cell r="L32">
            <v>1.4711176899765155E-3</v>
          </cell>
          <cell r="M32">
            <v>1.8186619402191476E-3</v>
          </cell>
          <cell r="N32">
            <v>1.7283046289783451E-3</v>
          </cell>
          <cell r="O32">
            <v>3.340296219520659E-3</v>
          </cell>
        </row>
        <row r="33">
          <cell r="A33" t="str">
            <v>RNWGEO4</v>
          </cell>
          <cell r="C33" t="str">
            <v>GEO</v>
          </cell>
          <cell r="I33">
            <v>3.1002403914756079E-5</v>
          </cell>
          <cell r="J33">
            <v>8.6373648918926368E-4</v>
          </cell>
          <cell r="K33">
            <v>1.1123701818804596E-3</v>
          </cell>
          <cell r="L33">
            <v>1.1259447634202717E-3</v>
          </cell>
          <cell r="M33">
            <v>1.4171564321041605E-3</v>
          </cell>
          <cell r="N33">
            <v>1.3448244757429599E-3</v>
          </cell>
          <cell r="O33">
            <v>2.6040914727870138E-3</v>
          </cell>
        </row>
        <row r="34">
          <cell r="A34" t="str">
            <v>RNWGEO5</v>
          </cell>
          <cell r="C34" t="str">
            <v>GEO</v>
          </cell>
          <cell r="I34">
            <v>2.7370933577891291E-5</v>
          </cell>
          <cell r="J34">
            <v>1.800292516693449E-4</v>
          </cell>
          <cell r="K34">
            <v>2.5462394736415131E-4</v>
          </cell>
          <cell r="L34">
            <v>2.5622405984090604E-4</v>
          </cell>
          <cell r="M34">
            <v>3.3266622463729609E-4</v>
          </cell>
          <cell r="N34">
            <v>3.1822377549252948E-4</v>
          </cell>
          <cell r="O34">
            <v>6.2934560546432019E-4</v>
          </cell>
        </row>
        <row r="35">
          <cell r="A35" t="str">
            <v>IMPGSL</v>
          </cell>
          <cell r="C35" t="str">
            <v>GSL</v>
          </cell>
          <cell r="D35">
            <v>79.747270143165935</v>
          </cell>
          <cell r="E35">
            <v>75.956133978407706</v>
          </cell>
          <cell r="F35">
            <v>79.1697486066778</v>
          </cell>
          <cell r="G35">
            <v>48.388233258729166</v>
          </cell>
          <cell r="H35">
            <v>21.764786610094884</v>
          </cell>
          <cell r="I35">
            <v>9.9108173613557131</v>
          </cell>
          <cell r="J35">
            <v>3.0391602049200692</v>
          </cell>
          <cell r="L35">
            <v>0.23719815962397739</v>
          </cell>
          <cell r="M35">
            <v>0.20403382774516096</v>
          </cell>
          <cell r="N35">
            <v>0.14080503807552044</v>
          </cell>
          <cell r="O35">
            <v>0.10843843011617524</v>
          </cell>
        </row>
        <row r="36">
          <cell r="A36" t="str">
            <v>RNWWOD1</v>
          </cell>
          <cell r="C36" t="str">
            <v>WOD</v>
          </cell>
          <cell r="D36">
            <v>11.111877032987927</v>
          </cell>
          <cell r="E36">
            <v>11.952883351202921</v>
          </cell>
          <cell r="F36">
            <v>13.214393450880591</v>
          </cell>
          <cell r="G36">
            <v>15.316910482239747</v>
          </cell>
          <cell r="H36">
            <v>15.849140052807389</v>
          </cell>
          <cell r="I36">
            <v>16.266397183381031</v>
          </cell>
          <cell r="J36">
            <v>16.611696422807853</v>
          </cell>
          <cell r="K36">
            <v>16.956995017641336</v>
          </cell>
          <cell r="L36">
            <v>17.015762407958409</v>
          </cell>
          <cell r="M36">
            <v>17.074529588978937</v>
          </cell>
          <cell r="N36">
            <v>17.133297138987189</v>
          </cell>
          <cell r="O36">
            <v>17.192064517942612</v>
          </cell>
        </row>
        <row r="37">
          <cell r="A37" t="str">
            <v>RNWWOD2</v>
          </cell>
          <cell r="C37" t="str">
            <v>WOD</v>
          </cell>
          <cell r="D37">
            <v>7.5116700612773393</v>
          </cell>
          <cell r="E37">
            <v>7.5431410951356481</v>
          </cell>
          <cell r="F37">
            <v>7.5903482623027339</v>
          </cell>
          <cell r="G37">
            <v>7.6690270797249029</v>
          </cell>
          <cell r="H37">
            <v>7.6690270949890209</v>
          </cell>
          <cell r="I37">
            <v>7.669027306527946</v>
          </cell>
          <cell r="J37">
            <v>7.6690270117133625</v>
          </cell>
          <cell r="K37">
            <v>7.669027661793395</v>
          </cell>
          <cell r="L37">
            <v>7.6690275271258788</v>
          </cell>
          <cell r="M37">
            <v>7.669027365466067</v>
          </cell>
          <cell r="N37">
            <v>7.6690274840187067</v>
          </cell>
          <cell r="O37">
            <v>7.6690274245014693</v>
          </cell>
        </row>
        <row r="38">
          <cell r="A38" t="str">
            <v>RNWWOD3</v>
          </cell>
          <cell r="C38" t="str">
            <v>WOD</v>
          </cell>
          <cell r="D38">
            <v>3.1682438450748145</v>
          </cell>
          <cell r="E38">
            <v>3.4956715997428764</v>
          </cell>
          <cell r="F38">
            <v>3.9868143915569592</v>
          </cell>
          <cell r="G38">
            <v>4.8053861827720157</v>
          </cell>
          <cell r="H38">
            <v>4.8053858729452159</v>
          </cell>
          <cell r="I38">
            <v>4.805386077033508</v>
          </cell>
          <cell r="J38">
            <v>4.8053862809074159</v>
          </cell>
          <cell r="K38">
            <v>4.8053869927758068</v>
          </cell>
          <cell r="L38">
            <v>4.8053864773041486</v>
          </cell>
          <cell r="M38">
            <v>4.8053866866634056</v>
          </cell>
          <cell r="N38">
            <v>4.8053863630643141</v>
          </cell>
          <cell r="O38">
            <v>4.8053865802763482</v>
          </cell>
        </row>
        <row r="39">
          <cell r="A39" t="str">
            <v>RNWWOD4</v>
          </cell>
          <cell r="C39" t="str">
            <v>WOD</v>
          </cell>
          <cell r="D39">
            <v>13.656492749677682</v>
          </cell>
          <cell r="E39">
            <v>14.899045801367551</v>
          </cell>
          <cell r="F39">
            <v>16.762874276127192</v>
          </cell>
          <cell r="G39">
            <v>19.869257257676757</v>
          </cell>
          <cell r="H39">
            <v>19.866525184881542</v>
          </cell>
          <cell r="I39">
            <v>19.449324399189749</v>
          </cell>
          <cell r="J39">
            <v>19.869254283187086</v>
          </cell>
          <cell r="K39">
            <v>19.869257774377473</v>
          </cell>
          <cell r="L39">
            <v>19.869257874992272</v>
          </cell>
          <cell r="M39">
            <v>19.869257664090149</v>
          </cell>
          <cell r="N39">
            <v>19.869257759273761</v>
          </cell>
          <cell r="O39">
            <v>19.86925511837536</v>
          </cell>
        </row>
        <row r="40">
          <cell r="A40" t="str">
            <v>RNWWOD5</v>
          </cell>
          <cell r="C40" t="str">
            <v>WOD</v>
          </cell>
          <cell r="D40">
            <v>9.5241464611859392</v>
          </cell>
          <cell r="E40">
            <v>10.299726492783801</v>
          </cell>
          <cell r="F40">
            <v>6.636038418827849</v>
          </cell>
          <cell r="G40">
            <v>0.5298876900472802</v>
          </cell>
          <cell r="H40">
            <v>3.9523895782341201E-4</v>
          </cell>
          <cell r="I40">
            <v>3.404047313658702E-4</v>
          </cell>
          <cell r="J40">
            <v>5.7346106721437127E-4</v>
          </cell>
          <cell r="K40">
            <v>13.402046491973175</v>
          </cell>
          <cell r="L40">
            <v>13.402046882543134</v>
          </cell>
          <cell r="M40">
            <v>13.402046329736265</v>
          </cell>
          <cell r="N40">
            <v>13.40204681607614</v>
          </cell>
          <cell r="O40">
            <v>13.343348212286893</v>
          </cell>
        </row>
        <row r="41">
          <cell r="A41" t="str">
            <v>RNNWWST1</v>
          </cell>
          <cell r="C41" t="str">
            <v>WSTNREN</v>
          </cell>
          <cell r="D41">
            <v>35.931063946332678</v>
          </cell>
          <cell r="E41">
            <v>35.882383470465989</v>
          </cell>
          <cell r="F41">
            <v>35.489464783050352</v>
          </cell>
          <cell r="G41">
            <v>35.0399641978399</v>
          </cell>
          <cell r="H41">
            <v>34.937583932185426</v>
          </cell>
          <cell r="I41">
            <v>35.15945488753237</v>
          </cell>
          <cell r="J41">
            <v>35.381326485695013</v>
          </cell>
          <cell r="K41">
            <v>35.603181710197049</v>
          </cell>
          <cell r="L41">
            <v>35.603176964620744</v>
          </cell>
          <cell r="M41">
            <v>35.603177393766998</v>
          </cell>
          <cell r="N41">
            <v>35.603176732623403</v>
          </cell>
          <cell r="O41">
            <v>35.603178844762773</v>
          </cell>
        </row>
        <row r="42">
          <cell r="A42" t="str">
            <v>RNWSOL1</v>
          </cell>
          <cell r="C42" t="str">
            <v>SOL</v>
          </cell>
          <cell r="D42">
            <v>12.556450311827792</v>
          </cell>
          <cell r="E42">
            <v>16.522145936972041</v>
          </cell>
          <cell r="F42">
            <v>32.462319986097476</v>
          </cell>
          <cell r="G42">
            <v>57.941087051048818</v>
          </cell>
          <cell r="H42">
            <v>85.233799938040846</v>
          </cell>
          <cell r="I42">
            <v>92.631594539280698</v>
          </cell>
          <cell r="J42">
            <v>101.61338208596649</v>
          </cell>
          <cell r="K42">
            <v>114.97255921601088</v>
          </cell>
          <cell r="L42">
            <v>119.39994024909466</v>
          </cell>
          <cell r="M42">
            <v>123.46076825218954</v>
          </cell>
          <cell r="N42">
            <v>128.43189276879724</v>
          </cell>
          <cell r="O42">
            <v>131.94525426856183</v>
          </cell>
        </row>
        <row r="43">
          <cell r="A43" t="str">
            <v>IMPHFO1</v>
          </cell>
          <cell r="C43" t="str">
            <v>HFO</v>
          </cell>
          <cell r="D43">
            <v>2.7763697185763672</v>
          </cell>
          <cell r="E43">
            <v>2.5696996007109654</v>
          </cell>
          <cell r="F43">
            <v>9.5651128817138904E-4</v>
          </cell>
          <cell r="G43">
            <v>1.3485608168338178E-4</v>
          </cell>
          <cell r="H43">
            <v>8.6247789699631428E-5</v>
          </cell>
          <cell r="I43">
            <v>5.6610958923620884E-4</v>
          </cell>
          <cell r="J43">
            <v>3.469003049755275E-4</v>
          </cell>
        </row>
        <row r="44">
          <cell r="A44" t="str">
            <v>RNWHYDD1</v>
          </cell>
          <cell r="C44" t="str">
            <v>HYDD</v>
          </cell>
          <cell r="D44">
            <v>66.745680071503884</v>
          </cell>
          <cell r="E44">
            <v>49.798799722391159</v>
          </cell>
          <cell r="F44">
            <v>68.759993668574865</v>
          </cell>
          <cell r="G44">
            <v>70.43431264940871</v>
          </cell>
          <cell r="H44">
            <v>71.412657219040213</v>
          </cell>
          <cell r="I44">
            <v>72.497173234813289</v>
          </cell>
          <cell r="J44">
            <v>73.751259760003634</v>
          </cell>
          <cell r="K44">
            <v>74.83602653603225</v>
          </cell>
          <cell r="L44">
            <v>74.836040651777637</v>
          </cell>
          <cell r="M44">
            <v>74.836026015869933</v>
          </cell>
          <cell r="N44">
            <v>74.836035221176175</v>
          </cell>
          <cell r="O44">
            <v>74.836042247857065</v>
          </cell>
        </row>
        <row r="45">
          <cell r="A45" t="str">
            <v>IMPKER</v>
          </cell>
          <cell r="C45" t="str">
            <v>KER</v>
          </cell>
          <cell r="D45">
            <v>1.1090413069687741</v>
          </cell>
          <cell r="E45">
            <v>1.4052088487601344</v>
          </cell>
          <cell r="F45">
            <v>1.8485238349707345</v>
          </cell>
          <cell r="G45">
            <v>2.5722329433562381</v>
          </cell>
          <cell r="H45">
            <v>2.3696503583544599</v>
          </cell>
          <cell r="I45">
            <v>2.1519912167953663</v>
          </cell>
          <cell r="J45">
            <v>1.9308889353361962</v>
          </cell>
          <cell r="L45">
            <v>6.2867456159622858E-5</v>
          </cell>
          <cell r="M45">
            <v>9.6537875048712459E-5</v>
          </cell>
          <cell r="N45">
            <v>8.8079766222308266E-5</v>
          </cell>
          <cell r="O45">
            <v>1.4097361319199427E-4</v>
          </cell>
        </row>
        <row r="46">
          <cell r="A46" t="str">
            <v>IMPBDS</v>
          </cell>
          <cell r="C46" t="str">
            <v>BDS</v>
          </cell>
          <cell r="D46">
            <v>2.2829264556269089</v>
          </cell>
          <cell r="E46">
            <v>2.3780127202784942</v>
          </cell>
          <cell r="F46">
            <v>4.0215864323603814</v>
          </cell>
          <cell r="G46">
            <v>4.5552057532465158</v>
          </cell>
          <cell r="H46">
            <v>4.4646761413336336</v>
          </cell>
          <cell r="I46">
            <v>4.4631583950653591</v>
          </cell>
          <cell r="J46">
            <v>5.3811208664814663</v>
          </cell>
          <cell r="K46">
            <v>15.755946413072513</v>
          </cell>
          <cell r="L46">
            <v>13.444389172573976</v>
          </cell>
          <cell r="M46">
            <v>10.96132709840078</v>
          </cell>
          <cell r="N46">
            <v>8.9283761470716776</v>
          </cell>
          <cell r="O46">
            <v>3.8902692729650021</v>
          </cell>
        </row>
        <row r="47">
          <cell r="A47" t="str">
            <v>IMPCOA1</v>
          </cell>
          <cell r="C47" t="str">
            <v>COA</v>
          </cell>
          <cell r="D47">
            <v>3.6600027171533558</v>
          </cell>
          <cell r="E47">
            <v>3.5647171154280226</v>
          </cell>
          <cell r="F47">
            <v>0.420083163939035</v>
          </cell>
          <cell r="G47">
            <v>4.5313440419409172E-4</v>
          </cell>
          <cell r="H47">
            <v>1.9458345971381776E-4</v>
          </cell>
          <cell r="I47">
            <v>4.4756187060252667E-4</v>
          </cell>
          <cell r="J47">
            <v>2.4833471305746454E-4</v>
          </cell>
          <cell r="K47">
            <v>1.3539546899122407E-4</v>
          </cell>
          <cell r="L47">
            <v>1.7459226397307631E-4</v>
          </cell>
          <cell r="M47">
            <v>1.0812452154167788E-4</v>
          </cell>
          <cell r="N47">
            <v>1.2081901141235386E-4</v>
          </cell>
          <cell r="O47">
            <v>5.439723489651046E-5</v>
          </cell>
        </row>
        <row r="48">
          <cell r="A48" t="str">
            <v>IMPETH</v>
          </cell>
          <cell r="C48" t="str">
            <v>ETH</v>
          </cell>
          <cell r="D48">
            <v>4.4341501764852902</v>
          </cell>
          <cell r="E48">
            <v>4.3986150509514648</v>
          </cell>
          <cell r="F48">
            <v>4.4007122582828719</v>
          </cell>
          <cell r="G48">
            <v>2.8028210647303418</v>
          </cell>
          <cell r="H48">
            <v>1.329586983424039</v>
          </cell>
          <cell r="I48">
            <v>0.58318468156248027</v>
          </cell>
          <cell r="J48">
            <v>4.5562319989739004</v>
          </cell>
          <cell r="K48">
            <v>1.8114727970429347</v>
          </cell>
          <cell r="L48">
            <v>1.7209245769463317</v>
          </cell>
          <cell r="M48">
            <v>1.4772210618038544</v>
          </cell>
          <cell r="N48">
            <v>1.355612009213786</v>
          </cell>
          <cell r="O48">
            <v>1.0906764453351792</v>
          </cell>
        </row>
        <row r="49">
          <cell r="A49" t="str">
            <v>IMPELC_DE</v>
          </cell>
          <cell r="C49" t="str">
            <v>ELC_I-DE</v>
          </cell>
          <cell r="D49">
            <v>46.398476152656279</v>
          </cell>
          <cell r="E49">
            <v>28.972105734668109</v>
          </cell>
          <cell r="F49">
            <v>24.164600370514663</v>
          </cell>
          <cell r="G49">
            <v>30.422841637497008</v>
          </cell>
          <cell r="H49">
            <v>18.003801302807137</v>
          </cell>
          <cell r="I49">
            <v>24.968605146534248</v>
          </cell>
          <cell r="J49">
            <v>26.953594241557919</v>
          </cell>
          <cell r="K49">
            <v>19.212576585678704</v>
          </cell>
          <cell r="L49">
            <v>19.369678575891893</v>
          </cell>
          <cell r="M49">
            <v>10.699339285130758</v>
          </cell>
          <cell r="N49">
            <v>8.3573300910963031</v>
          </cell>
          <cell r="O49">
            <v>8.1650901101249396</v>
          </cell>
        </row>
        <row r="50">
          <cell r="A50" t="str">
            <v>IMPELC_DE</v>
          </cell>
          <cell r="C50" t="str">
            <v>ELCS</v>
          </cell>
          <cell r="D50">
            <v>46.398476152656279</v>
          </cell>
          <cell r="E50">
            <v>28.972105734668109</v>
          </cell>
          <cell r="F50">
            <v>24.164600370514663</v>
          </cell>
          <cell r="G50">
            <v>30.422841637497008</v>
          </cell>
          <cell r="H50">
            <v>18.003801302807137</v>
          </cell>
          <cell r="I50">
            <v>24.968605146534248</v>
          </cell>
          <cell r="J50">
            <v>26.953594241557919</v>
          </cell>
          <cell r="K50">
            <v>19.212576585678704</v>
          </cell>
          <cell r="L50">
            <v>19.369678575891893</v>
          </cell>
          <cell r="M50">
            <v>10.699339285130758</v>
          </cell>
          <cell r="N50">
            <v>8.3573300910963031</v>
          </cell>
          <cell r="O50">
            <v>8.1650901101249396</v>
          </cell>
        </row>
        <row r="51">
          <cell r="A51" t="str">
            <v>RNWWST1</v>
          </cell>
          <cell r="C51" t="str">
            <v>WSTREN</v>
          </cell>
          <cell r="D51">
            <v>34.100432859080108</v>
          </cell>
          <cell r="E51">
            <v>34.340146022561207</v>
          </cell>
          <cell r="F51">
            <v>34.340147231010327</v>
          </cell>
          <cell r="G51">
            <v>34.340149836274101</v>
          </cell>
          <cell r="H51">
            <v>34.340152161222306</v>
          </cell>
          <cell r="I51">
            <v>34.340157565957561</v>
          </cell>
          <cell r="J51">
            <v>40.544544518913149</v>
          </cell>
          <cell r="K51">
            <v>41.900648750326305</v>
          </cell>
          <cell r="L51">
            <v>42.695790814337641</v>
          </cell>
          <cell r="M51">
            <v>42.982841226413939</v>
          </cell>
          <cell r="N51">
            <v>43.269887551264596</v>
          </cell>
          <cell r="O51">
            <v>43.556923106616587</v>
          </cell>
        </row>
        <row r="52">
          <cell r="A52" t="str">
            <v>IMPNGA1</v>
          </cell>
          <cell r="C52" t="str">
            <v>NGA</v>
          </cell>
          <cell r="D52">
            <v>116.98283025509825</v>
          </cell>
          <cell r="E52">
            <v>106.72000034322977</v>
          </cell>
          <cell r="F52">
            <v>111.51135816485316</v>
          </cell>
          <cell r="G52">
            <v>105.45663214707338</v>
          </cell>
          <cell r="H52">
            <v>91.644693387730726</v>
          </cell>
          <cell r="I52">
            <v>91.547711198501602</v>
          </cell>
          <cell r="J52">
            <v>72.854696668125669</v>
          </cell>
          <cell r="K52">
            <v>19.8870934484309</v>
          </cell>
          <cell r="L52">
            <v>11.016206029658798</v>
          </cell>
          <cell r="M52">
            <v>3.8801205399778986</v>
          </cell>
          <cell r="N52">
            <v>1.1600448483512669</v>
          </cell>
          <cell r="O52">
            <v>4.4952698962205731E-3</v>
          </cell>
        </row>
        <row r="53">
          <cell r="A53" t="str">
            <v>IMPELC_IT</v>
          </cell>
          <cell r="C53" t="str">
            <v>ELC_I-IT</v>
          </cell>
          <cell r="D53">
            <v>6.7990982092499292</v>
          </cell>
          <cell r="E53">
            <v>1.3792026729326105E-4</v>
          </cell>
          <cell r="F53">
            <v>1.232463130911237E-4</v>
          </cell>
          <cell r="G53">
            <v>5.6853494315768676E-5</v>
          </cell>
          <cell r="H53">
            <v>7.6654773888581732E-5</v>
          </cell>
          <cell r="I53">
            <v>8.6254623241639779E-5</v>
          </cell>
          <cell r="J53">
            <v>9.1057648883786905E-5</v>
          </cell>
          <cell r="K53">
            <v>9.044343994168199E-5</v>
          </cell>
          <cell r="L53">
            <v>7.8330100957379301E-5</v>
          </cell>
          <cell r="M53">
            <v>9.0571566689543609E-5</v>
          </cell>
          <cell r="N53">
            <v>8.9508291497987204E-5</v>
          </cell>
          <cell r="O53">
            <v>1.5209276144664539E-4</v>
          </cell>
        </row>
        <row r="54">
          <cell r="A54" t="str">
            <v>IMPELC_IT</v>
          </cell>
          <cell r="C54" t="str">
            <v>ELCS</v>
          </cell>
          <cell r="D54">
            <v>6.7990982092499292</v>
          </cell>
          <cell r="E54">
            <v>1.3792026729326105E-4</v>
          </cell>
          <cell r="F54">
            <v>1.232463130911237E-4</v>
          </cell>
          <cell r="G54">
            <v>5.6853494315768676E-5</v>
          </cell>
          <cell r="H54">
            <v>7.6654773888581732E-5</v>
          </cell>
          <cell r="I54">
            <v>8.6254623241639779E-5</v>
          </cell>
          <cell r="J54">
            <v>9.1057648883786905E-5</v>
          </cell>
          <cell r="K54">
            <v>9.044343994168199E-5</v>
          </cell>
          <cell r="L54">
            <v>7.8330100957379301E-5</v>
          </cell>
          <cell r="M54">
            <v>9.0571566689543609E-5</v>
          </cell>
          <cell r="N54">
            <v>8.9508291497987204E-5</v>
          </cell>
          <cell r="O54">
            <v>1.5209276144664539E-4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3.2682074554834686</v>
          </cell>
          <cell r="E4">
            <v>3.8319833054839307</v>
          </cell>
          <cell r="F4">
            <v>3.7299533796222089</v>
          </cell>
          <cell r="G4">
            <v>3.8828750306249038</v>
          </cell>
          <cell r="H4">
            <v>4.0211933446488013</v>
          </cell>
          <cell r="I4">
            <v>4.1339424408204453</v>
          </cell>
          <cell r="J4">
            <v>4.2258003987614892</v>
          </cell>
          <cell r="K4">
            <v>4.3124776805894101</v>
          </cell>
          <cell r="L4">
            <v>4.3751593911699311</v>
          </cell>
          <cell r="M4">
            <v>4.4464012006770446</v>
          </cell>
          <cell r="N4">
            <v>4.4466583444443346</v>
          </cell>
          <cell r="O4">
            <v>4.4466668900241162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3.2682074554834686</v>
          </cell>
          <cell r="E5">
            <v>3.8319833054839307</v>
          </cell>
          <cell r="F5">
            <v>3.7299533796222089</v>
          </cell>
          <cell r="G5">
            <v>3.8828750306249038</v>
          </cell>
          <cell r="H5">
            <v>4.0211933446488013</v>
          </cell>
          <cell r="I5">
            <v>4.1339424408204453</v>
          </cell>
          <cell r="J5">
            <v>4.2258003987614892</v>
          </cell>
          <cell r="K5">
            <v>4.3124776805894101</v>
          </cell>
          <cell r="L5">
            <v>4.3751593911699311</v>
          </cell>
          <cell r="M5">
            <v>4.4464012006770446</v>
          </cell>
          <cell r="N5">
            <v>4.4466583444443346</v>
          </cell>
          <cell r="O5">
            <v>4.4466668900241162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6.5222088226977858E-6</v>
          </cell>
          <cell r="F6">
            <v>2.1745846223912837E-3</v>
          </cell>
          <cell r="G6">
            <v>2.3467823483934646E-3</v>
          </cell>
          <cell r="H6">
            <v>2.5292665794506854E-3</v>
          </cell>
          <cell r="I6">
            <v>2.9268793582603709E-3</v>
          </cell>
          <cell r="J6">
            <v>2.3300842645762694E-3</v>
          </cell>
          <cell r="K6">
            <v>2.4871223550130407E-3</v>
          </cell>
          <cell r="L6">
            <v>2.1899461467223555E-3</v>
          </cell>
          <cell r="M6">
            <v>9.1382401858394123E-5</v>
          </cell>
          <cell r="N6">
            <v>6.6750529248915956E-5</v>
          </cell>
          <cell r="O6">
            <v>1.3878601262469448E-4</v>
          </cell>
        </row>
        <row r="7">
          <cell r="A7" t="str">
            <v>RHNS-SHSTG-SOL</v>
          </cell>
          <cell r="B7" t="str">
            <v>VAR_fin</v>
          </cell>
          <cell r="C7" t="str">
            <v>RHNS-SHASOL</v>
          </cell>
          <cell r="D7"/>
          <cell r="E7">
            <v>1.8419811340538526E-7</v>
          </cell>
          <cell r="F7">
            <v>2.1690827218848884E-3</v>
          </cell>
          <cell r="G7">
            <v>2.3407677338886275E-3</v>
          </cell>
          <cell r="H7">
            <v>2.5255331466119213E-3</v>
          </cell>
          <cell r="I7">
            <v>2.9240425959353861E-3</v>
          </cell>
          <cell r="J7">
            <v>2.3233704939194908E-3</v>
          </cell>
          <cell r="K7">
            <v>2.4803956171988691E-3</v>
          </cell>
          <cell r="L7">
            <v>2.1875377813430972E-3</v>
          </cell>
          <cell r="M7">
            <v>8.3458626607666646E-5</v>
          </cell>
          <cell r="N7">
            <v>6.195650812837999E-5</v>
          </cell>
          <cell r="O7">
            <v>1.2983819650323335E-4</v>
          </cell>
        </row>
        <row r="8">
          <cell r="A8" t="str">
            <v>RHNS-SHSTG-SOL</v>
          </cell>
          <cell r="B8" t="str">
            <v>VAR_ncap</v>
          </cell>
          <cell r="C8" t="str">
            <v>-</v>
          </cell>
          <cell r="D8">
            <v>1.71024571788581E-6</v>
          </cell>
          <cell r="E8">
            <v>3.4331576245395101E-4</v>
          </cell>
          <cell r="F8">
            <v>3.4258431082756198E-5</v>
          </cell>
          <cell r="G8">
            <v>7.1561363822090105E-5</v>
          </cell>
          <cell r="H8">
            <v>1.05318819657823E-4</v>
          </cell>
          <cell r="I8">
            <v>2.6786664865140203E-4</v>
          </cell>
          <cell r="J8">
            <v>3.1809138932144299E-5</v>
          </cell>
          <cell r="K8">
            <v>6.0272669952608501E-5</v>
          </cell>
          <cell r="L8">
            <v>3.0011595233785999E-4</v>
          </cell>
          <cell r="M8">
            <v>4.2935227983024203E-7</v>
          </cell>
          <cell r="N8">
            <v>1.18112162813178E-4</v>
          </cell>
          <cell r="O8">
            <v>1.03134124223757E-6</v>
          </cell>
        </row>
        <row r="9">
          <cell r="A9" t="str">
            <v>RHNS-SHSTG-SOL</v>
          </cell>
          <cell r="B9" t="str">
            <v>VAR_cap</v>
          </cell>
          <cell r="C9" t="str">
            <v>-</v>
          </cell>
          <cell r="D9">
            <v>1.71024571788581E-6</v>
          </cell>
          <cell r="E9">
            <v>3.45026008171836E-4</v>
          </cell>
          <cell r="F9">
            <v>3.7928443925459301E-4</v>
          </cell>
          <cell r="G9">
            <v>4.5084580307668302E-4</v>
          </cell>
          <cell r="H9">
            <v>3.8747784224500199E-4</v>
          </cell>
          <cell r="I9">
            <v>4.38326673034213E-4</v>
          </cell>
          <cell r="J9">
            <v>4.0499460724137003E-4</v>
          </cell>
          <cell r="K9">
            <v>3.5994845753615498E-4</v>
          </cell>
          <cell r="L9">
            <v>4.29141998628715E-4</v>
          </cell>
          <cell r="M9">
            <v>3.6081797457029901E-4</v>
          </cell>
          <cell r="N9">
            <v>3.3419221307115699E-4</v>
          </cell>
          <cell r="O9">
            <v>1.19572856335246E-4</v>
          </cell>
        </row>
        <row r="10">
          <cell r="A10" t="str">
            <v>RHNS-SHNGAHP</v>
          </cell>
          <cell r="B10" t="str">
            <v>VAR_fout</v>
          </cell>
          <cell r="C10" t="str">
            <v>CO2_R</v>
          </cell>
          <cell r="D10"/>
          <cell r="E10"/>
          <cell r="F10">
            <v>2.2649894096820101E-2</v>
          </cell>
          <cell r="G10">
            <v>1.93861322161928E-2</v>
          </cell>
          <cell r="H10">
            <v>0.22310783750940499</v>
          </cell>
          <cell r="I10">
            <v>19.8716882660454</v>
          </cell>
          <cell r="J10">
            <v>19.064878330189899</v>
          </cell>
          <cell r="K10">
            <v>18.660268705795801</v>
          </cell>
          <cell r="L10">
            <v>1.8752930096787499</v>
          </cell>
          <cell r="M10">
            <v>2.64576973062105E-2</v>
          </cell>
          <cell r="N10">
            <v>2.62684760717912E-2</v>
          </cell>
          <cell r="O10">
            <v>2.61249355072951E-2</v>
          </cell>
        </row>
        <row r="11">
          <cell r="A11" t="str">
            <v>RHNS-SHNGAHP</v>
          </cell>
          <cell r="B11" t="str">
            <v>VAR_fout</v>
          </cell>
          <cell r="C11" t="str">
            <v>RHNS-SHANGAH</v>
          </cell>
          <cell r="D11"/>
          <cell r="E11"/>
          <cell r="F11">
            <v>8.0318773392979196E-4</v>
          </cell>
          <cell r="G11">
            <v>7.1494955690923866E-4</v>
          </cell>
          <cell r="H11">
            <v>8.5049973518656237E-3</v>
          </cell>
          <cell r="I11">
            <v>0.78218347430178925</v>
          </cell>
          <cell r="J11">
            <v>0.77070784739065323</v>
          </cell>
          <cell r="K11">
            <v>0.77420263779365284</v>
          </cell>
          <cell r="L11">
            <v>7.7804709976033157E-2</v>
          </cell>
          <cell r="M11">
            <v>1.0977129733427753E-3</v>
          </cell>
          <cell r="N11">
            <v>1.0898623051062305E-3</v>
          </cell>
          <cell r="O11">
            <v>1.0839068987069237E-3</v>
          </cell>
        </row>
        <row r="12">
          <cell r="A12" t="str">
            <v>RHNS-SHNGAHP</v>
          </cell>
          <cell r="B12" t="str">
            <v>VAR_fin</v>
          </cell>
          <cell r="C12" t="str">
            <v>RNGA</v>
          </cell>
          <cell r="D12"/>
          <cell r="E12"/>
          <cell r="F12">
            <v>4.0159386696489593E-4</v>
          </cell>
          <cell r="G12">
            <v>3.4372574851405713E-4</v>
          </cell>
          <cell r="H12">
            <v>3.9558127217979681E-3</v>
          </cell>
          <cell r="I12">
            <v>0.35233489833413972</v>
          </cell>
          <cell r="J12">
            <v>0.33802975762747967</v>
          </cell>
          <cell r="K12">
            <v>0.33085582811694575</v>
          </cell>
          <cell r="L12">
            <v>3.3249876058133856E-2</v>
          </cell>
          <cell r="M12">
            <v>4.6910810826614316E-4</v>
          </cell>
          <cell r="N12">
            <v>4.6575312184026922E-4</v>
          </cell>
          <cell r="O12">
            <v>4.6320807637047982E-4</v>
          </cell>
        </row>
        <row r="13">
          <cell r="A13" t="str">
            <v>RHNS-SHNGAHP</v>
          </cell>
          <cell r="B13" t="str">
            <v>VAR_fin</v>
          </cell>
          <cell r="C13" t="str">
            <v>RHNSELCHPC</v>
          </cell>
          <cell r="D13"/>
          <cell r="E13"/>
          <cell r="F13">
            <v>8.0318773392979196E-4</v>
          </cell>
          <cell r="G13">
            <v>7.1494955690923866E-4</v>
          </cell>
          <cell r="H13">
            <v>8.5049973518656237E-3</v>
          </cell>
          <cell r="I13">
            <v>0.78218347430178925</v>
          </cell>
          <cell r="J13">
            <v>0.77070784739065323</v>
          </cell>
          <cell r="K13">
            <v>0.77420263779365284</v>
          </cell>
          <cell r="L13">
            <v>7.7804709976033157E-2</v>
          </cell>
          <cell r="M13">
            <v>1.0977129733427753E-3</v>
          </cell>
          <cell r="N13">
            <v>1.0898623051062305E-3</v>
          </cell>
          <cell r="O13">
            <v>1.0839068987069237E-3</v>
          </cell>
        </row>
        <row r="14">
          <cell r="A14" t="str">
            <v>RHNS-SHNGAHP</v>
          </cell>
          <cell r="B14" t="str">
            <v>VAR_ncap</v>
          </cell>
          <cell r="C14" t="str">
            <v>-</v>
          </cell>
          <cell r="D14"/>
          <cell r="E14">
            <v>6.44863138557802E-8</v>
          </cell>
          <cell r="F14">
            <v>6.3017630139751695E-5</v>
          </cell>
          <cell r="G14">
            <v>1.12217976047371E-7</v>
          </cell>
          <cell r="H14">
            <v>5.62991436471088E-4</v>
          </cell>
          <cell r="I14">
            <v>5.6409775398495003E-2</v>
          </cell>
          <cell r="J14">
            <v>1.78141252777412E-7</v>
          </cell>
          <cell r="K14">
            <v>7.2541547743702601E-7</v>
          </cell>
          <cell r="L14">
            <v>2.12835174431281E-7</v>
          </cell>
          <cell r="M14">
            <v>9.8036742498856298E-5</v>
          </cell>
          <cell r="N14">
            <v>1.5712491943623099E-6</v>
          </cell>
          <cell r="O14">
            <v>2.4397901410542899E-5</v>
          </cell>
        </row>
        <row r="15">
          <cell r="A15" t="str">
            <v>RHNS-SHNGAHP</v>
          </cell>
          <cell r="B15" t="str">
            <v>VAR_cap</v>
          </cell>
          <cell r="C15" t="str">
            <v>-</v>
          </cell>
          <cell r="D15"/>
          <cell r="E15">
            <v>6.44863138557802E-8</v>
          </cell>
          <cell r="F15">
            <v>6.3067938463583562E-5</v>
          </cell>
          <cell r="G15">
            <v>6.3151145947344005E-5</v>
          </cell>
          <cell r="H15">
            <v>6.2609009377409379E-4</v>
          </cell>
          <cell r="I15">
            <v>5.6985982582674795E-2</v>
          </cell>
          <cell r="J15">
            <v>5.6972822288238474E-2</v>
          </cell>
          <cell r="K15">
            <v>5.6410611900059901E-2</v>
          </cell>
          <cell r="L15">
            <v>8.6680287680564305E-3</v>
          </cell>
          <cell r="M15">
            <v>9.8865004953844921E-5</v>
          </cell>
          <cell r="N15">
            <v>9.9748880509746367E-5</v>
          </cell>
          <cell r="O15">
            <v>1.2389086764599098E-4</v>
          </cell>
        </row>
        <row r="16">
          <cell r="A16" t="str">
            <v>ITOT-SWHPLTBR</v>
          </cell>
          <cell r="B16" t="str">
            <v>VAR_fout</v>
          </cell>
          <cell r="C16" t="str">
            <v>ITOT-SWH</v>
          </cell>
          <cell r="D16">
            <v>0.46151837661242201</v>
          </cell>
          <cell r="E16">
            <v>0.54457506293519831</v>
          </cell>
          <cell r="F16">
            <v>0.54457534338132552</v>
          </cell>
          <cell r="G16">
            <v>0.54459932085929652</v>
          </cell>
          <cell r="H16">
            <v>0.54460141677465101</v>
          </cell>
          <cell r="I16">
            <v>0.54460327685755405</v>
          </cell>
          <cell r="J16">
            <v>0.54460653263532655</v>
          </cell>
          <cell r="K16">
            <v>0.54461961148379301</v>
          </cell>
          <cell r="L16">
            <v>0.54462418203018881</v>
          </cell>
          <cell r="M16">
            <v>0.54463050284310521</v>
          </cell>
          <cell r="N16">
            <v>0.54463725067709601</v>
          </cell>
          <cell r="O16">
            <v>0.54464473526490365</v>
          </cell>
        </row>
        <row r="17">
          <cell r="A17" t="str">
            <v>ITOT-SWHPLTBR</v>
          </cell>
          <cell r="B17" t="str">
            <v>VAR_fin</v>
          </cell>
          <cell r="C17" t="str">
            <v>ITOTPLTBRC</v>
          </cell>
          <cell r="D17">
            <v>0.46151837661242201</v>
          </cell>
          <cell r="E17">
            <v>0.54457506293519831</v>
          </cell>
          <cell r="F17">
            <v>0.54457534338132552</v>
          </cell>
          <cell r="G17">
            <v>0.54459932085929652</v>
          </cell>
          <cell r="H17">
            <v>0.54460141677465101</v>
          </cell>
          <cell r="I17">
            <v>0.54460327685755405</v>
          </cell>
          <cell r="J17">
            <v>0.54460653263532655</v>
          </cell>
          <cell r="K17">
            <v>0.54461961148379301</v>
          </cell>
          <cell r="L17">
            <v>0.54462418203018881</v>
          </cell>
          <cell r="M17">
            <v>0.54463050284310521</v>
          </cell>
          <cell r="N17">
            <v>0.54463725067709601</v>
          </cell>
          <cell r="O17">
            <v>0.54464473526490365</v>
          </cell>
        </row>
        <row r="18">
          <cell r="A18" t="str">
            <v>ITOT-SWHPLTBR</v>
          </cell>
          <cell r="B18" t="str">
            <v>VAR_fin</v>
          </cell>
          <cell r="C18" t="str">
            <v>IPLT</v>
          </cell>
          <cell r="D18">
            <v>0.62578762930497855</v>
          </cell>
          <cell r="E18">
            <v>0.73757344867069707</v>
          </cell>
          <cell r="F18">
            <v>0.73632722485362367</v>
          </cell>
          <cell r="G18">
            <v>0.73429121913613005</v>
          </cell>
          <cell r="H18">
            <v>0.73223719902474138</v>
          </cell>
          <cell r="I18">
            <v>0.73019433768610664</v>
          </cell>
          <cell r="J18">
            <v>0.72816472330071602</v>
          </cell>
          <cell r="K18">
            <v>0.72615948197839031</v>
          </cell>
          <cell r="L18">
            <v>0.72616557604025178</v>
          </cell>
          <cell r="M18">
            <v>0.72617400379080688</v>
          </cell>
          <cell r="N18">
            <v>0.72618300090279464</v>
          </cell>
          <cell r="O18">
            <v>0.72619298035320479</v>
          </cell>
        </row>
        <row r="19">
          <cell r="A19" t="str">
            <v>ITOT-SWHPLTBR</v>
          </cell>
          <cell r="B19" t="str">
            <v>VAR_ncap</v>
          </cell>
          <cell r="C19" t="str">
            <v>-</v>
          </cell>
          <cell r="D19"/>
          <cell r="E19">
            <v>7.5436197129677999E-3</v>
          </cell>
          <cell r="F19">
            <v>7.1003788299901197E-6</v>
          </cell>
          <cell r="G19">
            <v>4.4748211065923898E-3</v>
          </cell>
          <cell r="H19">
            <v>2.5656697920663999E-2</v>
          </cell>
          <cell r="I19">
            <v>1.20143152217362E-2</v>
          </cell>
          <cell r="J19">
            <v>3.0693882462713199E-3</v>
          </cell>
          <cell r="K19">
            <v>2.3694161736093001E-2</v>
          </cell>
          <cell r="L19">
            <v>1.4830021011561599E-2</v>
          </cell>
          <cell r="M19">
            <v>2.8465502189273001E-3</v>
          </cell>
          <cell r="N19">
            <v>2.4651301046136401E-2</v>
          </cell>
          <cell r="O19">
            <v>8.9904356768249292E-3</v>
          </cell>
        </row>
        <row r="20">
          <cell r="A20" t="str">
            <v>ITOT-SWHPLTBR</v>
          </cell>
          <cell r="B20" t="str">
            <v>VAR_cap</v>
          </cell>
          <cell r="C20" t="str">
            <v>-</v>
          </cell>
          <cell r="D20">
            <v>2.9860759506449799E-2</v>
          </cell>
          <cell r="E20">
            <v>3.7404058916969178E-2</v>
          </cell>
          <cell r="F20">
            <v>3.7409937979915979E-2</v>
          </cell>
          <cell r="G20">
            <v>4.1883605821718718E-2</v>
          </cell>
          <cell r="H20">
            <v>4.1742111489570702E-2</v>
          </cell>
          <cell r="I20">
            <v>4.12927030089449E-2</v>
          </cell>
          <cell r="J20">
            <v>4.0737953780227244E-2</v>
          </cell>
          <cell r="K20">
            <v>3.8774017501446781E-2</v>
          </cell>
          <cell r="L20">
            <v>4.3028505084750063E-2</v>
          </cell>
          <cell r="M20">
            <v>4.1366048318550577E-2</v>
          </cell>
          <cell r="N20">
            <v>4.1816901280034853E-2</v>
          </cell>
          <cell r="O20">
            <v>3.6482380725757664E-2</v>
          </cell>
        </row>
        <row r="21">
          <cell r="A21" t="str">
            <v>D-RHNS_KEV_WOD_ELC_CHP</v>
          </cell>
          <cell r="B21" t="str">
            <v>VAR_fout</v>
          </cell>
          <cell r="C21" t="str">
            <v>RHNS_ELC</v>
          </cell>
          <cell r="D21"/>
          <cell r="E21"/>
          <cell r="F21"/>
          <cell r="G21">
            <v>6.1289396500309706E-5</v>
          </cell>
          <cell r="H21">
            <v>1.0314186437624385E-4</v>
          </cell>
          <cell r="I21">
            <v>3.9547033938323617E-4</v>
          </cell>
          <cell r="J21">
            <v>3.477907511162084E-4</v>
          </cell>
          <cell r="K21">
            <v>5.0826183467712416E-4</v>
          </cell>
          <cell r="L21">
            <v>2.4677237097769775E-4</v>
          </cell>
          <cell r="M21">
            <v>1.7034706818953109E-4</v>
          </cell>
          <cell r="N21">
            <v>1.3999274598942786E-4</v>
          </cell>
          <cell r="O21">
            <v>3.2348778983023785E-4</v>
          </cell>
        </row>
        <row r="22">
          <cell r="A22" t="str">
            <v>D-RHNS_KEV_WOD_ELC_CHP</v>
          </cell>
          <cell r="B22" t="str">
            <v>VAR_fout</v>
          </cell>
          <cell r="C22" t="str">
            <v>ELC5</v>
          </cell>
          <cell r="D22"/>
          <cell r="E22"/>
          <cell r="F22"/>
          <cell r="G22">
            <v>6.1328481908388472E-5</v>
          </cell>
          <cell r="H22">
            <v>1.0321570826284165E-4</v>
          </cell>
          <cell r="I22">
            <v>3.9561921611580244E-4</v>
          </cell>
          <cell r="J22">
            <v>3.4785623051874169E-4</v>
          </cell>
          <cell r="K22">
            <v>5.0823493353497023E-4</v>
          </cell>
          <cell r="L22">
            <v>2.4676358452210953E-4</v>
          </cell>
          <cell r="M22">
            <v>1.703167036922438E-4</v>
          </cell>
          <cell r="N22">
            <v>1.3995154408855205E-4</v>
          </cell>
          <cell r="O22">
            <v>3.2339598322833174E-4</v>
          </cell>
        </row>
        <row r="23">
          <cell r="A23" t="str">
            <v>D-RHNS_KEV_WOD_ELC_CHP</v>
          </cell>
          <cell r="B23" t="str">
            <v>VAR_fin</v>
          </cell>
          <cell r="C23" t="str">
            <v>RHNS_KEV_WOD_ELC_CHP</v>
          </cell>
          <cell r="D23"/>
          <cell r="E23"/>
          <cell r="F23"/>
          <cell r="G23">
            <v>1.219132036172356E-4</v>
          </cell>
          <cell r="H23">
            <v>2.0542498244832216E-4</v>
          </cell>
          <cell r="I23">
            <v>7.8966802269900542E-4</v>
          </cell>
          <cell r="J23">
            <v>6.9363521180713537E-4</v>
          </cell>
          <cell r="K23">
            <v>1.0136785973630194E-3</v>
          </cell>
          <cell r="L23">
            <v>4.9232682841151621E-4</v>
          </cell>
          <cell r="M23">
            <v>3.3817671549135966E-4</v>
          </cell>
          <cell r="N23">
            <v>2.7817948971593142E-4</v>
          </cell>
          <cell r="O23">
            <v>6.4411589129370487E-4</v>
          </cell>
        </row>
        <row r="24">
          <cell r="A24" t="str">
            <v>RHSA-WHWODBR</v>
          </cell>
          <cell r="B24" t="str">
            <v>VAR_fout</v>
          </cell>
          <cell r="C24" t="str">
            <v>RHSA-WHWOD</v>
          </cell>
          <cell r="D24">
            <v>0.52047091094436004</v>
          </cell>
          <cell r="E24">
            <v>0.59724082453570115</v>
          </cell>
          <cell r="F24">
            <v>0.3274861508282414</v>
          </cell>
          <cell r="G24">
            <v>0.28900415393853629</v>
          </cell>
          <cell r="H24">
            <v>0.25718998920099478</v>
          </cell>
          <cell r="I24">
            <v>0.19129199644488748</v>
          </cell>
          <cell r="J24">
            <v>0.16622817215610775</v>
          </cell>
          <cell r="K24">
            <v>0.15816363948827267</v>
          </cell>
          <cell r="L24">
            <v>0.13082110821864423</v>
          </cell>
          <cell r="M24">
            <v>0.11935429560021955</v>
          </cell>
          <cell r="N24">
            <v>0.11897793234910338</v>
          </cell>
          <cell r="O24">
            <v>9.368529542335953E-2</v>
          </cell>
        </row>
        <row r="25">
          <cell r="A25" t="str">
            <v>RHSA-WHWODBR</v>
          </cell>
          <cell r="B25" t="str">
            <v>VAR_fin</v>
          </cell>
          <cell r="C25" t="str">
            <v>RWOD</v>
          </cell>
          <cell r="D25">
            <v>1.0409418218887201</v>
          </cell>
          <cell r="E25">
            <v>1.194481649071403</v>
          </cell>
          <cell r="F25">
            <v>0.65497230165648312</v>
          </cell>
          <cell r="G25">
            <v>0.57800830787707291</v>
          </cell>
          <cell r="H25">
            <v>0.51437997840198924</v>
          </cell>
          <cell r="I25">
            <v>0.38258399288977507</v>
          </cell>
          <cell r="J25">
            <v>0.33245634431221571</v>
          </cell>
          <cell r="K25">
            <v>0.31632727897654522</v>
          </cell>
          <cell r="L25">
            <v>0.26164221643728836</v>
          </cell>
          <cell r="M25">
            <v>0.23870859120043905</v>
          </cell>
          <cell r="N25">
            <v>0.23795586469820676</v>
          </cell>
          <cell r="O25">
            <v>0.18737059084671889</v>
          </cell>
        </row>
        <row r="26">
          <cell r="A26" t="str">
            <v>RHSA-WHWODBR</v>
          </cell>
          <cell r="B26" t="str">
            <v>VAR_ncap</v>
          </cell>
          <cell r="C26" t="str">
            <v>-</v>
          </cell>
          <cell r="D26"/>
          <cell r="E26">
            <v>5.1123995741752803E-3</v>
          </cell>
          <cell r="F26">
            <v>4.4476572836859199E-8</v>
          </cell>
          <cell r="G26">
            <v>2.4173672395907001E-7</v>
          </cell>
          <cell r="H26">
            <v>6.4406424907669096E-3</v>
          </cell>
          <cell r="I26">
            <v>6.6222227750452499E-3</v>
          </cell>
          <cell r="J26">
            <v>1.3743114580656299E-7</v>
          </cell>
          <cell r="K26">
            <v>4.5747117217144403E-3</v>
          </cell>
          <cell r="L26">
            <v>3.3674050344621302E-3</v>
          </cell>
          <cell r="M26">
            <v>2.3338545219667899E-4</v>
          </cell>
          <cell r="N26">
            <v>5.0135147112151598E-3</v>
          </cell>
          <cell r="O26">
            <v>1.1781303217153699E-3</v>
          </cell>
        </row>
        <row r="27">
          <cell r="A27" t="str">
            <v>RHSA-WHWODBR</v>
          </cell>
          <cell r="B27" t="str">
            <v>VAR_cap</v>
          </cell>
          <cell r="C27" t="str">
            <v>-</v>
          </cell>
          <cell r="D27">
            <v>3.5322010722483803E-2</v>
          </cell>
          <cell r="E27">
            <v>4.0434395081848741E-2</v>
          </cell>
          <cell r="F27">
            <v>4.0428527182960083E-2</v>
          </cell>
          <cell r="G27">
            <v>4.0423841692042543E-2</v>
          </cell>
          <cell r="H27">
            <v>1.8217296874975336E-2</v>
          </cell>
          <cell r="I27">
            <v>1.306299538203686E-2</v>
          </cell>
          <cell r="J27">
            <v>1.3062436954576113E-2</v>
          </cell>
          <cell r="K27">
            <v>1.1196850257581967E-2</v>
          </cell>
          <cell r="L27">
            <v>8.9595928025285754E-3</v>
          </cell>
          <cell r="M27">
            <v>8.1752780021971914E-3</v>
          </cell>
          <cell r="N27">
            <v>8.3567602369782265E-3</v>
          </cell>
          <cell r="O27">
            <v>6.4248204707333762E-3</v>
          </cell>
        </row>
        <row r="28">
          <cell r="A28" t="str">
            <v>RHES-SHWODBR</v>
          </cell>
          <cell r="B28" t="str">
            <v>VAR_fout</v>
          </cell>
          <cell r="C28" t="str">
            <v>RHES-SHWOD</v>
          </cell>
          <cell r="D28">
            <v>4.387155970559462</v>
          </cell>
          <cell r="E28">
            <v>4.3871143977163456</v>
          </cell>
          <cell r="F28">
            <v>4.3475355225167736</v>
          </cell>
          <cell r="G28">
            <v>4.4945345819812959</v>
          </cell>
          <cell r="H28">
            <v>3.7162328614154876</v>
          </cell>
          <cell r="I28">
            <v>2.7905290961663027</v>
          </cell>
          <cell r="J28">
            <v>2.4253607884550101</v>
          </cell>
          <cell r="K28">
            <v>2.1470676764842698</v>
          </cell>
          <cell r="L28">
            <v>1.911932785592567</v>
          </cell>
          <cell r="M28">
            <v>1.7243053831080872</v>
          </cell>
          <cell r="N28">
            <v>1.7255713395398076</v>
          </cell>
          <cell r="O28">
            <v>1.5062288447420042</v>
          </cell>
        </row>
        <row r="29">
          <cell r="A29" t="str">
            <v>RHES-SHWODBR</v>
          </cell>
          <cell r="B29" t="str">
            <v>VAR_fin</v>
          </cell>
          <cell r="C29" t="str">
            <v>RWOD</v>
          </cell>
          <cell r="D29">
            <v>6.093272181332579</v>
          </cell>
          <cell r="E29">
            <v>6.0932144412726963</v>
          </cell>
          <cell r="F29">
            <v>6.0382437812732928</v>
          </cell>
          <cell r="G29">
            <v>6.2424091416406888</v>
          </cell>
          <cell r="H29">
            <v>5.1614345297437367</v>
          </cell>
          <cell r="I29">
            <v>3.8757348557865274</v>
          </cell>
          <cell r="J29">
            <v>3.3685566506319593</v>
          </cell>
          <cell r="K29">
            <v>2.9820384395614847</v>
          </cell>
          <cell r="L29">
            <v>2.6554622022118974</v>
          </cell>
          <cell r="M29">
            <v>2.3948685876501203</v>
          </cell>
          <cell r="N29">
            <v>2.3966268604719536</v>
          </cell>
          <cell r="O29">
            <v>2.0919845065861185</v>
          </cell>
        </row>
        <row r="30">
          <cell r="A30" t="str">
            <v>RHES-SHWODBR</v>
          </cell>
          <cell r="B30" t="str">
            <v>VAR_ncap</v>
          </cell>
          <cell r="C30" t="str">
            <v>-</v>
          </cell>
          <cell r="D30"/>
          <cell r="E30">
            <v>1.2424176947546899E-7</v>
          </cell>
          <cell r="F30">
            <v>3.6623345900577298E-8</v>
          </cell>
          <cell r="G30">
            <v>2.59248214626197E-2</v>
          </cell>
          <cell r="H30">
            <v>0.18292653053483099</v>
          </cell>
          <cell r="I30">
            <v>2.1529830223442199E-2</v>
          </cell>
          <cell r="J30">
            <v>8.4526535938809001E-8</v>
          </cell>
          <cell r="K30">
            <v>0.15223843205297799</v>
          </cell>
          <cell r="L30">
            <v>3.0551999271597601E-7</v>
          </cell>
          <cell r="M30">
            <v>2.5472013299318202E-7</v>
          </cell>
          <cell r="N30">
            <v>0.1137368860147</v>
          </cell>
          <cell r="O30">
            <v>8.9902495692687108E-3</v>
          </cell>
        </row>
        <row r="31">
          <cell r="A31" t="str">
            <v>RHES-SHWODBR</v>
          </cell>
          <cell r="B31" t="str">
            <v>VAR_cap</v>
          </cell>
          <cell r="C31" t="str">
            <v>-</v>
          </cell>
          <cell r="D31">
            <v>0.354428052062076</v>
          </cell>
          <cell r="E31">
            <v>0.35442816352272905</v>
          </cell>
          <cell r="F31">
            <v>0.35442789628219484</v>
          </cell>
          <cell r="G31">
            <v>0.38035248712521064</v>
          </cell>
          <cell r="H31">
            <v>0.30076665475831227</v>
          </cell>
          <cell r="I31">
            <v>0.22544901345655391</v>
          </cell>
          <cell r="J31">
            <v>0.204129588226482</v>
          </cell>
          <cell r="K31">
            <v>0.17376826543770904</v>
          </cell>
          <cell r="L31">
            <v>0.15554686620531893</v>
          </cell>
          <cell r="M31">
            <v>0.15223840042709291</v>
          </cell>
          <cell r="N31">
            <v>0.1407018973351728</v>
          </cell>
          <cell r="O31">
            <v>0.12272729419313229</v>
          </cell>
        </row>
        <row r="32">
          <cell r="A32" t="str">
            <v>D-EH2</v>
          </cell>
          <cell r="B32" t="str">
            <v>VAR_fout</v>
          </cell>
          <cell r="C32" t="str">
            <v>EH2</v>
          </cell>
          <cell r="D32"/>
          <cell r="E32"/>
          <cell r="F32"/>
          <cell r="G32"/>
          <cell r="H32"/>
          <cell r="I32">
            <v>0.59675274984737403</v>
          </cell>
          <cell r="J32">
            <v>1.6283379371422595</v>
          </cell>
          <cell r="K32">
            <v>2.4874114235703106</v>
          </cell>
          <cell r="L32">
            <v>2.6489122857306322</v>
          </cell>
          <cell r="M32">
            <v>2.6564561820158463</v>
          </cell>
          <cell r="N32">
            <v>2.6578798369811278</v>
          </cell>
          <cell r="O32">
            <v>2.6575247255420238</v>
          </cell>
        </row>
        <row r="33">
          <cell r="A33" t="str">
            <v>D-EH2</v>
          </cell>
          <cell r="B33" t="str">
            <v>VAR_fin</v>
          </cell>
          <cell r="C33" t="str">
            <v>H2</v>
          </cell>
          <cell r="D33"/>
          <cell r="E33"/>
          <cell r="F33"/>
          <cell r="G33"/>
          <cell r="H33"/>
          <cell r="I33">
            <v>0.60278055540138786</v>
          </cell>
          <cell r="J33">
            <v>1.6447857950931908</v>
          </cell>
          <cell r="K33">
            <v>2.5125367914851617</v>
          </cell>
          <cell r="L33">
            <v>2.6756689754854865</v>
          </cell>
          <cell r="M33">
            <v>2.6832890727432774</v>
          </cell>
          <cell r="N33">
            <v>2.6847271080617445</v>
          </cell>
          <cell r="O33">
            <v>2.684368409638406</v>
          </cell>
        </row>
        <row r="34">
          <cell r="A34" t="str">
            <v>D-EH2</v>
          </cell>
          <cell r="B34" t="str">
            <v>VAR_ncap</v>
          </cell>
          <cell r="C34" t="str">
            <v>-</v>
          </cell>
          <cell r="D34"/>
          <cell r="E34"/>
          <cell r="F34"/>
          <cell r="G34">
            <v>2.03355188293058E-7</v>
          </cell>
          <cell r="H34">
            <v>5.0473535668292195E-7</v>
          </cell>
          <cell r="I34">
            <v>3.9112914977213399E-2</v>
          </cell>
          <cell r="J34">
            <v>9.52466482258775E-2</v>
          </cell>
          <cell r="K34">
            <v>3.05529408725108E-2</v>
          </cell>
          <cell r="L34">
            <v>2.8363404643953999E-4</v>
          </cell>
          <cell r="M34">
            <v>2.6412391537578499E-2</v>
          </cell>
          <cell r="N34">
            <v>1.5390755664127E-6</v>
          </cell>
          <cell r="O34">
            <v>1.0146404575192E-5</v>
          </cell>
        </row>
        <row r="35">
          <cell r="A35" t="str">
            <v>D-EH2</v>
          </cell>
          <cell r="B35" t="str">
            <v>VAR_cap</v>
          </cell>
          <cell r="C35" t="str">
            <v>-</v>
          </cell>
          <cell r="D35"/>
          <cell r="E35"/>
          <cell r="F35"/>
          <cell r="G35">
            <v>2.03355188293058E-7</v>
          </cell>
          <cell r="H35">
            <v>7.0809054497598095E-7</v>
          </cell>
          <cell r="I35">
            <v>3.9113623067758403E-2</v>
          </cell>
          <cell r="J35">
            <v>0.13436027129363601</v>
          </cell>
          <cell r="K35">
            <v>0.16491321216614699</v>
          </cell>
          <cell r="L35">
            <v>0.16519684621258601</v>
          </cell>
          <cell r="M35">
            <v>0.191609237750165</v>
          </cell>
          <cell r="N35">
            <v>0.19161071235935201</v>
          </cell>
          <cell r="O35">
            <v>0.191620719875118</v>
          </cell>
        </row>
        <row r="36">
          <cell r="A36" t="str">
            <v>SCOM-SHWODBR</v>
          </cell>
          <cell r="B36" t="str">
            <v>VAR_fout</v>
          </cell>
          <cell r="C36" t="str">
            <v>SCOM-SHWOD</v>
          </cell>
          <cell r="D36">
            <v>6.1735451824752525</v>
          </cell>
          <cell r="E36">
            <v>7.0783114103648037</v>
          </cell>
          <cell r="F36">
            <v>7.0289517124863981</v>
          </cell>
          <cell r="G36">
            <v>5.3857414147445466</v>
          </cell>
          <cell r="H36">
            <v>5.996293449285063</v>
          </cell>
          <cell r="I36">
            <v>6.7600568867019915</v>
          </cell>
          <cell r="J36">
            <v>4.1137848901289686</v>
          </cell>
          <cell r="K36">
            <v>3.1995482674740199</v>
          </cell>
          <cell r="L36">
            <v>0.37809532755205977</v>
          </cell>
          <cell r="M36">
            <v>0.38074425383114924</v>
          </cell>
          <cell r="N36">
            <v>0.38084841978045875</v>
          </cell>
          <cell r="O36">
            <v>0.38096487253820144</v>
          </cell>
        </row>
        <row r="37">
          <cell r="A37" t="str">
            <v>SCOM-SHWODBR</v>
          </cell>
          <cell r="B37" t="str">
            <v>VAR_fin</v>
          </cell>
          <cell r="C37" t="str">
            <v>SWOD</v>
          </cell>
          <cell r="D37">
            <v>8.5743683089933977</v>
          </cell>
          <cell r="E37">
            <v>9.8309880699511254</v>
          </cell>
          <cell r="F37">
            <v>9.7624329340088885</v>
          </cell>
          <cell r="G37">
            <v>7.4801964093674371</v>
          </cell>
          <cell r="H37">
            <v>8.3281853462292563</v>
          </cell>
          <cell r="I37">
            <v>9.3889678981972136</v>
          </cell>
          <cell r="J37">
            <v>5.7135901251791283</v>
          </cell>
          <cell r="K37">
            <v>4.4438170381583619</v>
          </cell>
          <cell r="L37">
            <v>0.52513239937786083</v>
          </cell>
          <cell r="M37">
            <v>0.52881146365437381</v>
          </cell>
          <cell r="N37">
            <v>0.52895613858397128</v>
          </cell>
          <cell r="O37">
            <v>0.52911787852527992</v>
          </cell>
        </row>
        <row r="38">
          <cell r="A38" t="str">
            <v>SCOM-SHWODBR</v>
          </cell>
          <cell r="B38" t="str">
            <v>VAR_ncap</v>
          </cell>
          <cell r="C38" t="str">
            <v>-</v>
          </cell>
          <cell r="D38">
            <v>1.40651786590119E-6</v>
          </cell>
          <cell r="E38">
            <v>6.8726788842049802E-2</v>
          </cell>
          <cell r="F38">
            <v>3.4588476859299798E-7</v>
          </cell>
          <cell r="G38">
            <v>9.9872025973066503E-6</v>
          </cell>
          <cell r="H38">
            <v>0.30622807208010699</v>
          </cell>
          <cell r="I38">
            <v>0.218564099726197</v>
          </cell>
          <cell r="J38">
            <v>1.0186698034998999E-6</v>
          </cell>
          <cell r="K38">
            <v>2.98481407073352E-2</v>
          </cell>
          <cell r="L38">
            <v>1.3609319535909401E-6</v>
          </cell>
          <cell r="M38">
            <v>9.3385128438085198E-6</v>
          </cell>
          <cell r="N38">
            <v>2.4556752417753801E-2</v>
          </cell>
          <cell r="O38">
            <v>4.0630210736742299E-2</v>
          </cell>
        </row>
        <row r="39">
          <cell r="A39" t="str">
            <v>SCOM-SHWODBR</v>
          </cell>
          <cell r="B39" t="str">
            <v>VAR_cap</v>
          </cell>
          <cell r="C39" t="str">
            <v>-</v>
          </cell>
          <cell r="D39">
            <v>0.47842168433497789</v>
          </cell>
          <cell r="E39">
            <v>0.54714843871729768</v>
          </cell>
          <cell r="F39">
            <v>0.54714636729721233</v>
          </cell>
          <cell r="G39">
            <v>0.54715443411561215</v>
          </cell>
          <cell r="H39">
            <v>0.46551961859120944</v>
          </cell>
          <cell r="I39">
            <v>0.52480005698278398</v>
          </cell>
          <cell r="J39">
            <v>0.35720225939786998</v>
          </cell>
          <cell r="K39">
            <v>0.24841277274553084</v>
          </cell>
          <cell r="L39">
            <v>6.1434092403446973E-2</v>
          </cell>
          <cell r="M39">
            <v>2.985746790563213E-2</v>
          </cell>
          <cell r="N39">
            <v>2.9852297972500066E-2</v>
          </cell>
          <cell r="O39">
            <v>6.5190708180583853E-2</v>
          </cell>
        </row>
        <row r="40">
          <cell r="A40" t="str">
            <v>ITOT-SWHLTHCHP</v>
          </cell>
          <cell r="B40" t="str">
            <v>VAR_fout</v>
          </cell>
          <cell r="C40" t="str">
            <v>ITOT-SWH</v>
          </cell>
          <cell r="D40">
            <v>5.1850561350844693</v>
          </cell>
          <cell r="E40">
            <v>5.5675586340227543</v>
          </cell>
          <cell r="F40">
            <v>5.6974183111960404</v>
          </cell>
          <cell r="G40">
            <v>7.1881692355214852</v>
          </cell>
          <cell r="H40">
            <v>6.5451865930612616</v>
          </cell>
          <cell r="I40">
            <v>8.6450470628789127</v>
          </cell>
          <cell r="J40">
            <v>12.875501803682953</v>
          </cell>
          <cell r="K40">
            <v>13.503076724395022</v>
          </cell>
          <cell r="L40">
            <v>13.391588711947612</v>
          </cell>
          <cell r="M40">
            <v>13.327073960530759</v>
          </cell>
          <cell r="N40">
            <v>13.797141163877907</v>
          </cell>
          <cell r="O40">
            <v>13.817592909924393</v>
          </cell>
        </row>
        <row r="41">
          <cell r="A41" t="str">
            <v>ITOT-SWHLTHCHP</v>
          </cell>
          <cell r="B41" t="str">
            <v>VAR_fin</v>
          </cell>
          <cell r="C41" t="str">
            <v>ITOTLTHCHPC</v>
          </cell>
          <cell r="D41">
            <v>5.1850561350844693</v>
          </cell>
          <cell r="E41">
            <v>5.5675586340227543</v>
          </cell>
          <cell r="F41">
            <v>5.6974183111960404</v>
          </cell>
          <cell r="G41">
            <v>7.1881692355214852</v>
          </cell>
          <cell r="H41">
            <v>6.5451865930612616</v>
          </cell>
          <cell r="I41">
            <v>8.6450470628789127</v>
          </cell>
          <cell r="J41">
            <v>12.875501803682953</v>
          </cell>
          <cell r="K41">
            <v>13.503076724395022</v>
          </cell>
          <cell r="L41">
            <v>13.391588711947612</v>
          </cell>
          <cell r="M41">
            <v>13.327073960530759</v>
          </cell>
          <cell r="N41">
            <v>13.797141163877907</v>
          </cell>
          <cell r="O41">
            <v>13.817592909924393</v>
          </cell>
        </row>
        <row r="42">
          <cell r="A42" t="str">
            <v>ITOT-SWHLTHCHP</v>
          </cell>
          <cell r="B42" t="str">
            <v>VAR_fin</v>
          </cell>
          <cell r="C42" t="str">
            <v>ITOT_LTH_CHP_ON</v>
          </cell>
          <cell r="D42">
            <v>5.6086417208980768</v>
          </cell>
          <cell r="E42">
            <v>6.0095206310784191</v>
          </cell>
          <cell r="F42">
            <v>6.1300363271143405</v>
          </cell>
          <cell r="G42">
            <v>7.6930093483128505</v>
          </cell>
          <cell r="H42">
            <v>6.9679530289116913</v>
          </cell>
          <cell r="I42">
            <v>9.1551996919396608</v>
          </cell>
          <cell r="J42">
            <v>13.594104664280579</v>
          </cell>
          <cell r="K42">
            <v>14.213764973047388</v>
          </cell>
          <cell r="L42">
            <v>14.096409170471189</v>
          </cell>
          <cell r="M42">
            <v>14.028498905821845</v>
          </cell>
          <cell r="N42">
            <v>14.523306488292539</v>
          </cell>
          <cell r="O42">
            <v>14.544834642025691</v>
          </cell>
        </row>
        <row r="43">
          <cell r="A43" t="str">
            <v>ITOT-SWHLTHCHP</v>
          </cell>
          <cell r="B43" t="str">
            <v>VAR_ncap</v>
          </cell>
          <cell r="C43" t="str">
            <v>-</v>
          </cell>
          <cell r="D43"/>
          <cell r="E43">
            <v>1.2063045119020101E-2</v>
          </cell>
          <cell r="F43">
            <v>9.4948703294990694E-2</v>
          </cell>
          <cell r="G43">
            <v>1.29491451288965E-2</v>
          </cell>
          <cell r="H43">
            <v>0.23041289626618799</v>
          </cell>
          <cell r="I43">
            <v>0.32698588101158599</v>
          </cell>
          <cell r="J43">
            <v>0.398126511774065</v>
          </cell>
          <cell r="K43">
            <v>0.365415430178192</v>
          </cell>
          <cell r="L43">
            <v>0.314691600732528</v>
          </cell>
          <cell r="M43">
            <v>0.40838261735076797</v>
          </cell>
          <cell r="N43">
            <v>0.42138941239842698</v>
          </cell>
          <cell r="O43">
            <v>0.27717966759614399</v>
          </cell>
        </row>
        <row r="44">
          <cell r="A44" t="str">
            <v>ITOT-SWHLTHCHP</v>
          </cell>
          <cell r="B44" t="str">
            <v>VAR_cap</v>
          </cell>
          <cell r="C44" t="str">
            <v>-</v>
          </cell>
          <cell r="D44">
            <v>0.62661755442165901</v>
          </cell>
          <cell r="E44">
            <v>0.39131156481880514</v>
          </cell>
          <cell r="F44">
            <v>0.47804128550332298</v>
          </cell>
          <cell r="G44">
            <v>0.41945228245678595</v>
          </cell>
          <cell r="H44">
            <v>0.39034318136904594</v>
          </cell>
          <cell r="I44">
            <v>0.56641578601635179</v>
          </cell>
          <cell r="J44">
            <v>0.93624066450776466</v>
          </cell>
          <cell r="K44">
            <v>1.0565714763956768</v>
          </cell>
          <cell r="L44">
            <v>1.0338322114040142</v>
          </cell>
          <cell r="M44">
            <v>1.0516900958398816</v>
          </cell>
          <cell r="N44">
            <v>1.0585319997248395</v>
          </cell>
          <cell r="O44">
            <v>1.0640147250356036</v>
          </cell>
        </row>
        <row r="45">
          <cell r="A45" t="str">
            <v>RHSA-WHSTG-NGAHP</v>
          </cell>
          <cell r="B45" t="str">
            <v>VAR_fout</v>
          </cell>
          <cell r="C45" t="str">
            <v>RHSA-WHANGAH</v>
          </cell>
          <cell r="D45"/>
          <cell r="E45"/>
          <cell r="F45">
            <v>4.6063999603589439E-5</v>
          </cell>
          <cell r="G45">
            <v>6.0281187353858055E-5</v>
          </cell>
          <cell r="H45">
            <v>0.15175631089794139</v>
          </cell>
          <cell r="I45">
            <v>0.29996636623760492</v>
          </cell>
          <cell r="J45">
            <v>0.36498710199283768</v>
          </cell>
          <cell r="K45">
            <v>0.21272679221563273</v>
          </cell>
          <cell r="L45">
            <v>0.13314847459610055</v>
          </cell>
          <cell r="M45">
            <v>0.10727481205408075</v>
          </cell>
          <cell r="N45">
            <v>8.8721882688279796E-2</v>
          </cell>
          <cell r="O45">
            <v>8.7738016784804682E-2</v>
          </cell>
        </row>
        <row r="46">
          <cell r="A46" t="str">
            <v>RHSA-WHSTG-NGAHP</v>
          </cell>
          <cell r="B46" t="str">
            <v>VAR_fin</v>
          </cell>
          <cell r="C46" t="str">
            <v>RHSA-WHANGAH</v>
          </cell>
          <cell r="D46"/>
          <cell r="E46"/>
          <cell r="F46">
            <v>4.5712228633995327E-5</v>
          </cell>
          <cell r="G46">
            <v>5.9456837845390412E-5</v>
          </cell>
          <cell r="H46">
            <v>0.15176586917581858</v>
          </cell>
          <cell r="I46">
            <v>0.29998637200656914</v>
          </cell>
          <cell r="J46">
            <v>0.36500791670844079</v>
          </cell>
          <cell r="K46">
            <v>0.21274121587289813</v>
          </cell>
          <cell r="L46">
            <v>0.13315590154181053</v>
          </cell>
          <cell r="M46">
            <v>0.10728188001245013</v>
          </cell>
          <cell r="N46">
            <v>8.8728502096134643E-2</v>
          </cell>
          <cell r="O46">
            <v>8.7745402523634719E-2</v>
          </cell>
        </row>
        <row r="47">
          <cell r="A47" t="str">
            <v>RHSA-WHSTG-NGAHP</v>
          </cell>
          <cell r="B47" t="str">
            <v>VAR_ncap</v>
          </cell>
          <cell r="C47" t="str">
            <v>-</v>
          </cell>
          <cell r="D47">
            <v>3.1565609783430298E-6</v>
          </cell>
          <cell r="E47">
            <v>1.76716671274369E-6</v>
          </cell>
          <cell r="F47">
            <v>1.50511274033618E-5</v>
          </cell>
          <cell r="G47">
            <v>6.5985978614530902E-6</v>
          </cell>
          <cell r="H47">
            <v>2.2848260105790798E-2</v>
          </cell>
          <cell r="I47">
            <v>2.8881960070807001E-2</v>
          </cell>
          <cell r="J47">
            <v>5.7615980715842703E-3</v>
          </cell>
          <cell r="K47">
            <v>1.07623784189155E-4</v>
          </cell>
          <cell r="L47">
            <v>7.9385794207496099E-3</v>
          </cell>
          <cell r="M47">
            <v>7.5336453374734401E-3</v>
          </cell>
          <cell r="N47">
            <v>2.6252765493503401E-3</v>
          </cell>
          <cell r="O47">
            <v>5.4475813863889503E-3</v>
          </cell>
        </row>
        <row r="48">
          <cell r="A48" t="str">
            <v>RHSA-WHSTG-NGAHP</v>
          </cell>
          <cell r="B48" t="str">
            <v>VAR_cap</v>
          </cell>
          <cell r="C48" t="str">
            <v>-</v>
          </cell>
          <cell r="D48">
            <v>3.160900818403534E-6</v>
          </cell>
          <cell r="E48">
            <v>7.2595338977534233E-8</v>
          </cell>
          <cell r="F48">
            <v>1.4156206056562954E-5</v>
          </cell>
          <cell r="G48">
            <v>1.5058730379998005E-5</v>
          </cell>
          <cell r="H48">
            <v>2.28585986132783E-2</v>
          </cell>
          <cell r="I48">
            <v>5.1728914700377167E-2</v>
          </cell>
          <cell r="J48">
            <v>5.7475045110662738E-2</v>
          </cell>
          <cell r="K48">
            <v>3.4631688046589761E-2</v>
          </cell>
          <cell r="L48">
            <v>1.7392548723289658E-2</v>
          </cell>
          <cell r="M48">
            <v>1.5518256433034857E-2</v>
          </cell>
          <cell r="N48">
            <v>1.5517603116164212E-2</v>
          </cell>
          <cell r="O48">
            <v>1.5519564080175737E-2</v>
          </cell>
        </row>
        <row r="49">
          <cell r="A49" t="str">
            <v>D-RES_LTH</v>
          </cell>
          <cell r="B49" t="str">
            <v>VAR_fout</v>
          </cell>
          <cell r="C49" t="str">
            <v>RHNS_LTH_DH</v>
          </cell>
          <cell r="D49"/>
          <cell r="E49">
            <v>5.4452834954075741E-2</v>
          </cell>
          <cell r="F49">
            <v>7.0512158611154549E-2</v>
          </cell>
          <cell r="G49">
            <v>0.11352669453006085</v>
          </cell>
          <cell r="H49">
            <v>0.17685053679562937</v>
          </cell>
          <cell r="I49">
            <v>0.25171794024198396</v>
          </cell>
          <cell r="J49">
            <v>0.34418041908552244</v>
          </cell>
          <cell r="K49">
            <v>0.45636787433953313</v>
          </cell>
          <cell r="L49">
            <v>0.4796472238558091</v>
          </cell>
          <cell r="M49">
            <v>0.50411436702589585</v>
          </cell>
          <cell r="N49">
            <v>0.52982987213982258</v>
          </cell>
          <cell r="O49">
            <v>0.5568580869805434</v>
          </cell>
        </row>
        <row r="50">
          <cell r="A50" t="str">
            <v>D-RES_LTH</v>
          </cell>
          <cell r="B50" t="str">
            <v>VAR_fout</v>
          </cell>
          <cell r="C50" t="str">
            <v>RHEM_LTH_DH</v>
          </cell>
          <cell r="D50">
            <v>2.054038207589286</v>
          </cell>
          <cell r="E50">
            <v>3.8269937228217654</v>
          </cell>
          <cell r="F50">
            <v>4.055981701871664</v>
          </cell>
          <cell r="G50">
            <v>3.1970927047002267</v>
          </cell>
          <cell r="H50">
            <v>3.1103552770886425</v>
          </cell>
          <cell r="I50">
            <v>3.8140249424450809</v>
          </cell>
          <cell r="J50">
            <v>2.7985547645473883</v>
          </cell>
          <cell r="K50">
            <v>3.6409107562130778</v>
          </cell>
          <cell r="L50">
            <v>3.5030546102200613</v>
          </cell>
          <cell r="M50">
            <v>3.3651033973121542</v>
          </cell>
          <cell r="N50">
            <v>3.3663691057088299</v>
          </cell>
          <cell r="O50">
            <v>2.7032667943098878</v>
          </cell>
        </row>
        <row r="51">
          <cell r="A51" t="str">
            <v>D-RES_LTH</v>
          </cell>
          <cell r="B51" t="str">
            <v>VAR_fout</v>
          </cell>
          <cell r="C51" t="str">
            <v>RHES_LTH_DH</v>
          </cell>
          <cell r="D51">
            <v>1.9026340445569223</v>
          </cell>
          <cell r="E51">
            <v>3.5391862222305153</v>
          </cell>
          <cell r="F51">
            <v>3.53393700982061</v>
          </cell>
          <cell r="G51">
            <v>1.7557651239501983</v>
          </cell>
          <cell r="H51">
            <v>1.8656882159938193</v>
          </cell>
          <cell r="I51">
            <v>2.8341702974512599</v>
          </cell>
          <cell r="J51">
            <v>1.8026366730773349</v>
          </cell>
          <cell r="K51">
            <v>2.579410326246498</v>
          </cell>
          <cell r="L51">
            <v>2.4125211596846552</v>
          </cell>
          <cell r="M51">
            <v>2.2793408481212056</v>
          </cell>
          <cell r="N51">
            <v>2.2802415144711006</v>
          </cell>
          <cell r="O51">
            <v>2.1245484307462483</v>
          </cell>
        </row>
        <row r="52">
          <cell r="A52" t="str">
            <v>D-RES_LTH</v>
          </cell>
          <cell r="B52" t="str">
            <v>VAR_fout</v>
          </cell>
          <cell r="C52" t="str">
            <v>RHSA_LTH</v>
          </cell>
          <cell r="D52">
            <v>4.3833291610656557</v>
          </cell>
          <cell r="E52">
            <v>1.8326231570343867</v>
          </cell>
          <cell r="F52">
            <v>1.832623206589189</v>
          </cell>
          <cell r="G52">
            <v>1.832623253512744</v>
          </cell>
          <cell r="H52">
            <v>1.832623320756964</v>
          </cell>
          <cell r="I52">
            <v>1.8326234179320242</v>
          </cell>
          <cell r="J52">
            <v>1.8326233771054998</v>
          </cell>
          <cell r="K52">
            <v>1.8326233724638348</v>
          </cell>
          <cell r="L52">
            <v>1.8326236040942721</v>
          </cell>
          <cell r="M52">
            <v>1.8326240006847685</v>
          </cell>
          <cell r="N52">
            <v>1.8326247385223238</v>
          </cell>
          <cell r="O52">
            <v>1.8326263385617623</v>
          </cell>
        </row>
        <row r="53">
          <cell r="A53" t="str">
            <v>D-RES_LTH</v>
          </cell>
          <cell r="B53" t="str">
            <v>VAR_fout</v>
          </cell>
          <cell r="C53" t="str">
            <v>RHNM_LTH_DH</v>
          </cell>
          <cell r="D53"/>
          <cell r="E53">
            <v>0.3500815173565926</v>
          </cell>
          <cell r="F53">
            <v>0.38254341006493703</v>
          </cell>
          <cell r="G53">
            <v>0.44347241872871568</v>
          </cell>
          <cell r="H53">
            <v>0.51410613429894592</v>
          </cell>
          <cell r="I53">
            <v>0.59598999895775995</v>
          </cell>
          <cell r="J53">
            <v>0.69091502838055641</v>
          </cell>
          <cell r="K53">
            <v>0.80095869955296484</v>
          </cell>
          <cell r="L53">
            <v>0.92852960900536119</v>
          </cell>
          <cell r="M53">
            <v>1.0764202590603158</v>
          </cell>
          <cell r="N53">
            <v>1.2478658815343673</v>
          </cell>
          <cell r="O53">
            <v>1.4466200353811447</v>
          </cell>
        </row>
        <row r="54">
          <cell r="A54" t="str">
            <v>D-RES_LTH</v>
          </cell>
          <cell r="B54" t="str">
            <v>VAR_fin</v>
          </cell>
          <cell r="C54" t="str">
            <v>LTH</v>
          </cell>
          <cell r="D54">
            <v>9.2187296114714954</v>
          </cell>
          <cell r="E54">
            <v>10.615174623299186</v>
          </cell>
          <cell r="F54">
            <v>10.891864958305698</v>
          </cell>
          <cell r="G54">
            <v>8.0681928370093186</v>
          </cell>
          <cell r="H54">
            <v>8.2105731943251836</v>
          </cell>
          <cell r="I54">
            <v>10.175446391488446</v>
          </cell>
          <cell r="J54">
            <v>8.1172679832206978</v>
          </cell>
          <cell r="K54">
            <v>10.081681568422599</v>
          </cell>
          <cell r="L54">
            <v>9.9150356582031307</v>
          </cell>
          <cell r="M54">
            <v>9.8080783736762793</v>
          </cell>
          <cell r="N54">
            <v>10.023922127181361</v>
          </cell>
          <cell r="O54">
            <v>9.3817762273611276</v>
          </cell>
        </row>
        <row r="55">
          <cell r="A55" t="str">
            <v>D-RES_LTH</v>
          </cell>
          <cell r="B55" t="str">
            <v>VAR_ncap</v>
          </cell>
          <cell r="C55" t="str">
            <v>-</v>
          </cell>
          <cell r="D55">
            <v>0.62767201012468798</v>
          </cell>
          <cell r="E55">
            <v>3.3054508335503503E-2</v>
          </cell>
          <cell r="F55">
            <v>3.5829374278430301E-3</v>
          </cell>
          <cell r="G55">
            <v>5.7388088034384804E-3</v>
          </cell>
          <cell r="H55">
            <v>1.41768432057485E-2</v>
          </cell>
          <cell r="I55">
            <v>1.2877569650681899E-2</v>
          </cell>
          <cell r="J55">
            <v>1.2012780924183401E-2</v>
          </cell>
          <cell r="K55">
            <v>1.8228275646449601E-2</v>
          </cell>
          <cell r="L55">
            <v>1.10314090998064E-2</v>
          </cell>
          <cell r="M55">
            <v>1.4356424615115E-2</v>
          </cell>
          <cell r="N55">
            <v>9.5459546217455098E-3</v>
          </cell>
          <cell r="O55">
            <v>1.6982394880767498E-2</v>
          </cell>
        </row>
        <row r="56">
          <cell r="A56" t="str">
            <v>D-RES_LTH</v>
          </cell>
          <cell r="B56" t="str">
            <v>VAR_cap</v>
          </cell>
          <cell r="C56" t="str">
            <v>-</v>
          </cell>
          <cell r="D56">
            <v>0.62767201012468798</v>
          </cell>
          <cell r="E56">
            <v>0.66072651846019204</v>
          </cell>
          <cell r="F56">
            <v>0.66430945588803503</v>
          </cell>
          <cell r="G56">
            <v>0.67004826469147305</v>
          </cell>
          <cell r="H56">
            <v>0.68422510789722102</v>
          </cell>
          <cell r="I56">
            <v>0.697102677547903</v>
          </cell>
          <cell r="J56">
            <v>0.70911545847208701</v>
          </cell>
          <cell r="K56">
            <v>0.72734373411853603</v>
          </cell>
          <cell r="L56">
            <v>0.73837514321834297</v>
          </cell>
          <cell r="M56">
            <v>0.75273156783345796</v>
          </cell>
          <cell r="N56">
            <v>0.76227752245520297</v>
          </cell>
          <cell r="O56">
            <v>0.779259917335971</v>
          </cell>
        </row>
        <row r="57">
          <cell r="A57" t="str">
            <v>D-RHEM_NKEV_GAS_ELC_CHP</v>
          </cell>
          <cell r="B57" t="str">
            <v>VAR_fout</v>
          </cell>
          <cell r="C57" t="str">
            <v>ELC5</v>
          </cell>
          <cell r="D57">
            <v>1.3502085473305628E-2</v>
          </cell>
          <cell r="E57">
            <v>1.3825153657073909E-2</v>
          </cell>
          <cell r="F57">
            <v>5.6395923891937885E-2</v>
          </cell>
          <cell r="G57">
            <v>5.6017987291522853E-2</v>
          </cell>
          <cell r="H57">
            <v>5.6366714670993377E-2</v>
          </cell>
          <cell r="I57">
            <v>2.3374215438112241E-2</v>
          </cell>
          <cell r="J57"/>
          <cell r="K57"/>
          <cell r="L57">
            <v>8.144723894170997E-4</v>
          </cell>
          <cell r="M57">
            <v>1.5873689463216109E-3</v>
          </cell>
          <cell r="N57">
            <v>1.3846893244760892E-3</v>
          </cell>
          <cell r="O57">
            <v>1.9964509809641436E-3</v>
          </cell>
        </row>
        <row r="58">
          <cell r="A58" t="str">
            <v>D-RHEM_NKEV_GAS_ELC_CHP</v>
          </cell>
          <cell r="B58" t="str">
            <v>VAR_fout</v>
          </cell>
          <cell r="C58" t="str">
            <v>RHEM_ELC</v>
          </cell>
          <cell r="D58">
            <v>1.4156244020113095E-2</v>
          </cell>
          <cell r="E58">
            <v>1.3809919062577052E-2</v>
          </cell>
          <cell r="F58">
            <v>5.6174489742016831E-2</v>
          </cell>
          <cell r="G58">
            <v>5.5767506283383332E-2</v>
          </cell>
          <cell r="H58">
            <v>5.62051688039985E-2</v>
          </cell>
          <cell r="I58">
            <v>2.3339508942876588E-2</v>
          </cell>
          <cell r="J58"/>
          <cell r="K58"/>
          <cell r="L58">
            <v>8.1464939765812363E-4</v>
          </cell>
          <cell r="M58">
            <v>1.5878254578027466E-3</v>
          </cell>
          <cell r="N58">
            <v>1.3852446881039292E-3</v>
          </cell>
          <cell r="O58">
            <v>1.9977055340808176E-3</v>
          </cell>
        </row>
        <row r="59">
          <cell r="A59" t="str">
            <v>D-RHEM_NKEV_GAS_ELC_CHP</v>
          </cell>
          <cell r="B59" t="str">
            <v>VAR_fin</v>
          </cell>
          <cell r="C59" t="str">
            <v>RHEM_NKEV_GAS_ELC_CHP</v>
          </cell>
          <cell r="D59">
            <v>2.7658329493418725E-2</v>
          </cell>
          <cell r="E59">
            <v>2.763507271965095E-2</v>
          </cell>
          <cell r="F59">
            <v>0.11256894988615714</v>
          </cell>
          <cell r="G59">
            <v>0.11178447504966596</v>
          </cell>
          <cell r="H59">
            <v>0.11257027125209122</v>
          </cell>
          <cell r="I59">
            <v>4.6711835384860144E-2</v>
          </cell>
          <cell r="J59"/>
          <cell r="K59"/>
          <cell r="L59">
            <v>1.6291217870752228E-3</v>
          </cell>
          <cell r="M59">
            <v>3.1751944041243578E-3</v>
          </cell>
          <cell r="N59">
            <v>2.7699340125800164E-3</v>
          </cell>
          <cell r="O59">
            <v>3.9941565150449611E-3</v>
          </cell>
        </row>
        <row r="60">
          <cell r="A60" t="str">
            <v>SCOM-SHDEM</v>
          </cell>
          <cell r="B60" t="str">
            <v>VAR_fout</v>
          </cell>
          <cell r="C60" t="str">
            <v>SCOM-SHD</v>
          </cell>
          <cell r="D60">
            <v>73.238320264846834</v>
          </cell>
          <cell r="E60">
            <v>78.632916259193479</v>
          </cell>
          <cell r="F60">
            <v>79.101725261735709</v>
          </cell>
          <cell r="G60">
            <v>77.69303141009442</v>
          </cell>
          <cell r="H60">
            <v>75.363127132253126</v>
          </cell>
          <cell r="I60">
            <v>74.573109078847921</v>
          </cell>
          <cell r="J60">
            <v>71.826641029812237</v>
          </cell>
          <cell r="K60">
            <v>69.910692322931567</v>
          </cell>
          <cell r="L60">
            <v>69.182417908036413</v>
          </cell>
          <cell r="M60">
            <v>69.51742641706609</v>
          </cell>
          <cell r="N60">
            <v>69.530692676982611</v>
          </cell>
          <cell r="O60">
            <v>69.544450889271388</v>
          </cell>
        </row>
        <row r="61">
          <cell r="A61" t="str">
            <v>SCOM-SHDEM</v>
          </cell>
          <cell r="B61" t="str">
            <v>VAR_fin</v>
          </cell>
          <cell r="C61" t="str">
            <v>SCOM-SHCON</v>
          </cell>
          <cell r="D61"/>
          <cell r="E61">
            <v>6.9642893427222443</v>
          </cell>
          <cell r="F61">
            <v>6.9638938376889854</v>
          </cell>
          <cell r="G61">
            <v>11.147132970361715</v>
          </cell>
          <cell r="H61">
            <v>11.147245505606138</v>
          </cell>
          <cell r="I61">
            <v>11.147250352282031</v>
          </cell>
          <cell r="J61">
            <v>11.505989186574521</v>
          </cell>
          <cell r="K61">
            <v>21.428373425630287</v>
          </cell>
          <cell r="L61">
            <v>21.428435143931104</v>
          </cell>
          <cell r="M61">
            <v>21.42866311519931</v>
          </cell>
          <cell r="N61">
            <v>21.428501963271174</v>
          </cell>
          <cell r="O61">
            <v>21.42837586439969</v>
          </cell>
        </row>
        <row r="62">
          <cell r="A62" t="str">
            <v>SCOM-SHDEM</v>
          </cell>
          <cell r="B62" t="str">
            <v>VAR_fin</v>
          </cell>
          <cell r="C62" t="str">
            <v>SCOM-SHWOD</v>
          </cell>
          <cell r="D62">
            <v>6.1735451824752525</v>
          </cell>
          <cell r="E62">
            <v>7.0783114103648037</v>
          </cell>
          <cell r="F62">
            <v>7.0289517124863981</v>
          </cell>
          <cell r="G62">
            <v>5.3857414147445466</v>
          </cell>
          <cell r="H62">
            <v>5.996293449285063</v>
          </cell>
          <cell r="I62">
            <v>6.7600568867019915</v>
          </cell>
          <cell r="J62">
            <v>4.1137848901289686</v>
          </cell>
          <cell r="K62">
            <v>3.1995482674740199</v>
          </cell>
          <cell r="L62">
            <v>0.37809532755205977</v>
          </cell>
          <cell r="M62">
            <v>0.38074425383114924</v>
          </cell>
          <cell r="N62">
            <v>0.38084841978045875</v>
          </cell>
          <cell r="O62">
            <v>0.38096487253820144</v>
          </cell>
        </row>
        <row r="63">
          <cell r="A63" t="str">
            <v>SCOM-SHDEM</v>
          </cell>
          <cell r="B63" t="str">
            <v>VAR_fin</v>
          </cell>
          <cell r="C63" t="str">
            <v>SCOM-SHH2B</v>
          </cell>
          <cell r="D63"/>
          <cell r="E63"/>
          <cell r="F63"/>
          <cell r="G63">
            <v>2.240390895376971E-4</v>
          </cell>
          <cell r="H63">
            <v>7.1302137213360789E-2</v>
          </cell>
          <cell r="I63">
            <v>0.43648125773745688</v>
          </cell>
          <cell r="J63">
            <v>0.46538220127310037</v>
          </cell>
          <cell r="K63">
            <v>1.6066094084990572</v>
          </cell>
          <cell r="L63">
            <v>1.5824685842491588</v>
          </cell>
          <cell r="M63">
            <v>1.5935597815711706</v>
          </cell>
          <cell r="N63">
            <v>0.12152109021943264</v>
          </cell>
          <cell r="O63">
            <v>3.0386948823867763E-3</v>
          </cell>
        </row>
        <row r="64">
          <cell r="A64" t="str">
            <v>SCOM-SHDEM</v>
          </cell>
          <cell r="B64" t="str">
            <v>VAR_fin</v>
          </cell>
          <cell r="C64" t="str">
            <v>SCOM-SHLTHD</v>
          </cell>
          <cell r="D64">
            <v>5.5539012807574641</v>
          </cell>
          <cell r="E64">
            <v>6.0159360225060512</v>
          </cell>
          <cell r="F64">
            <v>6.0159361032016028</v>
          </cell>
          <cell r="G64">
            <v>6.0159360568191973</v>
          </cell>
          <cell r="H64">
            <v>6.0159358396823368</v>
          </cell>
          <cell r="I64">
            <v>6.2447006912594532</v>
          </cell>
          <cell r="J64">
            <v>7.8572639543077729</v>
          </cell>
          <cell r="K64">
            <v>8.2636395522206705</v>
          </cell>
          <cell r="L64">
            <v>8.2636395215311111</v>
          </cell>
          <cell r="M64">
            <v>8.2636401472765382</v>
          </cell>
          <cell r="N64">
            <v>8.2636404642607868</v>
          </cell>
          <cell r="O64">
            <v>8.2636419427192358</v>
          </cell>
        </row>
        <row r="65">
          <cell r="A65" t="str">
            <v>SCOM-SHDEM</v>
          </cell>
          <cell r="B65" t="str">
            <v>VAR_fin</v>
          </cell>
          <cell r="C65" t="str">
            <v>SCOM-SHELCB</v>
          </cell>
          <cell r="D65">
            <v>2.3940352140272871</v>
          </cell>
          <cell r="E65">
            <v>0.29334266222146077</v>
          </cell>
          <cell r="F65">
            <v>2.275324887894254</v>
          </cell>
          <cell r="G65">
            <v>1.8573129516453373</v>
          </cell>
          <cell r="H65">
            <v>1.2674906640152483</v>
          </cell>
          <cell r="I65">
            <v>1.0717062163680353</v>
          </cell>
          <cell r="J65">
            <v>0.87365955755346136</v>
          </cell>
          <cell r="K65">
            <v>1.5922779809125105</v>
          </cell>
          <cell r="L65">
            <v>1.5672882274258575</v>
          </cell>
          <cell r="M65">
            <v>0.66617394875900993</v>
          </cell>
          <cell r="N65">
            <v>0.54093520818990992</v>
          </cell>
          <cell r="O65">
            <v>0.53679732014062254</v>
          </cell>
        </row>
        <row r="66">
          <cell r="A66" t="str">
            <v>SCOM-SHDEM</v>
          </cell>
          <cell r="B66" t="str">
            <v>VAR_fin</v>
          </cell>
          <cell r="C66" t="str">
            <v>SCOM-SHBIO</v>
          </cell>
          <cell r="D66">
            <v>1.2230665123312627</v>
          </cell>
          <cell r="E66">
            <v>1.3407663425898715</v>
          </cell>
          <cell r="F66">
            <v>1.3574540537002115</v>
          </cell>
          <cell r="G66">
            <v>1.3484800375529322</v>
          </cell>
          <cell r="H66">
            <v>2.7274805957272514</v>
          </cell>
          <cell r="I66">
            <v>3.7988932606649373</v>
          </cell>
          <cell r="J66">
            <v>7.0640711737362256</v>
          </cell>
          <cell r="K66">
            <v>10.562685565352295</v>
          </cell>
          <cell r="L66">
            <v>11.735776000713228</v>
          </cell>
          <cell r="M66">
            <v>14.327003892784152</v>
          </cell>
          <cell r="N66">
            <v>16.071736485779844</v>
          </cell>
          <cell r="O66">
            <v>15.944217201689815</v>
          </cell>
        </row>
        <row r="67">
          <cell r="A67" t="str">
            <v>SCOM-SHDEM</v>
          </cell>
          <cell r="B67" t="str">
            <v>VAR_fin</v>
          </cell>
          <cell r="C67" t="str">
            <v>SCOM-SHELCH</v>
          </cell>
          <cell r="D67">
            <v>4.2612057650766495</v>
          </cell>
          <cell r="E67">
            <v>4.6176488691085416</v>
          </cell>
          <cell r="F67">
            <v>4.8275318462019472</v>
          </cell>
          <cell r="G67">
            <v>5.1974217305376706</v>
          </cell>
          <cell r="H67">
            <v>5.5571439966088834</v>
          </cell>
          <cell r="I67">
            <v>5.9948514462252094</v>
          </cell>
          <cell r="J67">
            <v>5.9242402190753429</v>
          </cell>
          <cell r="K67">
            <v>9.3310714758310382</v>
          </cell>
          <cell r="L67">
            <v>9.3957988855931092</v>
          </cell>
          <cell r="M67">
            <v>9.3973600903182444</v>
          </cell>
          <cell r="N67">
            <v>9.3402476647854389</v>
          </cell>
          <cell r="O67">
            <v>9.921239328129495</v>
          </cell>
        </row>
        <row r="68">
          <cell r="A68" t="str">
            <v>SCOM-SHDEM</v>
          </cell>
          <cell r="B68" t="str">
            <v>VAR_fin</v>
          </cell>
          <cell r="C68" t="str">
            <v>SCOM-SHPLT</v>
          </cell>
          <cell r="D68">
            <v>1.877070760740662</v>
          </cell>
          <cell r="E68">
            <v>2.1600821991464292</v>
          </cell>
          <cell r="F68">
            <v>2.1233001881459259</v>
          </cell>
          <cell r="G68">
            <v>2.1771409638772403</v>
          </cell>
          <cell r="H68">
            <v>2.3117028002544937</v>
          </cell>
          <cell r="I68">
            <v>2.5558154424555521</v>
          </cell>
          <cell r="J68">
            <v>2.5674724713344741</v>
          </cell>
          <cell r="K68">
            <v>2.7841748106915452</v>
          </cell>
          <cell r="L68">
            <v>2.1893384745219673</v>
          </cell>
          <cell r="M68">
            <v>2.2046912515124921</v>
          </cell>
          <cell r="N68">
            <v>2.2053057804194318</v>
          </cell>
          <cell r="O68">
            <v>2.2059402056590591</v>
          </cell>
        </row>
        <row r="69">
          <cell r="A69" t="str">
            <v>SCOM-SHDEM</v>
          </cell>
          <cell r="B69" t="str">
            <v>VAR_fin</v>
          </cell>
          <cell r="C69" t="str">
            <v>SCOM-SHLTHC-NGA</v>
          </cell>
          <cell r="D69">
            <v>0.68564986640134995</v>
          </cell>
          <cell r="E69">
            <v>0.74268994043741865</v>
          </cell>
          <cell r="F69">
            <v>1.1858097377853547</v>
          </cell>
          <cell r="G69">
            <v>1.4141338579155673</v>
          </cell>
          <cell r="H69">
            <v>1.309935537515962</v>
          </cell>
          <cell r="I69">
            <v>0.84711986525290683</v>
          </cell>
          <cell r="J69"/>
          <cell r="L69">
            <v>1.2584276891147649E-3</v>
          </cell>
          <cell r="M69">
            <v>1.2459378980035798E-3</v>
          </cell>
          <cell r="N69">
            <v>8.690856553615875E-4</v>
          </cell>
          <cell r="O69">
            <v>1.4810235278832358E-3</v>
          </cell>
        </row>
        <row r="70">
          <cell r="A70" t="str">
            <v>SCOM-SHDEM</v>
          </cell>
          <cell r="B70" t="str">
            <v>VAR_fin</v>
          </cell>
          <cell r="C70" t="str">
            <v>SCOM-SHSOL</v>
          </cell>
          <cell r="D70">
            <v>0.6269953672368388</v>
          </cell>
          <cell r="E70">
            <v>0.68733278267121167</v>
          </cell>
          <cell r="F70">
            <v>0.68688813802153714</v>
          </cell>
          <cell r="G70">
            <v>0.69564751903003497</v>
          </cell>
          <cell r="H70">
            <v>1.6740143939746439</v>
          </cell>
          <cell r="I70">
            <v>3.2872741747357725</v>
          </cell>
          <cell r="J70">
            <v>2.8478315049589962</v>
          </cell>
          <cell r="K70">
            <v>3.3843160752893326</v>
          </cell>
          <cell r="L70">
            <v>3.4565204925394211</v>
          </cell>
          <cell r="M70">
            <v>3.4430839167370078</v>
          </cell>
          <cell r="N70">
            <v>3.4216083941117579</v>
          </cell>
          <cell r="O70">
            <v>3.0819538842615848</v>
          </cell>
        </row>
        <row r="71">
          <cell r="A71" t="str">
            <v>SCOM-SHDEM</v>
          </cell>
          <cell r="B71" t="str">
            <v>VAR_fin</v>
          </cell>
          <cell r="C71" t="str">
            <v>SCOM-SHLTHC-WOD</v>
          </cell>
          <cell r="D71"/>
          <cell r="E71"/>
          <cell r="F71"/>
          <cell r="G71">
            <v>3.1787523233213412E-4</v>
          </cell>
          <cell r="H71">
            <v>3.3274539841827641E-4</v>
          </cell>
          <cell r="I71">
            <v>2.9733496922475094E-3</v>
          </cell>
          <cell r="J71">
            <v>2.8073904666641334E-3</v>
          </cell>
          <cell r="K71">
            <v>1.7315503373103826E-3</v>
          </cell>
          <cell r="L71">
            <v>9.0706476382006803E-4</v>
          </cell>
          <cell r="M71">
            <v>9.1268940939321318E-4</v>
          </cell>
          <cell r="N71">
            <v>8.0367985243545693E-4</v>
          </cell>
          <cell r="O71">
            <v>1.32195124436401E-3</v>
          </cell>
        </row>
        <row r="72">
          <cell r="A72" t="str">
            <v>SCOM-SHDEM</v>
          </cell>
          <cell r="B72" t="str">
            <v>VAR_fin</v>
          </cell>
          <cell r="C72" t="str">
            <v>SCOM-SHNGA</v>
          </cell>
          <cell r="D72">
            <v>24.189714728829024</v>
          </cell>
          <cell r="E72">
            <v>25.326920242057891</v>
          </cell>
          <cell r="F72">
            <v>24.580871115693913</v>
          </cell>
          <cell r="G72">
            <v>23.914597063736199</v>
          </cell>
          <cell r="H72">
            <v>24.264919367318285</v>
          </cell>
          <cell r="I72">
            <v>25.142417758359095</v>
          </cell>
          <cell r="J72">
            <v>23.082811558931983</v>
          </cell>
          <cell r="K72">
            <v>3.5158570182324169</v>
          </cell>
          <cell r="L72">
            <v>3.9049616256336321</v>
          </cell>
          <cell r="M72">
            <v>1.7687071605963278</v>
          </cell>
          <cell r="N72">
            <v>0.81550199296934278</v>
          </cell>
          <cell r="O72">
            <v>0.51522880510725799</v>
          </cell>
        </row>
        <row r="73">
          <cell r="A73" t="str">
            <v>SCOM-SHDEM</v>
          </cell>
          <cell r="B73" t="str">
            <v>VAR_fin</v>
          </cell>
          <cell r="C73" t="str">
            <v>SCOM-SHNGAH</v>
          </cell>
          <cell r="D73"/>
          <cell r="E73"/>
          <cell r="F73">
            <v>4.2549938475036869E-4</v>
          </cell>
          <cell r="G73">
            <v>4.4920482905945578E-4</v>
          </cell>
          <cell r="H73">
            <v>8.235596752015073E-3</v>
          </cell>
          <cell r="I73">
            <v>1.3264051190389313E-2</v>
          </cell>
          <cell r="J73">
            <v>0.46827424703535836</v>
          </cell>
          <cell r="K73">
            <v>1.2174947101451774</v>
          </cell>
          <cell r="L73">
            <v>2.0613173410339831</v>
          </cell>
          <cell r="M73">
            <v>2.9478088946347545</v>
          </cell>
          <cell r="N73">
            <v>3.8971345151098533</v>
          </cell>
          <cell r="O73">
            <v>4.1300602401654158</v>
          </cell>
        </row>
        <row r="74">
          <cell r="A74" t="str">
            <v>SCOM-SHDEM</v>
          </cell>
          <cell r="B74" t="str">
            <v>VAR_fin</v>
          </cell>
          <cell r="C74" t="str">
            <v>SCOM-SHLTHC-BIO</v>
          </cell>
          <cell r="D74">
            <v>1.4100657178946008</v>
          </cell>
          <cell r="E74">
            <v>1.527370146508241</v>
          </cell>
          <cell r="F74">
            <v>1.3753881153622374</v>
          </cell>
          <cell r="G74">
            <v>1.1465067025926867</v>
          </cell>
          <cell r="H74">
            <v>0.93581936117020459</v>
          </cell>
          <cell r="I74">
            <v>0.91489552124761631</v>
          </cell>
          <cell r="J74">
            <v>1.5898569378830993</v>
          </cell>
          <cell r="K74">
            <v>2.2852590048497454</v>
          </cell>
          <cell r="L74">
            <v>2.3196758684817085</v>
          </cell>
          <cell r="M74">
            <v>2.3559593057684136</v>
          </cell>
          <cell r="N74">
            <v>2.3126664927600014</v>
          </cell>
          <cell r="O74">
            <v>2.3702422307904261</v>
          </cell>
        </row>
        <row r="75">
          <cell r="A75" t="str">
            <v>SCOM-SHDEM</v>
          </cell>
          <cell r="B75" t="str">
            <v>VAR_fin</v>
          </cell>
          <cell r="C75" t="str">
            <v>SCOM-SHLTHC-HFC</v>
          </cell>
          <cell r="D75"/>
          <cell r="E75"/>
          <cell r="F75"/>
          <cell r="G75">
            <v>2.3717543103896573E-4</v>
          </cell>
          <cell r="H75">
            <v>8.276211287763062E-4</v>
          </cell>
          <cell r="I75">
            <v>1.2410761009207225E-3</v>
          </cell>
          <cell r="J75">
            <v>1.4071244085699678E-3</v>
          </cell>
          <cell r="K75">
            <v>8.7898204896969569E-3</v>
          </cell>
          <cell r="L75">
            <v>1.532570753026086E-2</v>
          </cell>
          <cell r="M75">
            <v>1.4935619974084146E-2</v>
          </cell>
          <cell r="N75">
            <v>6.186381111960842E-3</v>
          </cell>
          <cell r="O75">
            <v>3.6602986440176399E-2</v>
          </cell>
        </row>
        <row r="76">
          <cell r="A76" t="str">
            <v>SCOM-SHDEM</v>
          </cell>
          <cell r="B76" t="str">
            <v>VAR_fin</v>
          </cell>
          <cell r="C76" t="str">
            <v>SCOM-SHLFO</v>
          </cell>
          <cell r="D76">
            <v>24.843069869076398</v>
          </cell>
          <cell r="E76">
            <v>21.878267330475214</v>
          </cell>
          <cell r="F76">
            <v>20.679982936861091</v>
          </cell>
          <cell r="G76">
            <v>17.391775633213864</v>
          </cell>
          <cell r="H76">
            <v>12.074468448433143</v>
          </cell>
          <cell r="I76">
            <v>6.3542172849404066</v>
          </cell>
          <cell r="J76">
            <v>3.4618501299304869</v>
          </cell>
          <cell r="K76">
            <v>0.72893981772286986</v>
          </cell>
          <cell r="L76">
            <v>0.88163434123981443</v>
          </cell>
          <cell r="M76">
            <v>0.72300741407031044</v>
          </cell>
          <cell r="N76">
            <v>0.72320611480590402</v>
          </cell>
          <cell r="O76">
            <v>0.72341773359842754</v>
          </cell>
        </row>
        <row r="77">
          <cell r="A77" t="str">
            <v>ITOT-SWHSTG-NGAHP</v>
          </cell>
          <cell r="B77" t="str">
            <v>VAR_fout</v>
          </cell>
          <cell r="C77" t="str">
            <v>ITOT-SWHANGAH</v>
          </cell>
          <cell r="D77">
            <v>3.754471390884217E-5</v>
          </cell>
          <cell r="E77">
            <v>7.3513672065482407E-5</v>
          </cell>
          <cell r="F77">
            <v>2.9135481672753458E-4</v>
          </cell>
          <cell r="G77">
            <v>1.1303173697885096E-4</v>
          </cell>
          <cell r="H77">
            <v>1.1834062390883785E-4</v>
          </cell>
          <cell r="I77">
            <v>5.3218683516071561E-3</v>
          </cell>
          <cell r="J77">
            <v>1.3693475763729007E-2</v>
          </cell>
          <cell r="K77">
            <v>1.768045065344217E-3</v>
          </cell>
          <cell r="L77">
            <v>7.9474202301045365E-4</v>
          </cell>
          <cell r="M77">
            <v>6.8222866284265023E-4</v>
          </cell>
          <cell r="N77">
            <v>2.0960751200833619E-3</v>
          </cell>
          <cell r="O77">
            <v>2.7732324909373078E-3</v>
          </cell>
        </row>
        <row r="78">
          <cell r="A78" t="str">
            <v>ITOT-SWHSTG-NGAHP</v>
          </cell>
          <cell r="B78" t="str">
            <v>VAR_fin</v>
          </cell>
          <cell r="C78" t="str">
            <v>ITOT-SWHANGAH</v>
          </cell>
          <cell r="D78">
            <v>3.754471390884217E-5</v>
          </cell>
          <cell r="E78">
            <v>7.3513672065482407E-5</v>
          </cell>
          <cell r="F78">
            <v>3.7585521798473001E-4</v>
          </cell>
          <cell r="G78">
            <v>1.3532021516147216E-4</v>
          </cell>
          <cell r="H78">
            <v>1.3696820482306531E-4</v>
          </cell>
          <cell r="I78">
            <v>6.2655656492207048E-3</v>
          </cell>
          <cell r="J78">
            <v>1.5654047427081774E-2</v>
          </cell>
          <cell r="K78">
            <v>1.9690589313368628E-3</v>
          </cell>
          <cell r="L78">
            <v>8.8378699373231812E-4</v>
          </cell>
          <cell r="M78">
            <v>7.5814312195394734E-4</v>
          </cell>
          <cell r="N78">
            <v>2.3290841837775547E-3</v>
          </cell>
          <cell r="O78">
            <v>3.0814966519646407E-3</v>
          </cell>
        </row>
        <row r="79">
          <cell r="A79" t="str">
            <v>ITOT-SWHSTG-NGAHP</v>
          </cell>
          <cell r="B79" t="str">
            <v>VAR_ncap</v>
          </cell>
          <cell r="C79" t="str">
            <v>-</v>
          </cell>
          <cell r="D79">
            <v>5.7520750558644499E-4</v>
          </cell>
          <cell r="E79">
            <v>1.2621677543412301E-6</v>
          </cell>
          <cell r="F79">
            <v>1.8954788488131498E-5</v>
          </cell>
          <cell r="G79">
            <v>4.0269268532275404E-6</v>
          </cell>
          <cell r="H79">
            <v>2.3195894658747999E-5</v>
          </cell>
          <cell r="I79">
            <v>1.0934178386589E-2</v>
          </cell>
          <cell r="J79">
            <v>2.1149061287014201E-5</v>
          </cell>
          <cell r="K79">
            <v>5.3924637802387003E-5</v>
          </cell>
          <cell r="L79">
            <v>6.1605056834252206E-5</v>
          </cell>
          <cell r="M79">
            <v>1.92471954187208E-4</v>
          </cell>
          <cell r="N79">
            <v>8.04062088819112E-5</v>
          </cell>
          <cell r="O79">
            <v>1.0322033535079199E-4</v>
          </cell>
        </row>
        <row r="80">
          <cell r="A80" t="str">
            <v>ITOT-SWHSTG-NGAHP</v>
          </cell>
          <cell r="B80" t="str">
            <v>VAR_cap</v>
          </cell>
          <cell r="C80" t="str">
            <v>-</v>
          </cell>
          <cell r="D80">
            <v>5.7520750558644499E-4</v>
          </cell>
          <cell r="E80">
            <v>1.2306408579249983E-5</v>
          </cell>
          <cell r="F80">
            <v>3.7044365823449949E-5</v>
          </cell>
          <cell r="G80">
            <v>2.7298324310433037E-5</v>
          </cell>
          <cell r="H80">
            <v>2.1267550854837003E-5</v>
          </cell>
          <cell r="I80">
            <v>1.0952377053327064E-2</v>
          </cell>
          <cell r="J80">
            <v>1.0953948372152559E-2</v>
          </cell>
          <cell r="K80">
            <v>1.0943388305276587E-2</v>
          </cell>
          <cell r="L80">
            <v>1.6821903217919439E-3</v>
          </cell>
          <cell r="M80">
            <v>2.3463156435154798E-4</v>
          </cell>
          <cell r="N80">
            <v>2.4180599808263102E-4</v>
          </cell>
          <cell r="O80">
            <v>2.6888339933212003E-4</v>
          </cell>
        </row>
        <row r="81">
          <cell r="A81" t="str">
            <v>ITOT-STG-ELCSPEC</v>
          </cell>
          <cell r="B81" t="str">
            <v>VAR_fout</v>
          </cell>
          <cell r="C81" t="str">
            <v>ITOT-ELS</v>
          </cell>
          <cell r="D81"/>
          <cell r="E81">
            <v>7.0601566407770301E-3</v>
          </cell>
          <cell r="F81">
            <v>7.3337415077127958E-3</v>
          </cell>
          <cell r="G81">
            <v>7.5498531041290774E-3</v>
          </cell>
          <cell r="H81">
            <v>3.7256200815861458E-2</v>
          </cell>
          <cell r="I81">
            <v>0.25572888579531422</v>
          </cell>
          <cell r="J81">
            <v>0.25912704927613134</v>
          </cell>
          <cell r="K81">
            <v>0.30583747955979362</v>
          </cell>
          <cell r="L81">
            <v>0.31126578976881647</v>
          </cell>
          <cell r="M81">
            <v>0.40518754871113444</v>
          </cell>
          <cell r="N81">
            <v>0.40063123567527575</v>
          </cell>
          <cell r="O81">
            <v>0.52539611427173794</v>
          </cell>
        </row>
        <row r="82">
          <cell r="A82" t="str">
            <v>ITOT-STG-ELCSPEC</v>
          </cell>
          <cell r="B82" t="str">
            <v>VAR_fin</v>
          </cell>
          <cell r="C82" t="str">
            <v>ITOT-ELS</v>
          </cell>
          <cell r="D82"/>
          <cell r="E82">
            <v>7.0603550310893385E-3</v>
          </cell>
          <cell r="F82">
            <v>7.3339499431042243E-3</v>
          </cell>
          <cell r="G82">
            <v>7.5499986590090631E-3</v>
          </cell>
          <cell r="H82">
            <v>3.7256441574258781E-2</v>
          </cell>
          <cell r="I82">
            <v>0.25572913127873514</v>
          </cell>
          <cell r="J82">
            <v>0.25912725648713664</v>
          </cell>
          <cell r="K82">
            <v>0.30583796486783027</v>
          </cell>
          <cell r="L82">
            <v>0.31126603463299463</v>
          </cell>
          <cell r="M82">
            <v>0.40518851780385867</v>
          </cell>
          <cell r="N82">
            <v>0.40063189947100186</v>
          </cell>
          <cell r="O82">
            <v>0.52539750368345228</v>
          </cell>
        </row>
        <row r="83">
          <cell r="A83" t="str">
            <v>ITOT-STG-ELCSPEC</v>
          </cell>
          <cell r="B83" t="str">
            <v>VAR_ncap</v>
          </cell>
          <cell r="C83" t="str">
            <v>-</v>
          </cell>
          <cell r="D83"/>
          <cell r="E83">
            <v>2.6455361697069599E-4</v>
          </cell>
          <cell r="F83">
            <v>8.9162077201885998E-6</v>
          </cell>
          <cell r="G83">
            <v>1.9348318185857001E-6</v>
          </cell>
          <cell r="H83">
            <v>1.0271497747662199E-3</v>
          </cell>
          <cell r="I83">
            <v>7.8696806564423297E-3</v>
          </cell>
          <cell r="J83">
            <v>2.4128952786749901E-4</v>
          </cell>
          <cell r="K83">
            <v>2.01774772386104E-3</v>
          </cell>
          <cell r="L83">
            <v>1.9884877440111801E-3</v>
          </cell>
          <cell r="M83">
            <v>1.0744881901327901E-2</v>
          </cell>
          <cell r="N83">
            <v>2.6122817817657702E-4</v>
          </cell>
          <cell r="O83">
            <v>7.6470674908598003E-3</v>
          </cell>
        </row>
        <row r="84">
          <cell r="A84" t="str">
            <v>ITOT-STG-ELCSPEC</v>
          </cell>
          <cell r="B84" t="str">
            <v>VAR_cap</v>
          </cell>
          <cell r="C84" t="str">
            <v>-</v>
          </cell>
          <cell r="D84"/>
          <cell r="E84">
            <v>2.6455361697069599E-4</v>
          </cell>
          <cell r="F84">
            <v>2.7335251695094958E-4</v>
          </cell>
          <cell r="G84">
            <v>2.7504487394085491E-4</v>
          </cell>
          <cell r="H84">
            <v>1.3016068170962664E-3</v>
          </cell>
          <cell r="I84">
            <v>9.068859957908848E-3</v>
          </cell>
          <cell r="J84">
            <v>9.1399857469347898E-3</v>
          </cell>
          <cell r="K84">
            <v>1.115461232008398E-2</v>
          </cell>
          <cell r="L84">
            <v>1.1384679695780565E-2</v>
          </cell>
          <cell r="M84">
            <v>1.4990718565293097E-2</v>
          </cell>
          <cell r="N84">
            <v>1.5010709531785411E-2</v>
          </cell>
          <cell r="O84">
            <v>2.063944133787577E-2</v>
          </cell>
        </row>
        <row r="85">
          <cell r="A85" t="str">
            <v>D-RHES_LTH_CHPNGA</v>
          </cell>
          <cell r="B85" t="str">
            <v>VAR_fout</v>
          </cell>
          <cell r="C85" t="str">
            <v>RHSA_LTH</v>
          </cell>
          <cell r="D85">
            <v>1.3006525933381802E-4</v>
          </cell>
          <cell r="E85">
            <v>8.135887409947383E-4</v>
          </cell>
          <cell r="F85">
            <v>1.3381753548048154E-4</v>
          </cell>
          <cell r="G85">
            <v>1.5049399824031956E-4</v>
          </cell>
          <cell r="H85">
            <v>2.1880630095247769E-4</v>
          </cell>
          <cell r="I85">
            <v>1.3932275202733902E-4</v>
          </cell>
          <cell r="J85">
            <v>7.104632566500939E-6</v>
          </cell>
          <cell r="K85">
            <v>7.9657602258816724E-6</v>
          </cell>
          <cell r="L85">
            <v>2.7270150240747569E-5</v>
          </cell>
          <cell r="M85">
            <v>1.8763448602534572E-5</v>
          </cell>
          <cell r="N85">
            <v>2.2282175950985404E-5</v>
          </cell>
          <cell r="O85">
            <v>1.953917428212764E-5</v>
          </cell>
        </row>
        <row r="86">
          <cell r="A86" t="str">
            <v>D-RHES_LTH_CHPNGA</v>
          </cell>
          <cell r="B86" t="str">
            <v>VAR_fout</v>
          </cell>
          <cell r="C86" t="str">
            <v>LTH</v>
          </cell>
          <cell r="D86"/>
          <cell r="E86"/>
          <cell r="F86">
            <v>1.0960867907268344E-6</v>
          </cell>
          <cell r="G86">
            <v>2.4925365238893099E-6</v>
          </cell>
          <cell r="H86">
            <v>4.299166693727202E-6</v>
          </cell>
          <cell r="I86">
            <v>4.3550777654533479E-6</v>
          </cell>
          <cell r="J86">
            <v>5.3432407354492155E-6</v>
          </cell>
          <cell r="K86">
            <v>5.4516930272590719E-6</v>
          </cell>
          <cell r="L86">
            <v>3.1119028949526888E-6</v>
          </cell>
          <cell r="M86">
            <v>7.4839472706366158E-6</v>
          </cell>
          <cell r="N86">
            <v>7.6984715267252359E-6</v>
          </cell>
          <cell r="O86">
            <v>1.0463927100860013E-5</v>
          </cell>
        </row>
        <row r="87">
          <cell r="A87" t="str">
            <v>D-RHES_LTH_CHPNGA</v>
          </cell>
          <cell r="B87" t="str">
            <v>VAR_fout</v>
          </cell>
          <cell r="C87" t="str">
            <v>RHES_LTH_CHPNGA_ON</v>
          </cell>
          <cell r="D87">
            <v>3.0607874418271976E-2</v>
          </cell>
          <cell r="E87">
            <v>2.2464114988778295E-3</v>
          </cell>
          <cell r="F87">
            <v>7.2056957719098206E-3</v>
          </cell>
          <cell r="G87">
            <v>4.6663177517492337E-3</v>
          </cell>
          <cell r="H87">
            <v>4.2735753764437398E-3</v>
          </cell>
          <cell r="I87">
            <v>3.4544468012184331E-3</v>
          </cell>
          <cell r="J87">
            <v>1.4092898648255502E-6</v>
          </cell>
          <cell r="K87">
            <v>1.1507418454050284E-6</v>
          </cell>
          <cell r="L87">
            <v>2.0113881750234235E-3</v>
          </cell>
          <cell r="M87">
            <v>3.2736236792645784E-3</v>
          </cell>
          <cell r="N87">
            <v>3.4098005166961739E-3</v>
          </cell>
          <cell r="O87">
            <v>3.5138695854973418E-3</v>
          </cell>
        </row>
        <row r="88">
          <cell r="A88" t="str">
            <v>D-RHES_LTH_CHPNGA</v>
          </cell>
          <cell r="B88" t="str">
            <v>VAR_fin</v>
          </cell>
          <cell r="C88" t="str">
            <v>RHES_LTH_CHPNGA</v>
          </cell>
          <cell r="D88">
            <v>3.07379396776058E-2</v>
          </cell>
          <cell r="E88">
            <v>3.0603878398330654E-3</v>
          </cell>
          <cell r="F88">
            <v>7.3418634949752593E-3</v>
          </cell>
          <cell r="G88">
            <v>4.8202356427923783E-3</v>
          </cell>
          <cell r="H88">
            <v>4.4974206515370025E-3</v>
          </cell>
          <cell r="I88">
            <v>3.5990779835556705E-3</v>
          </cell>
          <cell r="J88">
            <v>1.3857163166775706E-5</v>
          </cell>
          <cell r="K88">
            <v>1.456819509854577E-5</v>
          </cell>
          <cell r="L88">
            <v>2.0426235017687519E-3</v>
          </cell>
          <cell r="M88">
            <v>3.3002517363661752E-3</v>
          </cell>
          <cell r="N88">
            <v>3.4401484380923437E-3</v>
          </cell>
          <cell r="O88">
            <v>3.5442592752934435E-3</v>
          </cell>
        </row>
        <row r="89">
          <cell r="A89" t="str">
            <v>D-ICOA</v>
          </cell>
          <cell r="B89" t="str">
            <v>VAR_fout</v>
          </cell>
          <cell r="C89" t="str">
            <v>ICOA</v>
          </cell>
          <cell r="D89">
            <v>3.560002271776098</v>
          </cell>
          <cell r="E89">
            <v>3.4647169717969843</v>
          </cell>
          <cell r="F89">
            <v>0.41950452244440467</v>
          </cell>
          <cell r="G89">
            <v>1.038073848035891E-4</v>
          </cell>
          <cell r="H89">
            <v>6.1388193239692167E-5</v>
          </cell>
          <cell r="I89">
            <v>4.4756187060252667E-4</v>
          </cell>
          <cell r="J89">
            <v>2.4833471305746454E-4</v>
          </cell>
          <cell r="K89">
            <v>1.3539546899122407E-4</v>
          </cell>
          <cell r="L89">
            <v>1.7459226397307631E-4</v>
          </cell>
          <cell r="M89">
            <v>1.0812452154167788E-4</v>
          </cell>
          <cell r="N89">
            <v>1.2081901141235386E-4</v>
          </cell>
          <cell r="O89">
            <v>5.439723489651046E-5</v>
          </cell>
        </row>
        <row r="90">
          <cell r="A90" t="str">
            <v>D-ICOA</v>
          </cell>
          <cell r="B90" t="str">
            <v>VAR_fout</v>
          </cell>
          <cell r="C90" t="str">
            <v>CO2</v>
          </cell>
          <cell r="D90">
            <v>330.01221059364502</v>
          </cell>
          <cell r="E90">
            <v>321.17926328558099</v>
          </cell>
          <cell r="F90">
            <v>38.888069230596301</v>
          </cell>
          <cell r="G90">
            <v>9.6229445712927193E-3</v>
          </cell>
          <cell r="H90">
            <v>5.6906855133194599E-3</v>
          </cell>
          <cell r="I90">
            <v>4.1488985404854198E-2</v>
          </cell>
          <cell r="J90">
            <v>2.3020627900426999E-2</v>
          </cell>
          <cell r="K90">
            <v>1.25511599754865E-2</v>
          </cell>
          <cell r="L90">
            <v>1.6184702870304199E-2</v>
          </cell>
          <cell r="M90">
            <v>1.00231431469135E-2</v>
          </cell>
          <cell r="N90">
            <v>1.1199922357925199E-2</v>
          </cell>
          <cell r="O90">
            <v>5.04262367490652E-3</v>
          </cell>
        </row>
        <row r="91">
          <cell r="A91" t="str">
            <v>D-ICOA</v>
          </cell>
          <cell r="B91" t="str">
            <v>VAR_fin</v>
          </cell>
          <cell r="C91" t="str">
            <v>COA</v>
          </cell>
          <cell r="D91">
            <v>3.560002271776098</v>
          </cell>
          <cell r="E91">
            <v>3.4647169717969843</v>
          </cell>
          <cell r="F91">
            <v>0.41950452244440467</v>
          </cell>
          <cell r="G91">
            <v>1.038073848035891E-4</v>
          </cell>
          <cell r="H91">
            <v>6.1388193239692167E-5</v>
          </cell>
          <cell r="I91">
            <v>4.4756187060252667E-4</v>
          </cell>
          <cell r="J91">
            <v>2.4833471305746454E-4</v>
          </cell>
          <cell r="K91">
            <v>1.3539546899122407E-4</v>
          </cell>
          <cell r="L91">
            <v>1.7459226397307631E-4</v>
          </cell>
          <cell r="M91">
            <v>1.0812452154167788E-4</v>
          </cell>
          <cell r="N91">
            <v>1.2081901141235386E-4</v>
          </cell>
          <cell r="O91">
            <v>5.439723489651046E-5</v>
          </cell>
        </row>
        <row r="92">
          <cell r="A92" t="str">
            <v>RHEM-SHCONBR1</v>
          </cell>
          <cell r="B92" t="str">
            <v>VAR_fout</v>
          </cell>
          <cell r="C92" t="str">
            <v>RHEM-SHCON</v>
          </cell>
          <cell r="D92">
            <v>0.38982257145564553</v>
          </cell>
          <cell r="E92">
            <v>0.78035905415727269</v>
          </cell>
          <cell r="F92">
            <v>0.78029991943265764</v>
          </cell>
          <cell r="G92">
            <v>0.78037839239045581</v>
          </cell>
          <cell r="H92">
            <v>1.6024698466141389</v>
          </cell>
          <cell r="I92">
            <v>3.028648414992035</v>
          </cell>
          <cell r="J92">
            <v>3.0286108823047218</v>
          </cell>
          <cell r="K92">
            <v>4.2469986769515433</v>
          </cell>
          <cell r="L92">
            <v>4.2470155798297</v>
          </cell>
          <cell r="M92">
            <v>4.2469620337670797</v>
          </cell>
          <cell r="N92">
            <v>3.3472065733795109</v>
          </cell>
          <cell r="O92">
            <v>1.9967336433910978</v>
          </cell>
        </row>
        <row r="93">
          <cell r="A93" t="str">
            <v>RHEM-SHCONBR1</v>
          </cell>
          <cell r="B93" t="str">
            <v>VAR_fin</v>
          </cell>
          <cell r="C93" t="str">
            <v>CON</v>
          </cell>
          <cell r="D93">
            <v>0.38982257145564553</v>
          </cell>
          <cell r="E93">
            <v>0.78035905415727269</v>
          </cell>
          <cell r="F93">
            <v>0.78029991943265764</v>
          </cell>
          <cell r="G93">
            <v>0.78037839239045581</v>
          </cell>
          <cell r="H93">
            <v>1.6024698466141389</v>
          </cell>
          <cell r="I93">
            <v>3.028648414992035</v>
          </cell>
          <cell r="J93">
            <v>3.0286108823047218</v>
          </cell>
          <cell r="K93">
            <v>4.2469986769515433</v>
          </cell>
          <cell r="L93">
            <v>4.2470155798297</v>
          </cell>
          <cell r="M93">
            <v>4.2469620337670797</v>
          </cell>
          <cell r="N93">
            <v>3.3472065733795109</v>
          </cell>
          <cell r="O93">
            <v>1.9967336433910978</v>
          </cell>
        </row>
        <row r="94">
          <cell r="A94" t="str">
            <v>RHEM-SHCONBR1</v>
          </cell>
          <cell r="B94" t="str">
            <v>VAR_ncap</v>
          </cell>
          <cell r="C94" t="str">
            <v>-</v>
          </cell>
          <cell r="D94">
            <v>2.7551526709013799E-2</v>
          </cell>
          <cell r="E94">
            <v>2.7551526459282501E-2</v>
          </cell>
          <cell r="F94">
            <v>3.1078414017893897E-8</v>
          </cell>
          <cell r="G94">
            <v>3.8756685425282398E-6</v>
          </cell>
          <cell r="H94">
            <v>5.8051890146524399E-2</v>
          </cell>
          <cell r="I94">
            <v>0.10070661935240401</v>
          </cell>
          <cell r="J94">
            <v>4.4437732237461297E-8</v>
          </cell>
          <cell r="K94">
            <v>0.113129524676754</v>
          </cell>
          <cell r="L94">
            <v>2.8006970478665599E-2</v>
          </cell>
          <cell r="M94">
            <v>2.8055628885010699E-8</v>
          </cell>
          <cell r="N94">
            <v>1.2301918539109399E-7</v>
          </cell>
        </row>
        <row r="95">
          <cell r="A95" t="str">
            <v>RHEM-SHCONBR1</v>
          </cell>
          <cell r="B95" t="str">
            <v>VAR_cap</v>
          </cell>
          <cell r="C95" t="str">
            <v>-</v>
          </cell>
          <cell r="D95">
            <v>2.7551526709013799E-2</v>
          </cell>
          <cell r="E95">
            <v>5.51030531682963E-2</v>
          </cell>
          <cell r="F95">
            <v>5.5103084246710302E-2</v>
          </cell>
          <cell r="G95">
            <v>5.5106959915252801E-2</v>
          </cell>
          <cell r="H95">
            <v>0.11315885006177701</v>
          </cell>
          <cell r="I95">
            <v>0.213865469414181</v>
          </cell>
          <cell r="J95">
            <v>0.21386551385191299</v>
          </cell>
          <cell r="K95">
            <v>0.29989701202399599</v>
          </cell>
          <cell r="L95">
            <v>0.29989789434035802</v>
          </cell>
          <cell r="M95">
            <v>0.29989507714770802</v>
          </cell>
          <cell r="N95">
            <v>0.23635995423804401</v>
          </cell>
          <cell r="O95">
            <v>0.141136690667966</v>
          </cell>
        </row>
        <row r="96">
          <cell r="A96" t="str">
            <v>RHEM-SHELCBR</v>
          </cell>
          <cell r="B96" t="str">
            <v>VAR_fout</v>
          </cell>
          <cell r="C96" t="str">
            <v>RHEM-SHAELCB</v>
          </cell>
          <cell r="D96">
            <v>4.6280249003629939</v>
          </cell>
          <cell r="E96">
            <v>3.7226464071371188</v>
          </cell>
          <cell r="F96">
            <v>3.9284041731426083</v>
          </cell>
          <cell r="G96">
            <v>2.3001572710709799</v>
          </cell>
          <cell r="H96">
            <v>1.6002506936891538</v>
          </cell>
          <cell r="I96">
            <v>1.0096843264957083</v>
          </cell>
          <cell r="J96">
            <v>0.67539190330945975</v>
          </cell>
          <cell r="K96">
            <v>0.56177212704903146</v>
          </cell>
          <cell r="L96">
            <v>0.34268143545520013</v>
          </cell>
          <cell r="M96">
            <v>0.3291575195207615</v>
          </cell>
          <cell r="N96">
            <v>1.0805218934569145</v>
          </cell>
          <cell r="O96">
            <v>0.29480063461261491</v>
          </cell>
        </row>
        <row r="97">
          <cell r="A97" t="str">
            <v>RHEM-SHELCBR</v>
          </cell>
          <cell r="B97" t="str">
            <v>VAR_fin</v>
          </cell>
          <cell r="C97" t="str">
            <v>RHEM_ELC</v>
          </cell>
          <cell r="D97">
            <v>4.8716051582768323</v>
          </cell>
          <cell r="E97">
            <v>3.918575165407495</v>
          </cell>
          <cell r="F97">
            <v>4.1351622875185372</v>
          </cell>
          <cell r="G97">
            <v>2.4212181800747157</v>
          </cell>
          <cell r="H97">
            <v>1.6844744144096351</v>
          </cell>
          <cell r="I97">
            <v>1.0628256068375883</v>
          </cell>
          <cell r="J97">
            <v>0.71093884558890441</v>
          </cell>
          <cell r="K97">
            <v>0.59133908110424371</v>
          </cell>
          <cell r="L97">
            <v>0.3607173004791579</v>
          </cell>
          <cell r="M97">
            <v>0.34648159949553858</v>
          </cell>
          <cell r="N97">
            <v>1.1373914667967524</v>
          </cell>
          <cell r="O97">
            <v>0.31031645748696324</v>
          </cell>
        </row>
        <row r="98">
          <cell r="A98" t="str">
            <v>RHEM-SHELCBR</v>
          </cell>
          <cell r="B98" t="str">
            <v>VAR_ncap</v>
          </cell>
          <cell r="C98" t="str">
            <v>-</v>
          </cell>
          <cell r="D98">
            <v>1.97272611620232E-7</v>
          </cell>
          <cell r="E98">
            <v>3.4099952788376699E-7</v>
          </cell>
          <cell r="F98">
            <v>3.7524258188888099E-7</v>
          </cell>
          <cell r="G98">
            <v>4.7253811023939099E-7</v>
          </cell>
          <cell r="H98">
            <v>7.5530820554544006E-2</v>
          </cell>
          <cell r="I98">
            <v>5.2112409681873098E-2</v>
          </cell>
          <cell r="J98">
            <v>5.4143143067354196E-7</v>
          </cell>
          <cell r="K98">
            <v>5.0027328976714597E-5</v>
          </cell>
          <cell r="L98">
            <v>3.4521339583349402E-2</v>
          </cell>
          <cell r="M98">
            <v>8.7190354089294007E-3</v>
          </cell>
          <cell r="N98">
            <v>6.4037548879824893E-2</v>
          </cell>
          <cell r="O98">
            <v>3.9226055801691801E-7</v>
          </cell>
        </row>
        <row r="99">
          <cell r="A99" t="str">
            <v>RHEM-SHELCBR</v>
          </cell>
          <cell r="B99" t="str">
            <v>VAR_cap</v>
          </cell>
          <cell r="C99" t="str">
            <v>-</v>
          </cell>
          <cell r="D99">
            <v>0.32680134122095061</v>
          </cell>
          <cell r="E99">
            <v>0.32680119970544902</v>
          </cell>
          <cell r="F99">
            <v>0.32680052885177413</v>
          </cell>
          <cell r="G99">
            <v>0.3095958209076613</v>
          </cell>
          <cell r="H99">
            <v>0.15581999022344734</v>
          </cell>
          <cell r="I99">
            <v>0.12764343819714977</v>
          </cell>
          <cell r="J99">
            <v>8.9031045128026398E-2</v>
          </cell>
          <cell r="K99">
            <v>5.2162452593669473E-2</v>
          </cell>
          <cell r="L99">
            <v>4.2578406837417704E-2</v>
          </cell>
          <cell r="M99">
            <v>4.328935152421895E-2</v>
          </cell>
          <cell r="N99">
            <v>9.6342411421315416E-2</v>
          </cell>
          <cell r="O99">
            <v>3.8906823066421903E-2</v>
          </cell>
        </row>
        <row r="100">
          <cell r="A100" t="str">
            <v>RHNM-SHLTHCHPNGA</v>
          </cell>
          <cell r="B100" t="str">
            <v>VAR_fout</v>
          </cell>
          <cell r="C100" t="str">
            <v>RHNM-SHLTHC-NGA</v>
          </cell>
          <cell r="D100"/>
          <cell r="E100">
            <v>2.5544175076757177E-3</v>
          </cell>
          <cell r="F100">
            <v>4.8156428513648321E-3</v>
          </cell>
          <cell r="G100">
            <v>5.0407461282723073E-3</v>
          </cell>
          <cell r="H100">
            <v>5.4657188877585954E-3</v>
          </cell>
          <cell r="I100">
            <v>3.1088990559636027E-3</v>
          </cell>
          <cell r="J100"/>
          <cell r="K100"/>
          <cell r="L100">
            <v>6.7344912263271627E-4</v>
          </cell>
          <cell r="M100">
            <v>2.6159531842623834E-3</v>
          </cell>
          <cell r="N100">
            <v>7.4981050249915259E-4</v>
          </cell>
          <cell r="O100">
            <v>1.2462541270941594E-3</v>
          </cell>
        </row>
        <row r="101">
          <cell r="A101" t="str">
            <v>RHNM-SHLTHCHPNGA</v>
          </cell>
          <cell r="B101" t="str">
            <v>VAR_fin</v>
          </cell>
          <cell r="C101" t="str">
            <v>RHNMLTHCHPC</v>
          </cell>
          <cell r="D101"/>
          <cell r="E101">
            <v>2.5544175076757177E-3</v>
          </cell>
          <cell r="F101">
            <v>4.8156428513648321E-3</v>
          </cell>
          <cell r="G101">
            <v>5.0407461282723073E-3</v>
          </cell>
          <cell r="H101">
            <v>5.4657188877585954E-3</v>
          </cell>
          <cell r="I101">
            <v>3.1088990559636027E-3</v>
          </cell>
          <cell r="J101"/>
          <cell r="K101"/>
          <cell r="L101">
            <v>6.7344912263271627E-4</v>
          </cell>
          <cell r="M101">
            <v>2.6159531842623834E-3</v>
          </cell>
          <cell r="N101">
            <v>7.4981050249915259E-4</v>
          </cell>
          <cell r="O101">
            <v>1.2462541270941594E-3</v>
          </cell>
        </row>
        <row r="102">
          <cell r="A102" t="str">
            <v>RHNM-SHLTHCHPNGA</v>
          </cell>
          <cell r="B102" t="str">
            <v>VAR_fin</v>
          </cell>
          <cell r="C102" t="str">
            <v>RHNM_LTH_CHPNGA_ON</v>
          </cell>
          <cell r="D102"/>
          <cell r="E102">
            <v>2.580219704722947E-3</v>
          </cell>
          <cell r="F102">
            <v>4.8642857084493282E-3</v>
          </cell>
          <cell r="G102">
            <v>5.0916627558306128E-3</v>
          </cell>
          <cell r="H102">
            <v>5.5209281694531247E-3</v>
          </cell>
          <cell r="I102">
            <v>3.1403020767309118E-3</v>
          </cell>
          <cell r="J102"/>
          <cell r="K102"/>
          <cell r="L102">
            <v>6.8025163902294588E-4</v>
          </cell>
          <cell r="M102">
            <v>2.6423769538003869E-3</v>
          </cell>
          <cell r="N102">
            <v>7.5738434595873979E-4</v>
          </cell>
          <cell r="O102">
            <v>1.258842552620364E-3</v>
          </cell>
        </row>
        <row r="103">
          <cell r="A103" t="str">
            <v>RHNM-SHLTHCHPNGA</v>
          </cell>
          <cell r="B103" t="str">
            <v>VAR_ncap</v>
          </cell>
          <cell r="C103" t="str">
            <v>-</v>
          </cell>
          <cell r="D103"/>
          <cell r="E103">
            <v>3.2859553795307E-4</v>
          </cell>
          <cell r="F103">
            <v>3.5331695875354899E-4</v>
          </cell>
          <cell r="G103">
            <v>2.7503491983372E-4</v>
          </cell>
          <cell r="H103">
            <v>2.6030682852469598E-4</v>
          </cell>
          <cell r="I103">
            <v>1.84978782567092E-4</v>
          </cell>
          <cell r="J103">
            <v>2.5999940043474098E-7</v>
          </cell>
          <cell r="K103">
            <v>2.6534670612211398E-7</v>
          </cell>
          <cell r="L103">
            <v>8.7319188785435806E-5</v>
          </cell>
          <cell r="M103">
            <v>2.1022195298979999E-4</v>
          </cell>
          <cell r="N103">
            <v>5.75026056797381E-5</v>
          </cell>
          <cell r="O103">
            <v>1.2492603096346199E-4</v>
          </cell>
        </row>
        <row r="104">
          <cell r="A104" t="str">
            <v>RHNM-SHLTHCHPNGA</v>
          </cell>
          <cell r="B104" t="str">
            <v>VAR_cap</v>
          </cell>
          <cell r="C104" t="str">
            <v>-</v>
          </cell>
          <cell r="D104"/>
          <cell r="E104">
            <v>3.2859553795307E-4</v>
          </cell>
          <cell r="F104">
            <v>4.5346973626180203E-4</v>
          </cell>
          <cell r="G104">
            <v>4.4220535163209897E-4</v>
          </cell>
          <cell r="H104">
            <v>4.36824288648236E-4</v>
          </cell>
          <cell r="I104">
            <v>2.6539191183728707E-4</v>
          </cell>
          <cell r="J104">
            <v>-1.574412398460171E-7</v>
          </cell>
          <cell r="K104">
            <v>-1.9417752914298921E-7</v>
          </cell>
          <cell r="L104">
            <v>8.7403915302222595E-5</v>
          </cell>
          <cell r="M104">
            <v>2.4909718315300062E-4</v>
          </cell>
          <cell r="N104">
            <v>9.8481727371790004E-5</v>
          </cell>
          <cell r="O104">
            <v>1.64635354670396E-4</v>
          </cell>
        </row>
        <row r="105">
          <cell r="A105" t="str">
            <v>RHEM-SHCONBR2</v>
          </cell>
          <cell r="B105" t="str">
            <v>VAR_fout</v>
          </cell>
          <cell r="C105" t="str">
            <v>RHEM-SHCON</v>
          </cell>
          <cell r="D105">
            <v>0.60713717638648645</v>
          </cell>
          <cell r="E105">
            <v>1.2154183372729974</v>
          </cell>
          <cell r="F105">
            <v>1.2153502515038823</v>
          </cell>
          <cell r="G105">
            <v>1.2153812014170948</v>
          </cell>
          <cell r="H105">
            <v>1.2153758837544346</v>
          </cell>
          <cell r="I105">
            <v>3.4366673747238421</v>
          </cell>
          <cell r="J105">
            <v>3.4366268761417875</v>
          </cell>
          <cell r="K105">
            <v>3.6991706715935311</v>
          </cell>
          <cell r="L105">
            <v>4.5585281456145772</v>
          </cell>
          <cell r="M105">
            <v>4.5585122446781465</v>
          </cell>
          <cell r="N105">
            <v>4.2107713367374506</v>
          </cell>
          <cell r="O105">
            <v>2.334930055082125</v>
          </cell>
        </row>
        <row r="106">
          <cell r="A106" t="str">
            <v>RHEM-SHCONBR2</v>
          </cell>
          <cell r="B106" t="str">
            <v>VAR_fin</v>
          </cell>
          <cell r="C106" t="str">
            <v>CON</v>
          </cell>
          <cell r="D106">
            <v>0.60713717638648645</v>
          </cell>
          <cell r="E106">
            <v>1.2154183372729974</v>
          </cell>
          <cell r="F106">
            <v>1.2153502515038823</v>
          </cell>
          <cell r="G106">
            <v>1.2153812014170948</v>
          </cell>
          <cell r="H106">
            <v>1.2153758837544346</v>
          </cell>
          <cell r="I106">
            <v>3.4366673747238421</v>
          </cell>
          <cell r="J106">
            <v>3.4366268761417875</v>
          </cell>
          <cell r="K106">
            <v>3.6991706715935311</v>
          </cell>
          <cell r="L106">
            <v>4.5585281456145772</v>
          </cell>
          <cell r="M106">
            <v>4.5585122446781465</v>
          </cell>
          <cell r="N106">
            <v>4.2107713367374506</v>
          </cell>
          <cell r="O106">
            <v>2.334930055082125</v>
          </cell>
        </row>
        <row r="107">
          <cell r="A107" t="str">
            <v>RHEM-SHCONBR2</v>
          </cell>
          <cell r="B107" t="str">
            <v>VAR_ncap</v>
          </cell>
          <cell r="C107" t="str">
            <v>-</v>
          </cell>
          <cell r="D107">
            <v>4.2912067274162399E-2</v>
          </cell>
          <cell r="E107">
            <v>4.2912066547205703E-2</v>
          </cell>
          <cell r="F107">
            <v>2.5093453537313001E-8</v>
          </cell>
          <cell r="G107">
            <v>1.3298980208436501E-7</v>
          </cell>
          <cell r="H107">
            <v>1.8094025006678099E-7</v>
          </cell>
          <cell r="I107">
            <v>0.15685274284710901</v>
          </cell>
          <cell r="J107">
            <v>3.8043666302235099E-8</v>
          </cell>
          <cell r="K107">
            <v>6.0741264792923397E-2</v>
          </cell>
          <cell r="L107">
            <v>0.10430045252714901</v>
          </cell>
          <cell r="M107">
            <v>2.7100393181721301E-8</v>
          </cell>
          <cell r="N107">
            <v>8.7952617438688403E-8</v>
          </cell>
        </row>
        <row r="108">
          <cell r="A108" t="str">
            <v>RHEM-SHCONBR2</v>
          </cell>
          <cell r="B108" t="str">
            <v>VAR_cap</v>
          </cell>
          <cell r="C108" t="str">
            <v>-</v>
          </cell>
          <cell r="D108">
            <v>4.2912067274162399E-2</v>
          </cell>
          <cell r="E108">
            <v>8.5824133821367998E-2</v>
          </cell>
          <cell r="F108">
            <v>8.5824158914821605E-2</v>
          </cell>
          <cell r="G108">
            <v>8.5824291904623706E-2</v>
          </cell>
          <cell r="H108">
            <v>8.5824472844873698E-2</v>
          </cell>
          <cell r="I108">
            <v>0.242677215691983</v>
          </cell>
          <cell r="J108">
            <v>0.242677253735649</v>
          </cell>
          <cell r="K108">
            <v>0.26121278722304497</v>
          </cell>
          <cell r="L108">
            <v>0.32189478407668598</v>
          </cell>
          <cell r="M108">
            <v>0.32189470625149103</v>
          </cell>
          <cell r="N108">
            <v>0.29733935316321802</v>
          </cell>
          <cell r="O108">
            <v>0.165041870416749</v>
          </cell>
        </row>
        <row r="109">
          <cell r="A109" t="str">
            <v>D-RHSA_LTH</v>
          </cell>
          <cell r="B109" t="str">
            <v>VAR_fout</v>
          </cell>
          <cell r="C109" t="str">
            <v>RHSA_LTH</v>
          </cell>
          <cell r="D109">
            <v>1.1615444362112256E-3</v>
          </cell>
          <cell r="E109">
            <v>3.4058807237742288E-2</v>
          </cell>
          <cell r="F109">
            <v>1.1997969454801799E-2</v>
          </cell>
          <cell r="G109">
            <v>5.212138464401688E-4</v>
          </cell>
          <cell r="H109">
            <v>3.0982446451099677E-4</v>
          </cell>
          <cell r="I109">
            <v>5.7127734101466575E-4</v>
          </cell>
          <cell r="J109">
            <v>2.1171975867022497E-4</v>
          </cell>
          <cell r="K109">
            <v>1.7398608245938451E-4</v>
          </cell>
          <cell r="L109">
            <v>7.9011908942942932E-5</v>
          </cell>
          <cell r="M109">
            <v>5.7476737689109918E-4</v>
          </cell>
          <cell r="N109">
            <v>4.4728804588347996E-4</v>
          </cell>
          <cell r="O109">
            <v>8.3436648240539505E-4</v>
          </cell>
        </row>
        <row r="110">
          <cell r="A110" t="str">
            <v>D-RHSA_LTH</v>
          </cell>
          <cell r="B110" t="str">
            <v>VAR_fin</v>
          </cell>
          <cell r="C110" t="str">
            <v>RHEM_LTH_CHPWOD_ON</v>
          </cell>
          <cell r="D110">
            <v>5.3425063634995931E-6</v>
          </cell>
          <cell r="E110">
            <v>3.2440004824493523E-6</v>
          </cell>
          <cell r="F110">
            <v>2.2859283613290311E-6</v>
          </cell>
          <cell r="G110">
            <v>4.5952215338025999E-5</v>
          </cell>
          <cell r="H110">
            <v>2.6753128941045608E-5</v>
          </cell>
          <cell r="I110"/>
          <cell r="J110">
            <v>7.206426570454095E-5</v>
          </cell>
          <cell r="L110">
            <v>1.7345703581715361E-5</v>
          </cell>
          <cell r="M110">
            <v>5.1700443716518575E-5</v>
          </cell>
          <cell r="N110">
            <v>5.0926552168626801E-5</v>
          </cell>
          <cell r="O110">
            <v>1.0859015936679888E-4</v>
          </cell>
        </row>
        <row r="111">
          <cell r="A111" t="str">
            <v>D-RHSA_LTH</v>
          </cell>
          <cell r="B111" t="str">
            <v>VAR_fin</v>
          </cell>
          <cell r="C111" t="str">
            <v>RHNM_LTH_CHPWOD_ON</v>
          </cell>
          <cell r="D111">
            <v>2.7032380550802605E-6</v>
          </cell>
          <cell r="E111">
            <v>7.4312672045412637E-6</v>
          </cell>
          <cell r="F111">
            <v>1.5348383282509498E-6</v>
          </cell>
          <cell r="G111">
            <v>3.4246354036552547E-5</v>
          </cell>
          <cell r="H111">
            <v>6.8671750468220967E-5</v>
          </cell>
          <cell r="I111">
            <v>2.8860684971419029E-4</v>
          </cell>
          <cell r="J111">
            <v>8.3243468385331377E-5</v>
          </cell>
          <cell r="K111">
            <v>1.1446566358178843E-4</v>
          </cell>
          <cell r="L111">
            <v>6.6837571639523513E-6</v>
          </cell>
          <cell r="M111">
            <v>7.1781888903921481E-5</v>
          </cell>
          <cell r="N111">
            <v>7.6316831927668226E-5</v>
          </cell>
          <cell r="O111">
            <v>2.2917407434705093E-4</v>
          </cell>
        </row>
        <row r="112">
          <cell r="A112" t="str">
            <v>D-RHSA_LTH</v>
          </cell>
          <cell r="B112" t="str">
            <v>VAR_fin</v>
          </cell>
          <cell r="C112" t="str">
            <v>RHES_LTH_CHPWOD_ON</v>
          </cell>
          <cell r="D112">
            <v>4.121116854465247E-6</v>
          </cell>
          <cell r="E112">
            <v>9.0689134478281601E-6</v>
          </cell>
          <cell r="F112">
            <v>2.920894262415371E-6</v>
          </cell>
          <cell r="G112">
            <v>3.5679025950968034E-5</v>
          </cell>
          <cell r="H112">
            <v>6.8429910348801492E-6</v>
          </cell>
          <cell r="I112"/>
          <cell r="J112">
            <v>3.7785948095105011E-6</v>
          </cell>
          <cell r="K112">
            <v>4.949407803915923E-6</v>
          </cell>
          <cell r="L112">
            <v>4.7500278534405033E-6</v>
          </cell>
          <cell r="M112">
            <v>6.0269848975462978E-5</v>
          </cell>
          <cell r="N112">
            <v>3.5204161181875014E-5</v>
          </cell>
        </row>
        <row r="113">
          <cell r="A113" t="str">
            <v>D-RHSA_LTH</v>
          </cell>
          <cell r="B113" t="str">
            <v>VAR_fin</v>
          </cell>
          <cell r="C113" t="str">
            <v>RHNS_LTH_CHPWOD_ON</v>
          </cell>
          <cell r="D113">
            <v>4.1735278079632269E-6</v>
          </cell>
          <cell r="E113">
            <v>3.9375860768750173E-6</v>
          </cell>
          <cell r="F113">
            <v>2.9580091780315803E-6</v>
          </cell>
          <cell r="G113">
            <v>2.0887329315976617E-5</v>
          </cell>
          <cell r="H113">
            <v>3.2379728786979525E-5</v>
          </cell>
          <cell r="I113">
            <v>5.3641553737378742E-5</v>
          </cell>
          <cell r="J113">
            <v>4.5118852431412414E-5</v>
          </cell>
          <cell r="K113">
            <v>4.6787069067686125E-5</v>
          </cell>
          <cell r="L113">
            <v>2.3790027956925363E-6</v>
          </cell>
          <cell r="M113">
            <v>1.005009265967307E-4</v>
          </cell>
          <cell r="N113">
            <v>3.9009532439337593E-5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RHEM_LTH_CHPNGA_ON</v>
          </cell>
          <cell r="D114">
            <v>8.6696503254640787E-4</v>
          </cell>
          <cell r="E114">
            <v>3.1586601362105927E-2</v>
          </cell>
          <cell r="F114">
            <v>8.5631112978469242E-3</v>
          </cell>
          <cell r="G114">
            <v>1.0040303713683794E-4</v>
          </cell>
          <cell r="H114">
            <v>1.9257377637523143E-5</v>
          </cell>
          <cell r="I114"/>
          <cell r="J114">
            <v>2.1037777918430634E-6</v>
          </cell>
          <cell r="K114">
            <v>2.6002014159477336E-6</v>
          </cell>
          <cell r="L114">
            <v>2.6047125052628486E-5</v>
          </cell>
          <cell r="M114">
            <v>6.3195956277709275E-5</v>
          </cell>
          <cell r="N114">
            <v>3.9730357347011954E-5</v>
          </cell>
          <cell r="O114">
            <v>3.1214248919673552E-5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RHNM_LTH_CHPNGA_ON</v>
          </cell>
          <cell r="D115">
            <v>3.7437893268841513E-6</v>
          </cell>
          <cell r="E115">
            <v>1.4356345474260336E-4</v>
          </cell>
          <cell r="F115">
            <v>9.4254594834385173E-4</v>
          </cell>
          <cell r="G115">
            <v>1.025836367816698E-4</v>
          </cell>
          <cell r="H115">
            <v>1.0749821818368406E-4</v>
          </cell>
          <cell r="I115">
            <v>1.9940106041633414E-4</v>
          </cell>
          <cell r="J115">
            <v>1.7859320856369056E-6</v>
          </cell>
          <cell r="K115">
            <v>2.2220598331452235E-6</v>
          </cell>
          <cell r="L115">
            <v>5.4143120103676103E-7</v>
          </cell>
          <cell r="M115">
            <v>7.1887515611829299E-5</v>
          </cell>
          <cell r="N115">
            <v>1.1981074198451625E-4</v>
          </cell>
          <cell r="O115">
            <v>2.6464422895540652E-4</v>
          </cell>
        </row>
        <row r="116">
          <cell r="A116" t="str">
            <v>D-RHSA_LTH</v>
          </cell>
          <cell r="B116" t="str">
            <v>VAR_fin</v>
          </cell>
          <cell r="C116" t="str">
            <v>RHES_LTH_CHPNGA_ON</v>
          </cell>
          <cell r="D116">
            <v>2.7272974099793406E-4</v>
          </cell>
          <cell r="E116">
            <v>2.159200207292513E-3</v>
          </cell>
          <cell r="F116">
            <v>2.3549522660186195E-3</v>
          </cell>
          <cell r="G116">
            <v>1.0508360233740732E-4</v>
          </cell>
          <cell r="H116"/>
          <cell r="I116"/>
          <cell r="J116">
            <v>1.4092898648255502E-6</v>
          </cell>
          <cell r="K116">
            <v>1.1507418454050284E-6</v>
          </cell>
          <cell r="L116">
            <v>1.1593050646894468E-5</v>
          </cell>
          <cell r="M116">
            <v>4.9449601270576284E-5</v>
          </cell>
          <cell r="N116">
            <v>3.5531897343043725E-5</v>
          </cell>
          <cell r="O116">
            <v>1.2255628670957777E-4</v>
          </cell>
        </row>
        <row r="117">
          <cell r="A117" t="str">
            <v>D-RHSA_LTH</v>
          </cell>
          <cell r="B117" t="str">
            <v>VAR_fin</v>
          </cell>
          <cell r="C117" t="str">
            <v>RHNS_LTH_CHPNGA_ON</v>
          </cell>
          <cell r="D117">
            <v>1.765484258991755E-6</v>
          </cell>
          <cell r="E117">
            <v>1.4576044638952697E-4</v>
          </cell>
          <cell r="F117">
            <v>1.2766027246238155E-4</v>
          </cell>
          <cell r="G117">
            <v>7.6378645542730781E-5</v>
          </cell>
          <cell r="H117">
            <v>4.8421269458663325E-5</v>
          </cell>
          <cell r="I117">
            <v>2.9627877146762904E-5</v>
          </cell>
          <cell r="J117">
            <v>2.2155775971241225E-6</v>
          </cell>
          <cell r="K117">
            <v>1.8109389114960827E-6</v>
          </cell>
          <cell r="L117">
            <v>9.6718106475825194E-6</v>
          </cell>
          <cell r="M117">
            <v>1.0598119553835032E-4</v>
          </cell>
          <cell r="N117">
            <v>5.0757971491400349E-5</v>
          </cell>
          <cell r="O117">
            <v>7.8187484106887473E-5</v>
          </cell>
        </row>
        <row r="118">
          <cell r="A118" t="str">
            <v>RHEM-SHLTHCHPWOD</v>
          </cell>
          <cell r="B118" t="str">
            <v>VAR_fout</v>
          </cell>
          <cell r="C118" t="str">
            <v>RHEM-SHLTHC-WOD</v>
          </cell>
          <cell r="D118"/>
          <cell r="E118"/>
          <cell r="F118"/>
          <cell r="G118">
            <v>2.8045068525483948E-4</v>
          </cell>
          <cell r="H118">
            <v>6.4055476564273725E-4</v>
          </cell>
          <cell r="I118">
            <v>0.13336474216946992</v>
          </cell>
          <cell r="J118">
            <v>0.22880886893986152</v>
          </cell>
          <cell r="K118">
            <v>0.22934502639624021</v>
          </cell>
          <cell r="L118">
            <v>0.22665248220761183</v>
          </cell>
          <cell r="M118">
            <v>0.22163402471447036</v>
          </cell>
          <cell r="N118">
            <v>0.22583738157935937</v>
          </cell>
          <cell r="O118">
            <v>0.2217517903095782</v>
          </cell>
        </row>
        <row r="119">
          <cell r="A119" t="str">
            <v>RHEM-SHLTHCHPWOD</v>
          </cell>
          <cell r="B119" t="str">
            <v>VAR_fin</v>
          </cell>
          <cell r="C119" t="str">
            <v>RHEM_LTH_CHPWOD_ON</v>
          </cell>
          <cell r="D119"/>
          <cell r="E119"/>
          <cell r="F119"/>
          <cell r="G119">
            <v>2.8328352045943386E-4</v>
          </cell>
          <cell r="H119">
            <v>6.4702501580074447E-4</v>
          </cell>
          <cell r="I119">
            <v>0.13471186077724229</v>
          </cell>
          <cell r="J119">
            <v>0.23112006963622367</v>
          </cell>
          <cell r="K119">
            <v>0.23166164282448504</v>
          </cell>
          <cell r="L119">
            <v>0.22894190121981001</v>
          </cell>
          <cell r="M119">
            <v>0.22387275223683858</v>
          </cell>
          <cell r="N119">
            <v>0.22811856725187818</v>
          </cell>
          <cell r="O119">
            <v>0.22399170738341198</v>
          </cell>
        </row>
        <row r="120">
          <cell r="A120" t="str">
            <v>RHEM-SHLTHCHPWOD</v>
          </cell>
          <cell r="B120" t="str">
            <v>VAR_fin</v>
          </cell>
          <cell r="C120" t="str">
            <v>RHEMLTHCHPC</v>
          </cell>
          <cell r="D120"/>
          <cell r="E120"/>
          <cell r="F120"/>
          <cell r="G120">
            <v>2.8045068525483948E-4</v>
          </cell>
          <cell r="H120">
            <v>6.4055476564273725E-4</v>
          </cell>
          <cell r="I120">
            <v>0.13336474216946992</v>
          </cell>
          <cell r="J120">
            <v>0.22880886893986152</v>
          </cell>
          <cell r="K120">
            <v>0.22934502639624021</v>
          </cell>
          <cell r="L120">
            <v>0.22665248220761183</v>
          </cell>
          <cell r="M120">
            <v>0.22163402471447036</v>
          </cell>
          <cell r="N120">
            <v>0.22583738157935937</v>
          </cell>
          <cell r="O120">
            <v>0.2217517903095782</v>
          </cell>
        </row>
        <row r="121">
          <cell r="A121" t="str">
            <v>RHEM-SHLTHCHPWOD</v>
          </cell>
          <cell r="B121" t="str">
            <v>VAR_ncap</v>
          </cell>
          <cell r="C121" t="str">
            <v>-</v>
          </cell>
          <cell r="D121"/>
          <cell r="E121"/>
          <cell r="F121"/>
          <cell r="G121">
            <v>3.2689543627272401E-5</v>
          </cell>
          <cell r="H121">
            <v>6.2367039603154504E-5</v>
          </cell>
          <cell r="I121">
            <v>1.01622560988245E-2</v>
          </cell>
          <cell r="J121">
            <v>9.9964455653666698E-3</v>
          </cell>
          <cell r="K121">
            <v>9.6719183006234999E-3</v>
          </cell>
          <cell r="L121">
            <v>9.2062834913749607E-3</v>
          </cell>
          <cell r="M121">
            <v>9.3533752380518601E-3</v>
          </cell>
          <cell r="N121">
            <v>9.8993193905083307E-3</v>
          </cell>
          <cell r="O121">
            <v>8.8294107874632398E-3</v>
          </cell>
        </row>
        <row r="122">
          <cell r="A122" t="str">
            <v>RHEM-SHLTHCHPWOD</v>
          </cell>
          <cell r="B122" t="str">
            <v>VAR_cap</v>
          </cell>
          <cell r="C122" t="str">
            <v>-</v>
          </cell>
          <cell r="D122"/>
          <cell r="E122"/>
          <cell r="F122"/>
          <cell r="G122">
            <v>3.2689543627272401E-5</v>
          </cell>
          <cell r="H122">
            <v>7.5363695583757304E-5</v>
          </cell>
          <cell r="I122">
            <v>1.020369141656779E-2</v>
          </cell>
          <cell r="J122">
            <v>1.732319807434627E-2</v>
          </cell>
          <cell r="K122">
            <v>1.7287247398907499E-2</v>
          </cell>
          <cell r="L122">
            <v>1.7072891227368901E-2</v>
          </cell>
          <cell r="M122">
            <v>1.6694868905498601E-2</v>
          </cell>
          <cell r="N122">
            <v>1.7017944637211801E-2</v>
          </cell>
          <cell r="O122">
            <v>1.6728642433401601E-2</v>
          </cell>
        </row>
        <row r="123">
          <cell r="A123" t="str">
            <v>D-RHEM_LTH_CHPWOD</v>
          </cell>
          <cell r="B123" t="str">
            <v>VAR_fout</v>
          </cell>
          <cell r="C123" t="str">
            <v>RHEM_LTH_CHPWOD_ON</v>
          </cell>
          <cell r="D123">
            <v>5.3425063634995931E-6</v>
          </cell>
          <cell r="E123">
            <v>3.2440004824493523E-6</v>
          </cell>
          <cell r="F123">
            <v>2.2859283613290311E-6</v>
          </cell>
          <cell r="G123">
            <v>3.2923573579746011E-4</v>
          </cell>
          <cell r="H123">
            <v>6.7377814474179015E-4</v>
          </cell>
          <cell r="I123">
            <v>0.13471186077724229</v>
          </cell>
          <cell r="J123">
            <v>0.23119213390192803</v>
          </cell>
          <cell r="K123">
            <v>0.23166164282448504</v>
          </cell>
          <cell r="L123">
            <v>0.22895924692339184</v>
          </cell>
          <cell r="M123">
            <v>0.22392445268055525</v>
          </cell>
          <cell r="N123">
            <v>0.22816949380404689</v>
          </cell>
          <cell r="O123">
            <v>0.22410029754277896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RHSA_LTH</v>
          </cell>
          <cell r="D124">
            <v>2.7078312392961546E-6</v>
          </cell>
          <cell r="E124">
            <v>1.0124528692375813E-5</v>
          </cell>
          <cell r="F124">
            <v>6.1527129921045146E-6</v>
          </cell>
          <cell r="G124">
            <v>4.5298872949252745E-5</v>
          </cell>
          <cell r="H124">
            <v>6.3942080031067635E-5</v>
          </cell>
          <cell r="I124">
            <v>1.4870443180260938E-3</v>
          </cell>
          <cell r="J124">
            <v>4.1418981636969473E-5</v>
          </cell>
          <cell r="K124">
            <v>1.2133581454659179E-4</v>
          </cell>
          <cell r="L124">
            <v>3.2380450762657254E-5</v>
          </cell>
          <cell r="M124">
            <v>3.0643243735370568E-5</v>
          </cell>
          <cell r="N124">
            <v>3.7483555377074204E-5</v>
          </cell>
          <cell r="O124">
            <v>5.7050309537067952E-5</v>
          </cell>
        </row>
        <row r="125">
          <cell r="A125" t="str">
            <v>D-RHEM_LTH_CHPWOD</v>
          </cell>
          <cell r="B125" t="str">
            <v>VAR_fout</v>
          </cell>
          <cell r="C125" t="str">
            <v>LTH</v>
          </cell>
          <cell r="D125"/>
          <cell r="E125"/>
          <cell r="F125"/>
          <cell r="G125"/>
          <cell r="H125"/>
          <cell r="I125">
            <v>2.3045614672197878E-4</v>
          </cell>
          <cell r="J125">
            <v>4.6814943689612627E-4</v>
          </cell>
          <cell r="K125">
            <v>6.5882069887967772E-5</v>
          </cell>
          <cell r="L125">
            <v>3.4569823269065564E-5</v>
          </cell>
          <cell r="M125">
            <v>5.7685175145133261E-5</v>
          </cell>
          <cell r="N125">
            <v>3.8481078717387887E-5</v>
          </cell>
          <cell r="O125">
            <v>9.8040070895050616E-5</v>
          </cell>
        </row>
        <row r="126">
          <cell r="A126" t="str">
            <v>D-RHEM_LTH_CHPWOD</v>
          </cell>
          <cell r="B126" t="str">
            <v>VAR_fin</v>
          </cell>
          <cell r="C126" t="str">
            <v>RHEM_LTH_CHPWOD</v>
          </cell>
          <cell r="D126">
            <v>8.050337602795743E-6</v>
          </cell>
          <cell r="E126">
            <v>1.358170155711103E-5</v>
          </cell>
          <cell r="F126">
            <v>8.7160723652279737E-6</v>
          </cell>
          <cell r="G126">
            <v>3.7481455563176825E-4</v>
          </cell>
          <cell r="H126">
            <v>7.3847609854147778E-4</v>
          </cell>
          <cell r="I126">
            <v>0.1364294496875024</v>
          </cell>
          <cell r="J126">
            <v>0.23170177134962841</v>
          </cell>
          <cell r="K126">
            <v>0.23184893106655816</v>
          </cell>
          <cell r="L126">
            <v>0.22902622970939521</v>
          </cell>
          <cell r="M126">
            <v>0.22401285626645337</v>
          </cell>
          <cell r="N126">
            <v>0.22824554861727991</v>
          </cell>
          <cell r="O126">
            <v>0.22425538792321106</v>
          </cell>
        </row>
        <row r="127">
          <cell r="A127" t="str">
            <v>RHES-SHLTHDH</v>
          </cell>
          <cell r="B127" t="str">
            <v>VAR_fout</v>
          </cell>
          <cell r="C127" t="str">
            <v>RHES-SHLTHD</v>
          </cell>
          <cell r="D127">
            <v>1.8836077041113533</v>
          </cell>
          <cell r="E127">
            <v>3.5037943600082078</v>
          </cell>
          <cell r="F127">
            <v>3.4985976397224001</v>
          </cell>
          <cell r="G127">
            <v>1.738207472710698</v>
          </cell>
          <cell r="H127">
            <v>1.8470313338338828</v>
          </cell>
          <cell r="I127">
            <v>2.8058285944767478</v>
          </cell>
          <cell r="J127">
            <v>1.784610306346563</v>
          </cell>
          <cell r="K127">
            <v>2.5536162229840307</v>
          </cell>
          <cell r="L127">
            <v>2.3883959480878074</v>
          </cell>
          <cell r="M127">
            <v>2.2565474396399954</v>
          </cell>
          <cell r="N127">
            <v>2.2574390993263891</v>
          </cell>
          <cell r="O127">
            <v>2.1033029464387862</v>
          </cell>
        </row>
        <row r="128">
          <cell r="A128" t="str">
            <v>RHES-SHLTHDH</v>
          </cell>
          <cell r="B128" t="str">
            <v>VAR_fin</v>
          </cell>
          <cell r="C128" t="str">
            <v>RHESLTHDHC</v>
          </cell>
          <cell r="D128">
            <v>1.8836077041113533</v>
          </cell>
          <cell r="E128">
            <v>3.5037943600082078</v>
          </cell>
          <cell r="F128">
            <v>3.4985976397224001</v>
          </cell>
          <cell r="G128">
            <v>1.738207472710698</v>
          </cell>
          <cell r="H128">
            <v>1.8470313338338828</v>
          </cell>
          <cell r="I128">
            <v>2.8058285944767478</v>
          </cell>
          <cell r="J128">
            <v>1.784610306346563</v>
          </cell>
          <cell r="K128">
            <v>2.5536162229840307</v>
          </cell>
          <cell r="L128">
            <v>2.3883959480878074</v>
          </cell>
          <cell r="M128">
            <v>2.2565474396399954</v>
          </cell>
          <cell r="N128">
            <v>2.2574390993263891</v>
          </cell>
          <cell r="O128">
            <v>2.1033029464387862</v>
          </cell>
        </row>
        <row r="129">
          <cell r="A129" t="str">
            <v>RHES-SHLTHDH</v>
          </cell>
          <cell r="B129" t="str">
            <v>VAR_fin</v>
          </cell>
          <cell r="C129" t="str">
            <v>RHES_LTH_DH</v>
          </cell>
          <cell r="D129">
            <v>1.9026340445569223</v>
          </cell>
          <cell r="E129">
            <v>3.5391862222305153</v>
          </cell>
          <cell r="F129">
            <v>3.53393700982061</v>
          </cell>
          <cell r="G129">
            <v>1.7557651239501983</v>
          </cell>
          <cell r="H129">
            <v>1.8656882159938193</v>
          </cell>
          <cell r="I129">
            <v>2.8341702974512599</v>
          </cell>
          <cell r="J129">
            <v>1.8026366730773349</v>
          </cell>
          <cell r="K129">
            <v>2.579410326246498</v>
          </cell>
          <cell r="L129">
            <v>2.4125211596846552</v>
          </cell>
          <cell r="M129">
            <v>2.2793408481212056</v>
          </cell>
          <cell r="N129">
            <v>2.2802415144711006</v>
          </cell>
          <cell r="O129">
            <v>2.1245484307462483</v>
          </cell>
          <cell r="P129"/>
          <cell r="Q129"/>
          <cell r="R129"/>
        </row>
        <row r="130">
          <cell r="A130" t="str">
            <v>RHES-SHLTHDH</v>
          </cell>
          <cell r="B130" t="str">
            <v>VAR_ncap</v>
          </cell>
          <cell r="C130" t="str">
            <v>-</v>
          </cell>
          <cell r="D130"/>
          <cell r="E130"/>
          <cell r="F130"/>
          <cell r="G130"/>
          <cell r="H130">
            <v>1.24670073805746E-8</v>
          </cell>
          <cell r="I130">
            <v>1.60150003495605E-8</v>
          </cell>
          <cell r="J130">
            <v>1.6642875139796E-8</v>
          </cell>
          <cell r="K130">
            <v>1.7935341019858801E-8</v>
          </cell>
          <cell r="L130">
            <v>1.7588510271540001E-8</v>
          </cell>
          <cell r="M130">
            <v>3.9887934118576597E-8</v>
          </cell>
          <cell r="N130">
            <v>5.12838296615137E-8</v>
          </cell>
          <cell r="O130">
            <v>3.5056996841216601E-7</v>
          </cell>
        </row>
        <row r="131">
          <cell r="A131" t="str">
            <v>RHES-SHLTHDH</v>
          </cell>
          <cell r="B131" t="str">
            <v>VAR_cap</v>
          </cell>
          <cell r="C131" t="str">
            <v>-</v>
          </cell>
          <cell r="D131">
            <v>0.31204626794151202</v>
          </cell>
          <cell r="E131">
            <v>0.31204626794151202</v>
          </cell>
          <cell r="F131">
            <v>0.31204626794151202</v>
          </cell>
          <cell r="G131">
            <v>0.31204626794151202</v>
          </cell>
          <cell r="H131">
            <v>0.31204628040851939</v>
          </cell>
          <cell r="I131">
            <v>0.31204629642351978</v>
          </cell>
          <cell r="J131">
            <v>0.31204631306639491</v>
          </cell>
          <cell r="K131">
            <v>0.3120463310017359</v>
          </cell>
          <cell r="L131">
            <v>0.31204634859024616</v>
          </cell>
          <cell r="M131">
            <v>0.31204638847818028</v>
          </cell>
          <cell r="N131">
            <v>0.31204643976200996</v>
          </cell>
          <cell r="O131">
            <v>0.31204679033197835</v>
          </cell>
        </row>
        <row r="132">
          <cell r="A132" t="str">
            <v>RHEM-SHCONBR3</v>
          </cell>
          <cell r="B132" t="str">
            <v>VAR_fout</v>
          </cell>
          <cell r="C132" t="str">
            <v>RHEM-SHCON</v>
          </cell>
          <cell r="D132">
            <v>0.4868437520358701</v>
          </cell>
          <cell r="E132">
            <v>0.97561439010308049</v>
          </cell>
          <cell r="F132">
            <v>0.97555048332931982</v>
          </cell>
          <cell r="G132">
            <v>0.97557693147318836</v>
          </cell>
          <cell r="H132">
            <v>0.97557106501759328</v>
          </cell>
          <cell r="I132">
            <v>0.97558453560725378</v>
          </cell>
          <cell r="J132">
            <v>0.97556865441049034</v>
          </cell>
          <cell r="K132">
            <v>0.49599386374966753</v>
          </cell>
          <cell r="L132">
            <v>1.3965003079071032E-4</v>
          </cell>
          <cell r="M132">
            <v>1.4885092327577871E-4</v>
          </cell>
          <cell r="N132">
            <v>1.4916697237299774E-4</v>
          </cell>
          <cell r="O132">
            <v>1.5097408530286423E-4</v>
          </cell>
        </row>
        <row r="133">
          <cell r="A133" t="str">
            <v>RHEM-SHCONBR3</v>
          </cell>
          <cell r="B133" t="str">
            <v>VAR_fin</v>
          </cell>
          <cell r="C133" t="str">
            <v>CON</v>
          </cell>
          <cell r="D133">
            <v>0.4868437520358701</v>
          </cell>
          <cell r="E133">
            <v>0.97561439010308049</v>
          </cell>
          <cell r="F133">
            <v>0.97555048332931982</v>
          </cell>
          <cell r="G133">
            <v>0.97557693147318836</v>
          </cell>
          <cell r="H133">
            <v>0.97557106501759328</v>
          </cell>
          <cell r="I133">
            <v>0.97558453560725378</v>
          </cell>
          <cell r="J133">
            <v>0.97556865441049034</v>
          </cell>
          <cell r="K133">
            <v>0.49599386374966753</v>
          </cell>
          <cell r="L133">
            <v>1.3965003079071032E-4</v>
          </cell>
          <cell r="M133">
            <v>1.4885092327577871E-4</v>
          </cell>
          <cell r="N133">
            <v>1.4916697237299774E-4</v>
          </cell>
          <cell r="O133">
            <v>1.5097408530286423E-4</v>
          </cell>
        </row>
        <row r="134">
          <cell r="A134" t="str">
            <v>RHEM-SHCONBR3</v>
          </cell>
          <cell r="B134" t="str">
            <v>VAR_ncap</v>
          </cell>
          <cell r="C134" t="str">
            <v>-</v>
          </cell>
          <cell r="D134">
            <v>3.4409306598729303E-2</v>
          </cell>
          <cell r="E134">
            <v>3.4481419094131799E-2</v>
          </cell>
          <cell r="F134"/>
          <cell r="G134"/>
          <cell r="H134">
            <v>1.22487471200048E-8</v>
          </cell>
          <cell r="I134">
            <v>3.1975207666576399E-8</v>
          </cell>
          <cell r="J134">
            <v>1.18330564625902E-8</v>
          </cell>
          <cell r="K134">
            <v>1.06316243383628E-7</v>
          </cell>
          <cell r="L134">
            <v>9.4504026295295102E-6</v>
          </cell>
          <cell r="M134">
            <v>3.1855666479778801E-8</v>
          </cell>
          <cell r="N134">
            <v>6.68859444610261E-7</v>
          </cell>
        </row>
        <row r="135">
          <cell r="A135" t="str">
            <v>RHEM-SHCONBR3</v>
          </cell>
          <cell r="B135" t="str">
            <v>VAR_cap</v>
          </cell>
          <cell r="C135" t="str">
            <v>-</v>
          </cell>
          <cell r="D135">
            <v>3.4409306598729303E-2</v>
          </cell>
          <cell r="E135">
            <v>6.8890725692861102E-2</v>
          </cell>
          <cell r="F135">
            <v>6.8890725692861102E-2</v>
          </cell>
          <cell r="G135">
            <v>6.8890725692861102E-2</v>
          </cell>
          <cell r="H135">
            <v>6.8890737941608299E-2</v>
          </cell>
          <cell r="I135">
            <v>6.8890769916815905E-2</v>
          </cell>
          <cell r="J135">
            <v>6.8890781749872398E-2</v>
          </cell>
          <cell r="K135">
            <v>3.5024514691396301E-2</v>
          </cell>
          <cell r="L135">
            <v>9.61277588416231E-6</v>
          </cell>
          <cell r="M135">
            <v>9.6446315506420894E-6</v>
          </cell>
          <cell r="N135">
            <v>1.0298406051986601E-5</v>
          </cell>
          <cell r="O135">
            <v>1.0269267040465799E-5</v>
          </cell>
        </row>
        <row r="136">
          <cell r="A136" t="str">
            <v>D-RHSA_ELC</v>
          </cell>
          <cell r="B136" t="str">
            <v>VAR_fout</v>
          </cell>
          <cell r="C136" t="str">
            <v>RHSA_ELC</v>
          </cell>
          <cell r="D136">
            <v>55.594085671231802</v>
          </cell>
          <cell r="E136">
            <v>54.988087104636534</v>
          </cell>
          <cell r="F136">
            <v>55.184850604685018</v>
          </cell>
          <cell r="G136">
            <v>59.948933170440448</v>
          </cell>
          <cell r="H136">
            <v>70.296189212066636</v>
          </cell>
          <cell r="I136">
            <v>80.233581509823281</v>
          </cell>
          <cell r="J136">
            <v>80.226819310013909</v>
          </cell>
          <cell r="K136">
            <v>86.546883444159334</v>
          </cell>
          <cell r="L136">
            <v>83.494718965642136</v>
          </cell>
          <cell r="M136">
            <v>86.050441337545664</v>
          </cell>
          <cell r="N136">
            <v>87.94606570991813</v>
          </cell>
          <cell r="O136">
            <v>88.811232286028442</v>
          </cell>
        </row>
        <row r="137">
          <cell r="A137" t="str">
            <v>D-RHSA_ELC</v>
          </cell>
          <cell r="B137" t="str">
            <v>VAR_fin</v>
          </cell>
          <cell r="C137" t="str">
            <v>RHNS_ELC</v>
          </cell>
          <cell r="D137">
            <v>12.971663695072939</v>
          </cell>
          <cell r="E137">
            <v>14.781339304392684</v>
          </cell>
          <cell r="F137">
            <v>14.59320768580986</v>
          </cell>
          <cell r="G137">
            <v>15.160054309486972</v>
          </cell>
          <cell r="H137">
            <v>17.121034745916024</v>
          </cell>
          <cell r="I137">
            <v>19.199329796113066</v>
          </cell>
          <cell r="J137">
            <v>19.047373039626638</v>
          </cell>
          <cell r="K137">
            <v>20.729575143538476</v>
          </cell>
          <cell r="L137">
            <v>19.896152096496674</v>
          </cell>
          <cell r="M137">
            <v>20.332625825103143</v>
          </cell>
          <cell r="N137">
            <v>20.729649263030872</v>
          </cell>
          <cell r="O137">
            <v>20.630837047299099</v>
          </cell>
        </row>
        <row r="138">
          <cell r="A138" t="str">
            <v>D-RHSA_ELC</v>
          </cell>
          <cell r="B138" t="str">
            <v>VAR_fin</v>
          </cell>
          <cell r="C138" t="str">
            <v>RHES_ELC</v>
          </cell>
          <cell r="D138">
            <v>16.117704294881399</v>
          </cell>
          <cell r="E138">
            <v>12.960458112695409</v>
          </cell>
          <cell r="F138">
            <v>12.94721409709731</v>
          </cell>
          <cell r="G138">
            <v>14.977830786244805</v>
          </cell>
          <cell r="H138">
            <v>18.76149089088533</v>
          </cell>
          <cell r="I138">
            <v>22.084423647970375</v>
          </cell>
          <cell r="J138">
            <v>22.138106780837507</v>
          </cell>
          <cell r="K138">
            <v>23.722902985792288</v>
          </cell>
          <cell r="L138">
            <v>22.967406081928207</v>
          </cell>
          <cell r="M138">
            <v>24.136594545370844</v>
          </cell>
          <cell r="N138">
            <v>24.792792033500096</v>
          </cell>
          <cell r="O138">
            <v>25.503556176455437</v>
          </cell>
        </row>
        <row r="139">
          <cell r="A139" t="str">
            <v>D-RHSA_ELC</v>
          </cell>
          <cell r="B139" t="str">
            <v>VAR_fin</v>
          </cell>
          <cell r="C139" t="str">
            <v>RHNM_ELC</v>
          </cell>
          <cell r="D139">
            <v>11.048746444457214</v>
          </cell>
          <cell r="E139">
            <v>14.688105177896485</v>
          </cell>
          <cell r="F139">
            <v>15.00616957787059</v>
          </cell>
          <cell r="G139">
            <v>16.042922854187196</v>
          </cell>
          <cell r="H139">
            <v>18.535776614811212</v>
          </cell>
          <cell r="I139">
            <v>20.760397824577325</v>
          </cell>
          <cell r="J139">
            <v>20.759983232104311</v>
          </cell>
          <cell r="K139">
            <v>22.268760338813337</v>
          </cell>
          <cell r="L139">
            <v>21.329786789621316</v>
          </cell>
          <cell r="M139">
            <v>21.794714005183195</v>
          </cell>
          <cell r="N139">
            <v>22.38229019253032</v>
          </cell>
          <cell r="O139">
            <v>22.388099879306996</v>
          </cell>
        </row>
        <row r="140">
          <cell r="A140" t="str">
            <v>D-RHSA_ELC</v>
          </cell>
          <cell r="B140" t="str">
            <v>VAR_fin</v>
          </cell>
          <cell r="C140" t="str">
            <v>RHEM_ELC</v>
          </cell>
          <cell r="D140">
            <v>15.455977790556489</v>
          </cell>
          <cell r="E140">
            <v>12.558186726457985</v>
          </cell>
          <cell r="F140">
            <v>12.638263658101616</v>
          </cell>
          <cell r="G140">
            <v>13.768126552585297</v>
          </cell>
          <cell r="H140">
            <v>15.877889202974602</v>
          </cell>
          <cell r="I140">
            <v>18.189433431059001</v>
          </cell>
          <cell r="J140">
            <v>18.281358522268299</v>
          </cell>
          <cell r="K140">
            <v>19.825652373758771</v>
          </cell>
          <cell r="L140">
            <v>19.301377853394712</v>
          </cell>
          <cell r="M140">
            <v>19.786513664933814</v>
          </cell>
          <cell r="N140">
            <v>20.041339760138136</v>
          </cell>
          <cell r="O140">
            <v>20.288746810118493</v>
          </cell>
        </row>
        <row r="141">
          <cell r="A141" t="str">
            <v>SCOM-SHLTHDH</v>
          </cell>
          <cell r="B141" t="str">
            <v>VAR_fout</v>
          </cell>
          <cell r="C141" t="str">
            <v>SCOM-SHLTHD</v>
          </cell>
          <cell r="D141">
            <v>5.5539012807574641</v>
          </cell>
          <cell r="E141">
            <v>6.0159360225060512</v>
          </cell>
          <cell r="F141">
            <v>6.0159361032016028</v>
          </cell>
          <cell r="G141">
            <v>6.0159360568191973</v>
          </cell>
          <cell r="H141">
            <v>6.0159358396823368</v>
          </cell>
          <cell r="I141">
            <v>6.2447006912594532</v>
          </cell>
          <cell r="J141">
            <v>7.8572639543077729</v>
          </cell>
          <cell r="K141">
            <v>8.2636395522206705</v>
          </cell>
          <cell r="L141">
            <v>8.2636395215311111</v>
          </cell>
          <cell r="M141">
            <v>8.2636401472765382</v>
          </cell>
          <cell r="N141">
            <v>8.2636404642607868</v>
          </cell>
          <cell r="O141">
            <v>8.2636419427192358</v>
          </cell>
        </row>
        <row r="142">
          <cell r="A142" t="str">
            <v>SCOM-SHLTHDH</v>
          </cell>
          <cell r="B142" t="str">
            <v>VAR_fin</v>
          </cell>
          <cell r="C142" t="str">
            <v>SCOMLTHDHC</v>
          </cell>
          <cell r="D142">
            <v>5.5539012807574641</v>
          </cell>
          <cell r="E142">
            <v>6.0159360225060512</v>
          </cell>
          <cell r="F142">
            <v>6.0159361032016028</v>
          </cell>
          <cell r="G142">
            <v>6.0159360568191973</v>
          </cell>
          <cell r="H142">
            <v>6.0159358396823368</v>
          </cell>
          <cell r="I142">
            <v>6.2447006912594532</v>
          </cell>
          <cell r="J142">
            <v>7.8572639543077729</v>
          </cell>
          <cell r="K142">
            <v>8.2636395522206705</v>
          </cell>
          <cell r="L142">
            <v>8.2636395215311111</v>
          </cell>
          <cell r="M142">
            <v>8.2636401472765382</v>
          </cell>
          <cell r="N142">
            <v>8.2636404642607868</v>
          </cell>
          <cell r="O142">
            <v>8.2636419427192358</v>
          </cell>
        </row>
        <row r="143">
          <cell r="A143" t="str">
            <v>SCOM-SHLTHDH</v>
          </cell>
          <cell r="B143" t="str">
            <v>VAR_fin</v>
          </cell>
          <cell r="C143" t="str">
            <v>SCOM_LTH_DH</v>
          </cell>
          <cell r="D143">
            <v>5.6100012936944053</v>
          </cell>
          <cell r="E143">
            <v>6.076703053036419</v>
          </cell>
          <cell r="F143">
            <v>6.0767031345470732</v>
          </cell>
          <cell r="G143">
            <v>6.0767030876961634</v>
          </cell>
          <cell r="H143">
            <v>6.0767028683659969</v>
          </cell>
          <cell r="I143">
            <v>6.3077784760196485</v>
          </cell>
          <cell r="J143">
            <v>7.936630256876537</v>
          </cell>
          <cell r="K143">
            <v>8.3471106588087576</v>
          </cell>
          <cell r="L143">
            <v>8.3471106278092098</v>
          </cell>
          <cell r="M143">
            <v>8.3471112598752892</v>
          </cell>
          <cell r="N143">
            <v>8.3471115800613944</v>
          </cell>
          <cell r="O143">
            <v>8.3471130734537748</v>
          </cell>
        </row>
        <row r="144">
          <cell r="A144" t="str">
            <v>SCOM-SHLTHDH</v>
          </cell>
          <cell r="B144" t="str">
            <v>VAR_ncap</v>
          </cell>
          <cell r="C144" t="str">
            <v>-</v>
          </cell>
          <cell r="D144"/>
          <cell r="E144"/>
          <cell r="F144">
            <v>1.75170306176352E-8</v>
          </cell>
          <cell r="G144">
            <v>3.1424516261096003E-8</v>
          </cell>
          <cell r="H144">
            <v>0.38028928844238202</v>
          </cell>
          <cell r="I144">
            <v>0.42385293686797898</v>
          </cell>
          <cell r="J144">
            <v>4.5544595318334803E-2</v>
          </cell>
          <cell r="K144">
            <v>0.33141284697966999</v>
          </cell>
          <cell r="L144">
            <v>0.41361428010679702</v>
          </cell>
          <cell r="M144">
            <v>0.10467051544537199</v>
          </cell>
          <cell r="N144">
            <v>0.40383573527713001</v>
          </cell>
          <cell r="O144">
            <v>0.34119632550272699</v>
          </cell>
        </row>
        <row r="145">
          <cell r="A145" t="str">
            <v>SCOM-SHLTHDH</v>
          </cell>
          <cell r="B145" t="str">
            <v>VAR_cap</v>
          </cell>
          <cell r="C145" t="str">
            <v>-</v>
          </cell>
          <cell r="D145">
            <v>0.84970025293020501</v>
          </cell>
          <cell r="E145">
            <v>0.84970025293020501</v>
          </cell>
          <cell r="F145">
            <v>0.84970027044723562</v>
          </cell>
          <cell r="G145">
            <v>0.84970030187175194</v>
          </cell>
          <cell r="H145">
            <v>0.60064594076627897</v>
          </cell>
          <cell r="I145">
            <v>0.80414225443498499</v>
          </cell>
          <cell r="J145">
            <v>0.84968682062869605</v>
          </cell>
          <cell r="K145">
            <v>0.80081037916598297</v>
          </cell>
          <cell r="L145">
            <v>0.84966400391263097</v>
          </cell>
          <cell r="M145">
            <v>0.84969764253183799</v>
          </cell>
          <cell r="N145">
            <v>0.84969962236403596</v>
          </cell>
          <cell r="O145">
            <v>0.84970257622522805</v>
          </cell>
        </row>
        <row r="146">
          <cell r="A146" t="str">
            <v>ITOT-SWHSTG-ELC</v>
          </cell>
          <cell r="B146" t="str">
            <v>VAR_fout</v>
          </cell>
          <cell r="C146" t="str">
            <v>ITOT-SWHAELC</v>
          </cell>
          <cell r="D146">
            <v>5.4789698183075254E-6</v>
          </cell>
          <cell r="E146">
            <v>4.4723288578065976E-6</v>
          </cell>
          <cell r="F146">
            <v>8.5581785632065074E-2</v>
          </cell>
          <cell r="G146">
            <v>1.9971486784653961E-3</v>
          </cell>
          <cell r="H146">
            <v>2.6252228712033169E-4</v>
          </cell>
          <cell r="I146">
            <v>0.90220731878450666</v>
          </cell>
          <cell r="J146">
            <v>0.84217407326329807</v>
          </cell>
          <cell r="K146">
            <v>0.98014452379354344</v>
          </cell>
          <cell r="L146">
            <v>1.0837740304240815</v>
          </cell>
          <cell r="M146">
            <v>0.38387933695120269</v>
          </cell>
          <cell r="N146">
            <v>1.7934114653636901</v>
          </cell>
          <cell r="O146">
            <v>2.2535042776247289</v>
          </cell>
        </row>
        <row r="147">
          <cell r="A147" t="str">
            <v>ITOT-SWHSTG-ELC</v>
          </cell>
          <cell r="B147" t="str">
            <v>VAR_fin</v>
          </cell>
          <cell r="C147" t="str">
            <v>ITOT-SWHAELC</v>
          </cell>
          <cell r="D147">
            <v>7.494019743430318E-6</v>
          </cell>
          <cell r="E147">
            <v>4.4174566261828461E-6</v>
          </cell>
          <cell r="F147">
            <v>0.11047129301346505</v>
          </cell>
          <cell r="G147">
            <v>2.5072454974008488E-3</v>
          </cell>
          <cell r="H147">
            <v>3.3185177726218574E-4</v>
          </cell>
          <cell r="I147">
            <v>1.0614943033053343</v>
          </cell>
          <cell r="J147">
            <v>0.96254865357934238</v>
          </cell>
          <cell r="K147">
            <v>1.0891221360814816</v>
          </cell>
          <cell r="L147">
            <v>1.2042616094996033</v>
          </cell>
          <cell r="M147">
            <v>0.42657243748491863</v>
          </cell>
          <cell r="N147">
            <v>1.9927780999533438</v>
          </cell>
          <cell r="O147">
            <v>2.503993479728905</v>
          </cell>
        </row>
        <row r="148">
          <cell r="A148" t="str">
            <v>ITOT-SWHSTG-ELC</v>
          </cell>
          <cell r="B148" t="str">
            <v>VAR_ncap</v>
          </cell>
          <cell r="C148" t="str">
            <v>-</v>
          </cell>
          <cell r="D148">
            <v>5.1429423682217395E-4</v>
          </cell>
          <cell r="E148">
            <v>0.16972232502655801</v>
          </cell>
          <cell r="F148">
            <v>1.8275290045368E-5</v>
          </cell>
          <cell r="G148">
            <v>4.09780653526335E-2</v>
          </cell>
          <cell r="H148">
            <v>0.14816601988755901</v>
          </cell>
          <cell r="I148">
            <v>9.2769063179437006E-2</v>
          </cell>
          <cell r="J148">
            <v>3.8990614042510703E-2</v>
          </cell>
          <cell r="K148">
            <v>0.14699684978038799</v>
          </cell>
          <cell r="L148">
            <v>8.1553000332168404E-2</v>
          </cell>
          <cell r="M148">
            <v>4.6102967679633997E-2</v>
          </cell>
          <cell r="N148">
            <v>0.14284915395543599</v>
          </cell>
          <cell r="O148">
            <v>7.9701609549719804E-2</v>
          </cell>
        </row>
        <row r="149">
          <cell r="A149" t="str">
            <v>ITOT-SWHSTG-ELC</v>
          </cell>
          <cell r="B149" t="str">
            <v>VAR_cap</v>
          </cell>
          <cell r="C149" t="str">
            <v>-</v>
          </cell>
          <cell r="D149">
            <v>5.1429423682217395E-4</v>
          </cell>
          <cell r="E149">
            <v>0.17023622882206929</v>
          </cell>
          <cell r="F149">
            <v>0.1702540677118852</v>
          </cell>
          <cell r="G149">
            <v>0.21123218323266599</v>
          </cell>
          <cell r="H149">
            <v>0.27624957914107207</v>
          </cell>
          <cell r="I149">
            <v>0.27411956444841939</v>
          </cell>
          <cell r="J149">
            <v>0.27992455881511391</v>
          </cell>
          <cell r="K149">
            <v>0.27875198048706468</v>
          </cell>
          <cell r="L149">
            <v>0.27662060142276512</v>
          </cell>
          <cell r="M149">
            <v>0.27464283808448087</v>
          </cell>
          <cell r="N149">
            <v>0.27067514022723771</v>
          </cell>
          <cell r="O149">
            <v>0.26864503607508838</v>
          </cell>
        </row>
        <row r="150">
          <cell r="A150" t="str">
            <v>D-SCOM_SOLELC</v>
          </cell>
          <cell r="B150" t="str">
            <v>VAR_fout</v>
          </cell>
          <cell r="C150" t="str">
            <v>ELC5</v>
          </cell>
          <cell r="D150">
            <v>0.43132115479282745</v>
          </cell>
          <cell r="E150">
            <v>1.6857016073472817</v>
          </cell>
          <cell r="F150">
            <v>3.459708147968561</v>
          </cell>
          <cell r="G150">
            <v>4.0114600745229527</v>
          </cell>
          <cell r="H150">
            <v>14.916229680881601</v>
          </cell>
          <cell r="I150">
            <v>15.651912751738189</v>
          </cell>
          <cell r="J150">
            <v>16.586087073583311</v>
          </cell>
          <cell r="K150">
            <v>16.678035282552933</v>
          </cell>
          <cell r="L150">
            <v>17.539281908489404</v>
          </cell>
          <cell r="M150">
            <v>18.493379770733913</v>
          </cell>
          <cell r="N150">
            <v>19.014325173085822</v>
          </cell>
          <cell r="O150">
            <v>19.707427321683529</v>
          </cell>
        </row>
        <row r="151">
          <cell r="A151" t="str">
            <v>D-SCOM_SOLELC</v>
          </cell>
          <cell r="B151" t="str">
            <v>VAR_fout</v>
          </cell>
          <cell r="C151" t="str">
            <v>SCOM_ELC</v>
          </cell>
          <cell r="D151">
            <v>2.4083025309791384</v>
          </cell>
          <cell r="E151">
            <v>1.6087538659395557</v>
          </cell>
          <cell r="F151">
            <v>3.1288010079377377</v>
          </cell>
          <cell r="G151">
            <v>3.5987490265532442</v>
          </cell>
          <cell r="H151">
            <v>10.274835417012149</v>
          </cell>
          <cell r="I151">
            <v>12.074828538110458</v>
          </cell>
          <cell r="J151">
            <v>12.551498304559564</v>
          </cell>
          <cell r="K151">
            <v>13.546162484954785</v>
          </cell>
          <cell r="L151">
            <v>14.192705482086618</v>
          </cell>
          <cell r="M151">
            <v>14.812182798944045</v>
          </cell>
          <cell r="N151">
            <v>15.95245088533011</v>
          </cell>
          <cell r="O151">
            <v>16.923442856341282</v>
          </cell>
        </row>
        <row r="152">
          <cell r="A152" t="str">
            <v>D-SCOM_SOLELC</v>
          </cell>
          <cell r="B152" t="str">
            <v>VAR_fin</v>
          </cell>
          <cell r="C152" t="str">
            <v>SCOM_SOL_ELC</v>
          </cell>
          <cell r="D152">
            <v>2.8396236857719668</v>
          </cell>
          <cell r="E152">
            <v>3.294455050835158</v>
          </cell>
          <cell r="F152">
            <v>6.5885091559063023</v>
          </cell>
          <cell r="G152">
            <v>7.6102091010761983</v>
          </cell>
          <cell r="H152">
            <v>25.191065097893762</v>
          </cell>
          <cell r="I152">
            <v>27.726741289848672</v>
          </cell>
          <cell r="J152">
            <v>29.137585378142852</v>
          </cell>
          <cell r="K152">
            <v>30.224197767507722</v>
          </cell>
          <cell r="L152">
            <v>31.731987390576009</v>
          </cell>
          <cell r="M152">
            <v>33.305562569677974</v>
          </cell>
          <cell r="N152">
            <v>34.966776058415924</v>
          </cell>
          <cell r="O152">
            <v>36.6308701780248</v>
          </cell>
        </row>
        <row r="153">
          <cell r="A153" t="str">
            <v>D-ILFO</v>
          </cell>
          <cell r="B153" t="str">
            <v>VAR_fout</v>
          </cell>
          <cell r="C153" t="str">
            <v>CO2</v>
          </cell>
          <cell r="D153">
            <v>688.800578015062</v>
          </cell>
          <cell r="E153">
            <v>659.57567850091402</v>
          </cell>
          <cell r="F153">
            <v>602.32294676413301</v>
          </cell>
          <cell r="G153">
            <v>426.82870191748498</v>
          </cell>
          <cell r="H153">
            <v>304.69368556673498</v>
          </cell>
          <cell r="I153">
            <v>160.07376534478999</v>
          </cell>
          <cell r="J153">
            <v>27.089267574446598</v>
          </cell>
          <cell r="L153">
            <v>1.5716629759370399E-2</v>
          </cell>
          <cell r="M153">
            <v>3.930546594212E-3</v>
          </cell>
          <cell r="N153">
            <v>3.8509605060701398E-3</v>
          </cell>
          <cell r="O153">
            <v>2.0064697920899998E-3</v>
          </cell>
        </row>
        <row r="154">
          <cell r="A154" t="str">
            <v>D-ILFO</v>
          </cell>
          <cell r="B154" t="str">
            <v>VAR_fout</v>
          </cell>
          <cell r="C154" t="str">
            <v>ILFO</v>
          </cell>
          <cell r="D154">
            <v>9.1899159516577651</v>
          </cell>
          <cell r="E154">
            <v>8.7999999457731146</v>
          </cell>
          <cell r="F154">
            <v>8.0361615318662807</v>
          </cell>
          <cell r="G154">
            <v>7.1182795961633021</v>
          </cell>
          <cell r="H154">
            <v>5.4887658211176511</v>
          </cell>
          <cell r="I154">
            <v>3.5592555436738813</v>
          </cell>
          <cell r="J154">
            <v>1.7849884613434388</v>
          </cell>
          <cell r="K154">
            <v>1.4235669954486938</v>
          </cell>
          <cell r="L154">
            <v>1.4237797899312832</v>
          </cell>
          <cell r="M154">
            <v>1.4236230550811981</v>
          </cell>
          <cell r="N154">
            <v>1.4236220721501558</v>
          </cell>
          <cell r="O154">
            <v>1.4235992761483247</v>
          </cell>
        </row>
        <row r="155">
          <cell r="A155" t="str">
            <v>D-ILFO</v>
          </cell>
          <cell r="B155" t="str">
            <v>VAR_fin</v>
          </cell>
          <cell r="C155" t="str">
            <v>LFO</v>
          </cell>
          <cell r="D155">
            <v>9.3460051291053308</v>
          </cell>
          <cell r="E155">
            <v>8.9494664654126748</v>
          </cell>
          <cell r="F155">
            <v>8.1726315707480648</v>
          </cell>
          <cell r="G155">
            <v>5.791434218690438</v>
          </cell>
          <cell r="H155">
            <v>4.1342426806884056</v>
          </cell>
          <cell r="I155">
            <v>2.1719642516253708</v>
          </cell>
          <cell r="J155">
            <v>0.36756129680388866</v>
          </cell>
          <cell r="L155">
            <v>2.1325142142972035E-4</v>
          </cell>
          <cell r="M155">
            <v>5.3331704127706955E-5</v>
          </cell>
          <cell r="N155">
            <v>5.2251838616962628E-5</v>
          </cell>
          <cell r="O155">
            <v>2.7224827572455892E-5</v>
          </cell>
        </row>
        <row r="156">
          <cell r="A156" t="str">
            <v>D-ILFO</v>
          </cell>
          <cell r="B156" t="str">
            <v>VAR_fin</v>
          </cell>
          <cell r="C156" t="str">
            <v>BDS</v>
          </cell>
          <cell r="D156"/>
          <cell r="E156"/>
          <cell r="F156">
            <v>2.2813712632877401E-5</v>
          </cell>
          <cell r="G156">
            <v>1.4477481597020092</v>
          </cell>
          <cell r="H156">
            <v>1.4477489051399661</v>
          </cell>
          <cell r="I156">
            <v>1.4477489631645872</v>
          </cell>
          <cell r="J156">
            <v>1.4477491382711074</v>
          </cell>
          <cell r="K156">
            <v>1.4477492255449924</v>
          </cell>
          <cell r="L156">
            <v>1.4477491988786608</v>
          </cell>
          <cell r="M156">
            <v>1.4477497216308002</v>
          </cell>
          <cell r="N156">
            <v>1.4477498018703483</v>
          </cell>
          <cell r="O156">
            <v>1.4477513377255986</v>
          </cell>
        </row>
        <row r="157">
          <cell r="A157" t="str">
            <v>RHEM-SHSTG-NGAHP</v>
          </cell>
          <cell r="B157" t="str">
            <v>VAR_fout</v>
          </cell>
          <cell r="C157" t="str">
            <v>RHEM-SHANGAH</v>
          </cell>
          <cell r="D157"/>
          <cell r="E157"/>
          <cell r="F157">
            <v>1.9789899629384686E-5</v>
          </cell>
          <cell r="G157">
            <v>4.197805443764164E-5</v>
          </cell>
          <cell r="H157">
            <v>8.6766770197491128E-2</v>
          </cell>
          <cell r="I157">
            <v>6.9948730835885861E-2</v>
          </cell>
          <cell r="J157">
            <v>7.8592873702600499E-2</v>
          </cell>
          <cell r="K157">
            <v>0.52883989243667084</v>
          </cell>
          <cell r="L157">
            <v>0.7095244778358003</v>
          </cell>
          <cell r="M157">
            <v>0.69176716638436253</v>
          </cell>
          <cell r="N157">
            <v>0.6076472072781629</v>
          </cell>
          <cell r="O157">
            <v>0.56608701271356543</v>
          </cell>
        </row>
        <row r="158">
          <cell r="A158" t="str">
            <v>RHEM-SHSTG-NGAHP</v>
          </cell>
          <cell r="B158" t="str">
            <v>VAR_fin</v>
          </cell>
          <cell r="C158" t="str">
            <v>RHEM-SHANGAH</v>
          </cell>
          <cell r="D158"/>
          <cell r="E158"/>
          <cell r="F158">
            <v>2.0147697785753101E-5</v>
          </cell>
          <cell r="G158">
            <v>4.1431379315407416E-5</v>
          </cell>
          <cell r="H158">
            <v>8.6773495376690934E-2</v>
          </cell>
          <cell r="I158">
            <v>6.9955034895770055E-2</v>
          </cell>
          <cell r="J158">
            <v>7.8600721338782709E-2</v>
          </cell>
          <cell r="K158">
            <v>0.52886412541157457</v>
          </cell>
          <cell r="L158">
            <v>0.70954881120677804</v>
          </cell>
          <cell r="M158">
            <v>0.69179786586092751</v>
          </cell>
          <cell r="N158">
            <v>0.60767354424794473</v>
          </cell>
          <cell r="O158">
            <v>0.56612552578513142</v>
          </cell>
        </row>
        <row r="159">
          <cell r="A159" t="str">
            <v>RHEM-SHSTG-NGAHP</v>
          </cell>
          <cell r="B159" t="str">
            <v>VAR_ncap</v>
          </cell>
          <cell r="C159" t="str">
            <v>-</v>
          </cell>
          <cell r="D159">
            <v>3.8767829891916301E-6</v>
          </cell>
          <cell r="E159">
            <v>1.5535820310650301E-6</v>
          </cell>
          <cell r="F159">
            <v>9.4988056274964407E-6</v>
          </cell>
          <cell r="G159">
            <v>8.5862355323280404E-6</v>
          </cell>
          <cell r="H159">
            <v>1.32759355722981E-2</v>
          </cell>
          <cell r="I159">
            <v>6.5269265205989498E-4</v>
          </cell>
          <cell r="J159">
            <v>4.0243948705666998E-5</v>
          </cell>
          <cell r="K159">
            <v>7.9833046293616997E-2</v>
          </cell>
          <cell r="L159">
            <v>1.3557774017421701E-4</v>
          </cell>
          <cell r="M159">
            <v>1.4739331073739101E-4</v>
          </cell>
          <cell r="N159">
            <v>6.6230429749159297E-2</v>
          </cell>
          <cell r="O159">
            <v>1.4193377475757401E-2</v>
          </cell>
        </row>
        <row r="160">
          <cell r="A160" t="str">
            <v>RHEM-SHSTG-NGAHP</v>
          </cell>
          <cell r="B160" t="str">
            <v>VAR_cap</v>
          </cell>
          <cell r="C160" t="str">
            <v>-</v>
          </cell>
          <cell r="D160">
            <v>3.8767829891916301E-6</v>
          </cell>
          <cell r="E160">
            <v>-1.1704775366500028E-7</v>
          </cell>
          <cell r="F160">
            <v>8.55273634662335E-6</v>
          </cell>
          <cell r="G160">
            <v>1.3544203351549041E-5</v>
          </cell>
          <cell r="H160">
            <v>1.3285599883473135E-2</v>
          </cell>
          <cell r="I160">
            <v>1.3926976232429174E-2</v>
          </cell>
          <cell r="J160">
            <v>1.392172867479928E-2</v>
          </cell>
          <cell r="K160">
            <v>8.0484305001595174E-2</v>
          </cell>
          <cell r="L160">
            <v>8.0041755851057356E-2</v>
          </cell>
          <cell r="M160">
            <v>7.9950200274557653E-2</v>
          </cell>
          <cell r="N160">
            <v>8.0483863218148252E-2</v>
          </cell>
          <cell r="O160">
            <v>8.0485788896820648E-2</v>
          </cell>
        </row>
        <row r="161">
          <cell r="A161" t="str">
            <v>RHEM-SHCONBR4</v>
          </cell>
          <cell r="B161" t="str">
            <v>VAR_fout</v>
          </cell>
          <cell r="C161" t="str">
            <v>RHEM-SHCON</v>
          </cell>
          <cell r="D161">
            <v>2.6162515184500242E-5</v>
          </cell>
          <cell r="E161">
            <v>0.53696422343690964</v>
          </cell>
          <cell r="F161">
            <v>0.53691188444461824</v>
          </cell>
          <cell r="G161">
            <v>0.53693120832437935</v>
          </cell>
          <cell r="H161">
            <v>0.53692926355543535</v>
          </cell>
          <cell r="I161">
            <v>0.53693796491388923</v>
          </cell>
          <cell r="J161">
            <v>0.53692935752739823</v>
          </cell>
          <cell r="K161">
            <v>0.36236178962105614</v>
          </cell>
          <cell r="L161">
            <v>7.4277346262783997E-5</v>
          </cell>
          <cell r="M161">
            <v>8.3603639718843957E-5</v>
          </cell>
          <cell r="N161">
            <v>9.2186775263276754E-5</v>
          </cell>
          <cell r="O161">
            <v>9.4826377651683122E-5</v>
          </cell>
        </row>
        <row r="162">
          <cell r="A162" t="str">
            <v>RHEM-SHCONBR4</v>
          </cell>
          <cell r="B162" t="str">
            <v>VAR_fin</v>
          </cell>
          <cell r="C162" t="str">
            <v>CON</v>
          </cell>
          <cell r="D162">
            <v>2.6162515184500242E-5</v>
          </cell>
          <cell r="E162">
            <v>0.53696422343690964</v>
          </cell>
          <cell r="F162">
            <v>0.53691188444461824</v>
          </cell>
          <cell r="G162">
            <v>0.53693120832437935</v>
          </cell>
          <cell r="H162">
            <v>0.53692926355543535</v>
          </cell>
          <cell r="I162">
            <v>0.53693796491388923</v>
          </cell>
          <cell r="J162">
            <v>0.53692935752739823</v>
          </cell>
          <cell r="K162">
            <v>0.36236178962105614</v>
          </cell>
          <cell r="L162">
            <v>7.4277346262783997E-5</v>
          </cell>
          <cell r="M162">
            <v>8.3603639718843957E-5</v>
          </cell>
          <cell r="N162">
            <v>9.2186775263276754E-5</v>
          </cell>
          <cell r="O162">
            <v>9.4826377651683122E-5</v>
          </cell>
        </row>
        <row r="163">
          <cell r="A163" t="str">
            <v>RHEM-SHCONBR4</v>
          </cell>
          <cell r="B163" t="str">
            <v>VAR_ncap</v>
          </cell>
          <cell r="C163" t="str">
            <v>-</v>
          </cell>
          <cell r="D163">
            <v>1.8674481332074499E-7</v>
          </cell>
          <cell r="E163">
            <v>3.7915893247194798E-2</v>
          </cell>
          <cell r="F163"/>
          <cell r="G163"/>
          <cell r="H163"/>
          <cell r="I163">
            <v>1.4101461891073901E-8</v>
          </cell>
          <cell r="J163"/>
          <cell r="K163">
            <v>6.3436148032209097E-8</v>
          </cell>
          <cell r="L163">
            <v>4.9057007713719498E-6</v>
          </cell>
          <cell r="M163">
            <v>3.63032000254123E-8</v>
          </cell>
          <cell r="N163">
            <v>1.24580699160332E-6</v>
          </cell>
        </row>
        <row r="164">
          <cell r="A164" t="str">
            <v>RHEM-SHCONBR4</v>
          </cell>
          <cell r="B164" t="str">
            <v>VAR_cap</v>
          </cell>
          <cell r="C164" t="str">
            <v>-</v>
          </cell>
          <cell r="D164">
            <v>1.8674481332074499E-7</v>
          </cell>
          <cell r="E164">
            <v>3.7916079992008099E-2</v>
          </cell>
          <cell r="F164">
            <v>3.7916079992008099E-2</v>
          </cell>
          <cell r="G164">
            <v>3.7916079992008099E-2</v>
          </cell>
          <cell r="H164">
            <v>3.7916079992008099E-2</v>
          </cell>
          <cell r="I164">
            <v>3.791609409347E-2</v>
          </cell>
          <cell r="J164">
            <v>3.791609409347E-2</v>
          </cell>
          <cell r="K164">
            <v>2.5588168534631001E-2</v>
          </cell>
          <cell r="L164">
            <v>4.9832383812952301E-6</v>
          </cell>
          <cell r="M164">
            <v>5.01954158132064E-6</v>
          </cell>
          <cell r="N164">
            <v>6.2631409894913796E-6</v>
          </cell>
          <cell r="O164">
            <v>6.2512471110328902E-6</v>
          </cell>
        </row>
        <row r="165">
          <cell r="A165" t="str">
            <v>RHNM-SHCONBR</v>
          </cell>
          <cell r="B165" t="str">
            <v>VAR_fout</v>
          </cell>
          <cell r="C165" t="str">
            <v>RHNM-SHCON</v>
          </cell>
          <cell r="D165"/>
          <cell r="E165"/>
          <cell r="F165">
            <v>3.4083469614841642E-5</v>
          </cell>
          <cell r="G165">
            <v>2.6581410720437534E-5</v>
          </cell>
          <cell r="H165">
            <v>4.3199277106125817E-5</v>
          </cell>
          <cell r="I165">
            <v>4.8225556374904149E-5</v>
          </cell>
          <cell r="J165">
            <v>4.9723564412951101E-5</v>
          </cell>
          <cell r="K165">
            <v>5.8938777120974719E-5</v>
          </cell>
          <cell r="L165">
            <v>5.3276323321637261E-5</v>
          </cell>
          <cell r="M165">
            <v>8.6743056628212054E-5</v>
          </cell>
          <cell r="N165">
            <v>4.8041161075695535E-4</v>
          </cell>
          <cell r="O165">
            <v>1.322357118288102</v>
          </cell>
        </row>
        <row r="166">
          <cell r="A166" t="str">
            <v>RHNM-SHCONBR</v>
          </cell>
          <cell r="B166" t="str">
            <v>VAR_fin</v>
          </cell>
          <cell r="C166" t="str">
            <v>CON</v>
          </cell>
          <cell r="D166"/>
          <cell r="E166"/>
          <cell r="F166">
            <v>3.4083469614841642E-5</v>
          </cell>
          <cell r="G166">
            <v>2.6581410720437534E-5</v>
          </cell>
          <cell r="H166">
            <v>4.3199277106125817E-5</v>
          </cell>
          <cell r="I166">
            <v>4.8225556374904149E-5</v>
          </cell>
          <cell r="J166">
            <v>4.9723564412951101E-5</v>
          </cell>
          <cell r="K166">
            <v>5.8938777120974719E-5</v>
          </cell>
          <cell r="L166">
            <v>5.3276323321637261E-5</v>
          </cell>
          <cell r="M166">
            <v>8.6743056628212054E-5</v>
          </cell>
          <cell r="N166">
            <v>4.8041161075695535E-4</v>
          </cell>
          <cell r="O166">
            <v>1.322357118288102</v>
          </cell>
        </row>
        <row r="167">
          <cell r="A167" t="str">
            <v>RHNM-SHCONBR</v>
          </cell>
          <cell r="B167" t="str">
            <v>VAR_ncap</v>
          </cell>
          <cell r="C167" t="str">
            <v>-</v>
          </cell>
          <cell r="D167"/>
          <cell r="E167"/>
          <cell r="F167">
            <v>1.7757827822672999E-6</v>
          </cell>
          <cell r="G167">
            <v>3.2663334443257099E-8</v>
          </cell>
          <cell r="H167">
            <v>1.0214159792519901E-6</v>
          </cell>
          <cell r="I167">
            <v>1.01707840222734E-7</v>
          </cell>
          <cell r="J167">
            <v>2.15872408431213E-7</v>
          </cell>
          <cell r="K167">
            <v>4.0153890221235801E-7</v>
          </cell>
          <cell r="L167">
            <v>1.6375330191451E-7</v>
          </cell>
          <cell r="M167">
            <v>1.9973144099842099E-6</v>
          </cell>
          <cell r="N167">
            <v>3.5813975484540899E-5</v>
          </cell>
          <cell r="O167">
            <v>0.22752043562428001</v>
          </cell>
        </row>
        <row r="168">
          <cell r="A168" t="str">
            <v>RHNM-SHCONBR</v>
          </cell>
          <cell r="B168" t="str">
            <v>VAR_cap</v>
          </cell>
          <cell r="C168" t="str">
            <v>-</v>
          </cell>
          <cell r="D168"/>
          <cell r="E168"/>
          <cell r="F168">
            <v>1.7757827822672999E-6</v>
          </cell>
          <cell r="G168">
            <v>1.80844611671056E-6</v>
          </cell>
          <cell r="H168">
            <v>2.8298620959625501E-6</v>
          </cell>
          <cell r="I168">
            <v>2.9315699361852798E-6</v>
          </cell>
          <cell r="J168">
            <v>3.1474423446164901E-6</v>
          </cell>
          <cell r="K168">
            <v>3.4704681785763471E-6</v>
          </cell>
          <cell r="L168">
            <v>3.7127345487433599E-6</v>
          </cell>
          <cell r="M168">
            <v>5.6014900837706384E-6</v>
          </cell>
          <cell r="N168">
            <v>4.1426762717761033E-5</v>
          </cell>
          <cell r="O168">
            <v>0.227561959648723</v>
          </cell>
        </row>
        <row r="169">
          <cell r="A169" t="str">
            <v>RHEM-SHCONBR5</v>
          </cell>
          <cell r="B169" t="str">
            <v>VAR_fout</v>
          </cell>
          <cell r="C169" t="str">
            <v>RHEM-SHCON</v>
          </cell>
          <cell r="D169">
            <v>2.4262763502592284E-5</v>
          </cell>
          <cell r="E169">
            <v>1.7952404035752999E-3</v>
          </cell>
          <cell r="F169">
            <v>1.7937949739159926E-3</v>
          </cell>
          <cell r="G169">
            <v>1.7859246056391121E-3</v>
          </cell>
          <cell r="H169">
            <v>1.7900785203289608E-3</v>
          </cell>
          <cell r="I169">
            <v>1.7895728485875764E-3</v>
          </cell>
          <cell r="J169">
            <v>1.7916619934223142E-3</v>
          </cell>
          <cell r="K169">
            <v>1.2115510911906114E-3</v>
          </cell>
          <cell r="L169">
            <v>6.4464554791127506E-5</v>
          </cell>
          <cell r="M169">
            <v>7.3796340556757582E-5</v>
          </cell>
          <cell r="N169">
            <v>8.2603443262932783E-5</v>
          </cell>
          <cell r="O169">
            <v>8.5433956499921388E-5</v>
          </cell>
        </row>
        <row r="170">
          <cell r="A170" t="str">
            <v>RHEM-SHCONBR5</v>
          </cell>
          <cell r="B170" t="str">
            <v>VAR_fin</v>
          </cell>
          <cell r="C170" t="str">
            <v>CON</v>
          </cell>
          <cell r="D170">
            <v>2.4262763502592284E-5</v>
          </cell>
          <cell r="E170">
            <v>1.7952404035752999E-3</v>
          </cell>
          <cell r="F170">
            <v>1.7937949739159926E-3</v>
          </cell>
          <cell r="G170">
            <v>1.7859246056391121E-3</v>
          </cell>
          <cell r="H170">
            <v>1.7900785203289608E-3</v>
          </cell>
          <cell r="I170">
            <v>1.7895728485875764E-3</v>
          </cell>
          <cell r="J170">
            <v>1.7916619934223142E-3</v>
          </cell>
          <cell r="K170">
            <v>1.2115510911906114E-3</v>
          </cell>
          <cell r="L170">
            <v>6.4464554791127506E-5</v>
          </cell>
          <cell r="M170">
            <v>7.3796340556757582E-5</v>
          </cell>
          <cell r="N170">
            <v>8.2603443262932783E-5</v>
          </cell>
          <cell r="O170">
            <v>8.5433956499921388E-5</v>
          </cell>
        </row>
        <row r="171">
          <cell r="A171" t="str">
            <v>RHEM-SHCONBR5</v>
          </cell>
          <cell r="B171" t="str">
            <v>VAR_ncap</v>
          </cell>
          <cell r="C171" t="str">
            <v>-</v>
          </cell>
          <cell r="D171">
            <v>5.1763651052628603E-8</v>
          </cell>
          <cell r="E171">
            <v>1.2584559386318801E-4</v>
          </cell>
          <cell r="F171"/>
          <cell r="G171"/>
          <cell r="H171"/>
          <cell r="I171">
            <v>1.2665753871255599E-8</v>
          </cell>
          <cell r="J171"/>
          <cell r="K171">
            <v>6.0062976041831204E-8</v>
          </cell>
          <cell r="L171">
            <v>4.2188354904597E-6</v>
          </cell>
          <cell r="M171">
            <v>3.6044349182756097E-8</v>
          </cell>
          <cell r="N171">
            <v>1.26083839482708E-6</v>
          </cell>
        </row>
        <row r="172">
          <cell r="A172" t="str">
            <v>RHEM-SHCONBR5</v>
          </cell>
          <cell r="B172" t="str">
            <v>VAR_cap</v>
          </cell>
          <cell r="C172" t="str">
            <v>-</v>
          </cell>
          <cell r="D172">
            <v>5.1763651052628603E-8</v>
          </cell>
          <cell r="E172">
            <v>1.2589735751424001E-4</v>
          </cell>
          <cell r="F172">
            <v>1.2589735751424001E-4</v>
          </cell>
          <cell r="G172">
            <v>1.2589735751424001E-4</v>
          </cell>
          <cell r="H172">
            <v>1.2589735751424001E-4</v>
          </cell>
          <cell r="I172">
            <v>1.2591002326811101E-4</v>
          </cell>
          <cell r="J172">
            <v>1.2591002326811101E-4</v>
          </cell>
          <cell r="K172">
            <v>8.5018925287420405E-5</v>
          </cell>
          <cell r="L172">
            <v>4.2915642203727901E-6</v>
          </cell>
          <cell r="M172">
            <v>4.32760856955554E-6</v>
          </cell>
          <cell r="N172">
            <v>5.5864641409971201E-6</v>
          </cell>
          <cell r="O172">
            <v>5.57578121051136E-6</v>
          </cell>
        </row>
        <row r="173">
          <cell r="A173" t="str">
            <v>ITOT-SWHNGABR</v>
          </cell>
          <cell r="B173" t="str">
            <v>VAR_fout</v>
          </cell>
          <cell r="C173" t="str">
            <v>ITOT-SWH</v>
          </cell>
          <cell r="D173">
            <v>28.619769181113579</v>
          </cell>
          <cell r="E173">
            <v>24.047413296108012</v>
          </cell>
          <cell r="F173">
            <v>27.793116302582302</v>
          </cell>
          <cell r="G173">
            <v>20.661303478055881</v>
          </cell>
          <cell r="H173">
            <v>10.687636266317915</v>
          </cell>
          <cell r="I173">
            <v>11.66003893623</v>
          </cell>
          <cell r="J173">
            <v>7.9578279431894368</v>
          </cell>
          <cell r="K173">
            <v>0.94176583734548891</v>
          </cell>
          <cell r="L173">
            <v>0.40964543761811467</v>
          </cell>
          <cell r="M173">
            <v>0.87916012859333803</v>
          </cell>
          <cell r="N173">
            <v>0.44693182278281174</v>
          </cell>
          <cell r="O173">
            <v>0.41097520047244185</v>
          </cell>
        </row>
        <row r="174">
          <cell r="A174" t="str">
            <v>ITOT-SWHNGABR</v>
          </cell>
          <cell r="B174" t="str">
            <v>VAR_fout</v>
          </cell>
          <cell r="C174" t="str">
            <v>CO2_I</v>
          </cell>
          <cell r="D174">
            <v>2005.1531707573999</v>
          </cell>
          <cell r="E174">
            <v>1683.3321573550299</v>
          </cell>
          <cell r="F174">
            <v>1942.98460154913</v>
          </cell>
          <cell r="G174">
            <v>1441.2608469034701</v>
          </cell>
          <cell r="H174">
            <v>743.91164415313801</v>
          </cell>
          <cell r="I174">
            <v>809.83504096564002</v>
          </cell>
          <cell r="J174">
            <v>551.50572444734098</v>
          </cell>
          <cell r="K174">
            <v>65.126743462279407</v>
          </cell>
          <cell r="L174">
            <v>28.328563500929899</v>
          </cell>
          <cell r="M174">
            <v>60.797317004564597</v>
          </cell>
          <cell r="N174">
            <v>30.907060984021498</v>
          </cell>
          <cell r="O174">
            <v>28.420521736029599</v>
          </cell>
        </row>
        <row r="175">
          <cell r="A175" t="str">
            <v>ITOT-SWHNGABR</v>
          </cell>
          <cell r="B175" t="str">
            <v>VAR_fin</v>
          </cell>
          <cell r="C175" t="str">
            <v>INGA</v>
          </cell>
          <cell r="D175">
            <v>35.552361183641736</v>
          </cell>
          <cell r="E175">
            <v>29.846314846720301</v>
          </cell>
          <cell r="F175">
            <v>34.450081587750567</v>
          </cell>
          <cell r="G175">
            <v>25.554270335167946</v>
          </cell>
          <cell r="H175">
            <v>13.189922768672659</v>
          </cell>
          <cell r="I175">
            <v>14.358777322085814</v>
          </cell>
          <cell r="J175">
            <v>9.7784702916195112</v>
          </cell>
          <cell r="K175">
            <v>1.1547294940120452</v>
          </cell>
          <cell r="L175">
            <v>0.50227949469733935</v>
          </cell>
          <cell r="M175">
            <v>1.0779666135561103</v>
          </cell>
          <cell r="N175">
            <v>0.54799753517768679</v>
          </cell>
          <cell r="O175">
            <v>0.50390995985868114</v>
          </cell>
        </row>
        <row r="176">
          <cell r="A176" t="str">
            <v>ITOT-SWHNGABR</v>
          </cell>
          <cell r="B176" t="str">
            <v>VAR_ncap</v>
          </cell>
          <cell r="C176" t="str">
            <v>-</v>
          </cell>
          <cell r="D176"/>
          <cell r="E176">
            <v>5.6101740212191204E-6</v>
          </cell>
          <cell r="F176">
            <v>4.7753788563028901E-6</v>
          </cell>
          <cell r="G176">
            <v>5.1640077162607003E-6</v>
          </cell>
          <cell r="H176">
            <v>0.40301026441289101</v>
          </cell>
          <cell r="I176">
            <v>0.28314227099533701</v>
          </cell>
          <cell r="J176">
            <v>4.8365045720633304E-6</v>
          </cell>
          <cell r="K176">
            <v>3.3303085831458202E-5</v>
          </cell>
          <cell r="L176">
            <v>1.8095130220462802E-2</v>
          </cell>
          <cell r="M176">
            <v>3.3461047350666601E-2</v>
          </cell>
          <cell r="N176">
            <v>5.1225259330472403E-6</v>
          </cell>
          <cell r="O176">
            <v>2.4389146766267701E-5</v>
          </cell>
        </row>
        <row r="177">
          <cell r="A177" t="str">
            <v>ITOT-SWHNGABR</v>
          </cell>
          <cell r="B177" t="str">
            <v>VAR_cap</v>
          </cell>
          <cell r="C177" t="str">
            <v>-</v>
          </cell>
          <cell r="D177">
            <v>1.556581895256</v>
          </cell>
          <cell r="E177">
            <v>1.5565827815336739</v>
          </cell>
          <cell r="F177">
            <v>1.5565816965959407</v>
          </cell>
          <cell r="G177">
            <v>1.4243101857228628</v>
          </cell>
          <cell r="H177">
            <v>0.77237964479022692</v>
          </cell>
          <cell r="I177">
            <v>0.68615388316580117</v>
          </cell>
          <cell r="J177">
            <v>0.61072216999280049</v>
          </cell>
          <cell r="K177">
            <v>8.7315517613513E-2</v>
          </cell>
          <cell r="L177">
            <v>3.1533922053323803E-2</v>
          </cell>
          <cell r="M177">
            <v>5.1582972630949797E-2</v>
          </cell>
          <cell r="N177">
            <v>4.4951292451618205E-2</v>
          </cell>
          <cell r="O177">
            <v>3.3426408686212231E-2</v>
          </cell>
        </row>
        <row r="178">
          <cell r="A178" t="str">
            <v>RHNM-SHSOLBR</v>
          </cell>
          <cell r="B178" t="str">
            <v>VAR_fout</v>
          </cell>
          <cell r="C178" t="str">
            <v>RHNM-SHASOL</v>
          </cell>
          <cell r="D178"/>
          <cell r="E178">
            <v>2.153770240451857E-2</v>
          </cell>
          <cell r="F178">
            <v>2.0723471136525926E-2</v>
          </cell>
          <cell r="G178">
            <v>2.2332414801138619E-2</v>
          </cell>
          <cell r="H178">
            <v>1.2796822179725645E-2</v>
          </cell>
          <cell r="I178">
            <v>1.5983497320838955E-3</v>
          </cell>
          <cell r="J178">
            <v>1.0205394348614335E-3</v>
          </cell>
          <cell r="K178">
            <v>3.816339826230459E-4</v>
          </cell>
          <cell r="L178">
            <v>2.3485072655666351E-4</v>
          </cell>
          <cell r="M178">
            <v>1.6994788209467992E-2</v>
          </cell>
          <cell r="N178">
            <v>3.4602801123786292E-4</v>
          </cell>
          <cell r="O178">
            <v>5.4470300191273907E-4</v>
          </cell>
        </row>
        <row r="179">
          <cell r="A179" t="str">
            <v>RHNM-SHSOLBR</v>
          </cell>
          <cell r="B179" t="str">
            <v>VAR_fin</v>
          </cell>
          <cell r="C179" t="str">
            <v>SOL</v>
          </cell>
          <cell r="D179"/>
          <cell r="E179">
            <v>2.153770240451857E-2</v>
          </cell>
          <cell r="F179">
            <v>2.0723471136525926E-2</v>
          </cell>
          <cell r="G179">
            <v>2.2332414801138619E-2</v>
          </cell>
          <cell r="H179">
            <v>1.2796822179725645E-2</v>
          </cell>
          <cell r="I179">
            <v>1.5983497320838955E-3</v>
          </cell>
          <cell r="J179">
            <v>1.0205394348614335E-3</v>
          </cell>
          <cell r="K179">
            <v>3.816339826230459E-4</v>
          </cell>
          <cell r="L179">
            <v>2.3485072655666351E-4</v>
          </cell>
          <cell r="M179">
            <v>1.6994788209467992E-2</v>
          </cell>
          <cell r="N179">
            <v>3.4602801123786292E-4</v>
          </cell>
          <cell r="O179">
            <v>5.4470300191273907E-4</v>
          </cell>
        </row>
        <row r="180">
          <cell r="A180" t="str">
            <v>RHNM-SHSOLBR</v>
          </cell>
          <cell r="B180" t="str">
            <v>VAR_ncap</v>
          </cell>
          <cell r="C180" t="str">
            <v>-</v>
          </cell>
          <cell r="D180"/>
          <cell r="E180">
            <v>3.1399787249778099E-3</v>
          </cell>
          <cell r="F180">
            <v>1.8821512550584599E-6</v>
          </cell>
          <cell r="G180">
            <v>1.20633023280017E-4</v>
          </cell>
          <cell r="H180">
            <v>1.54375350317775E-4</v>
          </cell>
          <cell r="I180">
            <v>1.72464336480668E-6</v>
          </cell>
          <cell r="J180">
            <v>1.3820256920533699E-6</v>
          </cell>
          <cell r="K180">
            <v>1.9826415038935499E-4</v>
          </cell>
          <cell r="L180">
            <v>1.5041463092585899E-6</v>
          </cell>
          <cell r="M180">
            <v>2.28498133676197E-3</v>
          </cell>
          <cell r="N180">
            <v>3.4886303308058E-7</v>
          </cell>
          <cell r="O180">
            <v>1.78939697644898E-3</v>
          </cell>
        </row>
        <row r="181">
          <cell r="A181" t="str">
            <v>RHNM-SHSOLBR</v>
          </cell>
          <cell r="B181" t="str">
            <v>VAR_cap</v>
          </cell>
          <cell r="C181" t="str">
            <v>-</v>
          </cell>
          <cell r="D181"/>
          <cell r="E181">
            <v>3.1399787249778099E-3</v>
          </cell>
          <cell r="F181">
            <v>3.1418608762328699E-3</v>
          </cell>
          <cell r="G181">
            <v>3.2624938995128899E-3</v>
          </cell>
          <cell r="H181">
            <v>1.88563915308891E-3</v>
          </cell>
          <cell r="I181">
            <v>2.5417820914542399E-4</v>
          </cell>
          <cell r="J181">
            <v>1.57482019374635E-4</v>
          </cell>
          <cell r="K181">
            <v>2.0137081944621499E-4</v>
          </cell>
          <cell r="L181">
            <v>2.0123220879031799E-4</v>
          </cell>
          <cell r="M181">
            <v>2.4847496334605801E-3</v>
          </cell>
          <cell r="N181">
            <v>2.3214744387626699E-3</v>
          </cell>
          <cell r="O181">
            <v>4.07472717624403E-3</v>
          </cell>
        </row>
        <row r="182">
          <cell r="A182" t="str">
            <v>RHEM-SHPLTBR</v>
          </cell>
          <cell r="B182" t="str">
            <v>VAR_fout</v>
          </cell>
          <cell r="C182" t="str">
            <v>RHEM-SHPLT</v>
          </cell>
          <cell r="D182">
            <v>1.4011279648567809</v>
          </cell>
          <cell r="E182">
            <v>1.6077979459708776</v>
          </cell>
          <cell r="F182">
            <v>1.60779833408328</v>
          </cell>
          <cell r="G182">
            <v>1.6077977756647093</v>
          </cell>
          <cell r="H182">
            <v>1.6077980116442125</v>
          </cell>
          <cell r="I182">
            <v>1.6077982803850972</v>
          </cell>
          <cell r="J182">
            <v>1.6077990367665127</v>
          </cell>
          <cell r="K182">
            <v>1.6077994095822312</v>
          </cell>
          <cell r="L182">
            <v>1.6077992059881545</v>
          </cell>
          <cell r="M182">
            <v>1.6077999418370208</v>
          </cell>
          <cell r="N182">
            <v>1.6078052725805849</v>
          </cell>
          <cell r="O182">
            <v>1.6078067348887983</v>
          </cell>
        </row>
        <row r="183">
          <cell r="A183" t="str">
            <v>RHEM-SHPLTBR</v>
          </cell>
          <cell r="B183" t="str">
            <v>VAR_fin</v>
          </cell>
          <cell r="C183" t="str">
            <v>RHEMPLTBRC</v>
          </cell>
          <cell r="D183">
            <v>1.4011279648567809</v>
          </cell>
          <cell r="E183">
            <v>1.6077979459708776</v>
          </cell>
          <cell r="F183">
            <v>1.60779833408328</v>
          </cell>
          <cell r="G183">
            <v>1.6077977756647093</v>
          </cell>
          <cell r="H183">
            <v>1.6077980116442125</v>
          </cell>
          <cell r="I183">
            <v>1.6077982803850972</v>
          </cell>
          <cell r="J183">
            <v>1.6077990367665127</v>
          </cell>
          <cell r="K183">
            <v>1.6077994095822312</v>
          </cell>
          <cell r="L183">
            <v>1.6077992059881545</v>
          </cell>
          <cell r="M183">
            <v>1.6077999418370208</v>
          </cell>
          <cell r="N183">
            <v>1.6078052725805849</v>
          </cell>
          <cell r="O183">
            <v>1.6078067348887983</v>
          </cell>
        </row>
        <row r="184">
          <cell r="A184" t="str">
            <v>RHEM-SHPLTBR</v>
          </cell>
          <cell r="B184" t="str">
            <v>VAR_fin</v>
          </cell>
          <cell r="C184" t="str">
            <v>RPLT</v>
          </cell>
          <cell r="D184">
            <v>1.5568088498408674</v>
          </cell>
          <cell r="E184">
            <v>1.7864421621898636</v>
          </cell>
          <cell r="F184">
            <v>1.7864425934258661</v>
          </cell>
          <cell r="G184">
            <v>1.7864419729607872</v>
          </cell>
          <cell r="H184">
            <v>1.7864422351602345</v>
          </cell>
          <cell r="I184">
            <v>1.7864425337612213</v>
          </cell>
          <cell r="J184">
            <v>1.7864433741850143</v>
          </cell>
          <cell r="K184">
            <v>1.7864437884247011</v>
          </cell>
          <cell r="L184">
            <v>1.7864435622090622</v>
          </cell>
          <cell r="M184">
            <v>1.786444379818912</v>
          </cell>
          <cell r="N184">
            <v>1.7864503028673164</v>
          </cell>
          <cell r="O184">
            <v>1.7864519276542192</v>
          </cell>
        </row>
        <row r="185">
          <cell r="A185" t="str">
            <v>RHEM-SHPLTBR</v>
          </cell>
          <cell r="B185" t="str">
            <v>VAR_ncap</v>
          </cell>
          <cell r="C185" t="str">
            <v>-</v>
          </cell>
          <cell r="D185">
            <v>8.5212036906402898E-5</v>
          </cell>
          <cell r="E185">
            <v>1.4625096146076299E-2</v>
          </cell>
          <cell r="F185">
            <v>3.6422312757395501E-7</v>
          </cell>
          <cell r="G185">
            <v>3.9028775619284799E-4</v>
          </cell>
          <cell r="H185">
            <v>8.1044851768565795E-2</v>
          </cell>
          <cell r="I185">
            <v>3.2466394761355197E-2</v>
          </cell>
          <cell r="J185">
            <v>1.2037549901838199E-3</v>
          </cell>
          <cell r="K185">
            <v>8.0354506389130997E-2</v>
          </cell>
          <cell r="L185">
            <v>2.8113673849065501E-2</v>
          </cell>
          <cell r="M185">
            <v>5.6835197679288799E-3</v>
          </cell>
          <cell r="N185">
            <v>7.5362632822838199E-2</v>
          </cell>
          <cell r="O185">
            <v>4.0292459741228998E-2</v>
          </cell>
        </row>
        <row r="186">
          <cell r="A186" t="str">
            <v>RHEM-SHPLTBR</v>
          </cell>
          <cell r="B186" t="str">
            <v>VAR_cap</v>
          </cell>
          <cell r="C186" t="str">
            <v>-</v>
          </cell>
          <cell r="D186">
            <v>9.9784268157187009E-2</v>
          </cell>
          <cell r="E186">
            <v>0.11440934904800036</v>
          </cell>
          <cell r="F186">
            <v>0.11440960338497935</v>
          </cell>
          <cell r="G186">
            <v>0.11479982925196154</v>
          </cell>
          <cell r="H186">
            <v>0.114805803934874</v>
          </cell>
          <cell r="I186">
            <v>0.11382723920688646</v>
          </cell>
          <cell r="J186">
            <v>0.11471490402954684</v>
          </cell>
          <cell r="K186">
            <v>0.11402450026618219</v>
          </cell>
          <cell r="L186">
            <v>0.11450088485238563</v>
          </cell>
          <cell r="M186">
            <v>0.11415153443163772</v>
          </cell>
          <cell r="N186">
            <v>0.11447970241518844</v>
          </cell>
          <cell r="O186">
            <v>0.12133843033344503</v>
          </cell>
        </row>
        <row r="187">
          <cell r="A187" t="str">
            <v>RHEM-SHCONBR6</v>
          </cell>
          <cell r="B187" t="str">
            <v>VAR_fout</v>
          </cell>
          <cell r="C187" t="str">
            <v>RHEM-SHCON</v>
          </cell>
          <cell r="D187"/>
          <cell r="E187">
            <v>1.400784622058828E-4</v>
          </cell>
          <cell r="F187">
            <v>1.399501678345476E-4</v>
          </cell>
          <cell r="G187">
            <v>1.3092084046629199E-4</v>
          </cell>
          <cell r="H187">
            <v>1.3518449738090667E-4</v>
          </cell>
          <cell r="I187">
            <v>1.3463082412923396E-4</v>
          </cell>
          <cell r="J187">
            <v>1.3683564144558797E-4</v>
          </cell>
          <cell r="K187">
            <v>9.7888598182828244E-5</v>
          </cell>
          <cell r="L187">
            <v>4.4535127258476156E-5</v>
          </cell>
          <cell r="M187">
            <v>5.4027136853467086E-5</v>
          </cell>
          <cell r="N187">
            <v>6.1635931960668077E-5</v>
          </cell>
          <cell r="O187">
            <v>6.4991112115614767E-5</v>
          </cell>
        </row>
        <row r="188">
          <cell r="A188" t="str">
            <v>RHEM-SHCONBR6</v>
          </cell>
          <cell r="B188" t="str">
            <v>VAR_fin</v>
          </cell>
          <cell r="C188" t="str">
            <v>CON</v>
          </cell>
          <cell r="D188"/>
          <cell r="E188">
            <v>1.400784622058828E-4</v>
          </cell>
          <cell r="F188">
            <v>1.399501678345476E-4</v>
          </cell>
          <cell r="G188">
            <v>1.3092084046629199E-4</v>
          </cell>
          <cell r="H188">
            <v>1.3518449738090667E-4</v>
          </cell>
          <cell r="I188">
            <v>1.3463082412923396E-4</v>
          </cell>
          <cell r="J188">
            <v>1.3683564144558797E-4</v>
          </cell>
          <cell r="K188">
            <v>9.7888598182828244E-5</v>
          </cell>
          <cell r="L188">
            <v>4.4535127258476156E-5</v>
          </cell>
          <cell r="M188">
            <v>5.4027136853467086E-5</v>
          </cell>
          <cell r="N188">
            <v>6.1635931960668077E-5</v>
          </cell>
          <cell r="O188">
            <v>6.4991112115614767E-5</v>
          </cell>
        </row>
        <row r="189">
          <cell r="A189" t="str">
            <v>RHEM-SHCONBR6</v>
          </cell>
          <cell r="B189" t="str">
            <v>VAR_ncap</v>
          </cell>
          <cell r="C189" t="str">
            <v>-</v>
          </cell>
          <cell r="D189"/>
          <cell r="E189">
            <v>8.9732165497397593E-6</v>
          </cell>
          <cell r="F189"/>
          <cell r="G189"/>
          <cell r="H189"/>
          <cell r="I189">
            <v>1.3419860771116799E-8</v>
          </cell>
          <cell r="J189"/>
          <cell r="K189">
            <v>1.45157959099337E-7</v>
          </cell>
          <cell r="L189">
            <v>2.72685661682362E-6</v>
          </cell>
          <cell r="M189">
            <v>4.2163916747822002E-8</v>
          </cell>
          <cell r="N189">
            <v>1.1778552202376399E-6</v>
          </cell>
        </row>
        <row r="190">
          <cell r="A190" t="str">
            <v>RHEM-SHCONBR6</v>
          </cell>
          <cell r="B190" t="str">
            <v>VAR_cap</v>
          </cell>
          <cell r="C190" t="str">
            <v>-</v>
          </cell>
          <cell r="D190"/>
          <cell r="E190">
            <v>8.9732165497397593E-6</v>
          </cell>
          <cell r="F190">
            <v>8.9732165497397593E-6</v>
          </cell>
          <cell r="G190">
            <v>8.9732165497397593E-6</v>
          </cell>
          <cell r="H190">
            <v>8.9732165497397593E-6</v>
          </cell>
          <cell r="I190">
            <v>8.9866364105108704E-6</v>
          </cell>
          <cell r="J190">
            <v>8.9866364105108704E-6</v>
          </cell>
          <cell r="K190">
            <v>6.2142681790221497E-6</v>
          </cell>
          <cell r="L190">
            <v>2.8854344366940701E-6</v>
          </cell>
          <cell r="M190">
            <v>2.9275983534418899E-6</v>
          </cell>
          <cell r="N190">
            <v>4.1033526948816598E-6</v>
          </cell>
          <cell r="O190">
            <v>4.0920337129084202E-6</v>
          </cell>
        </row>
        <row r="191">
          <cell r="A191" t="str">
            <v>RHEM-SHCONBR7</v>
          </cell>
          <cell r="B191" t="str">
            <v>VAR_fout</v>
          </cell>
          <cell r="C191" t="str">
            <v>RHEM-SHCON</v>
          </cell>
          <cell r="D191"/>
          <cell r="E191">
            <v>5.3649059921305216E-5</v>
          </cell>
          <cell r="F191">
            <v>5.36748425848057E-5</v>
          </cell>
          <cell r="G191">
            <v>4.4563596372318045E-5</v>
          </cell>
          <cell r="H191">
            <v>4.8838040072357422E-5</v>
          </cell>
          <cell r="I191">
            <v>4.8228913609187489E-5</v>
          </cell>
          <cell r="J191">
            <v>5.0451593425991305E-5</v>
          </cell>
          <cell r="K191">
            <v>4.8537757988189948E-5</v>
          </cell>
          <cell r="L191">
            <v>2.8769750999800123E-5</v>
          </cell>
          <cell r="M191">
            <v>3.8315191370576383E-5</v>
          </cell>
          <cell r="N191">
            <v>4.3085186243164159E-5</v>
          </cell>
          <cell r="O191">
            <v>4.7323312476438978E-5</v>
          </cell>
        </row>
        <row r="192">
          <cell r="A192" t="str">
            <v>RHEM-SHCONBR7</v>
          </cell>
          <cell r="B192" t="str">
            <v>VAR_fin</v>
          </cell>
          <cell r="C192" t="str">
            <v>CON</v>
          </cell>
          <cell r="D192"/>
          <cell r="E192">
            <v>5.3649059921305216E-5</v>
          </cell>
          <cell r="F192">
            <v>5.36748425848057E-5</v>
          </cell>
          <cell r="G192">
            <v>4.4563596372318045E-5</v>
          </cell>
          <cell r="H192">
            <v>4.8838040072357422E-5</v>
          </cell>
          <cell r="I192">
            <v>4.8228913609187489E-5</v>
          </cell>
          <cell r="J192">
            <v>5.0451593425991305E-5</v>
          </cell>
          <cell r="K192">
            <v>4.8537757988189948E-5</v>
          </cell>
          <cell r="L192">
            <v>2.8769750999800123E-5</v>
          </cell>
          <cell r="M192">
            <v>3.8315191370576383E-5</v>
          </cell>
          <cell r="N192">
            <v>4.3085186243164159E-5</v>
          </cell>
          <cell r="O192">
            <v>4.7323312476438978E-5</v>
          </cell>
        </row>
        <row r="193">
          <cell r="A193" t="str">
            <v>RHEM-SHCONBR7</v>
          </cell>
          <cell r="B193" t="str">
            <v>VAR_ncap</v>
          </cell>
          <cell r="C193" t="str">
            <v>-</v>
          </cell>
          <cell r="D193"/>
          <cell r="E193">
            <v>2.8699129193792198E-6</v>
          </cell>
          <cell r="F193"/>
          <cell r="G193"/>
          <cell r="H193"/>
          <cell r="I193">
            <v>1.0307702338327E-8</v>
          </cell>
          <cell r="J193"/>
          <cell r="K193">
            <v>7.7943783239795696E-7</v>
          </cell>
          <cell r="L193">
            <v>9.8032045223439205E-7</v>
          </cell>
          <cell r="M193">
            <v>4.6276090344371997E-8</v>
          </cell>
          <cell r="N193">
            <v>9.7769833610679802E-7</v>
          </cell>
        </row>
        <row r="194">
          <cell r="A194" t="str">
            <v>RHEM-SHCONBR7</v>
          </cell>
          <cell r="B194" t="str">
            <v>VAR_cap</v>
          </cell>
          <cell r="C194" t="str">
            <v>-</v>
          </cell>
          <cell r="D194"/>
          <cell r="E194">
            <v>2.8699129193792198E-6</v>
          </cell>
          <cell r="F194">
            <v>2.8699129193792198E-6</v>
          </cell>
          <cell r="G194">
            <v>2.8699129193792198E-6</v>
          </cell>
          <cell r="H194">
            <v>2.8699129193792198E-6</v>
          </cell>
          <cell r="I194">
            <v>2.8802206217175399E-6</v>
          </cell>
          <cell r="J194">
            <v>2.8802206217175399E-6</v>
          </cell>
          <cell r="K194">
            <v>2.7265431034959101E-6</v>
          </cell>
          <cell r="L194">
            <v>1.7700659869706799E-6</v>
          </cell>
          <cell r="M194">
            <v>1.81634207731505E-6</v>
          </cell>
          <cell r="N194">
            <v>2.79242674293251E-6</v>
          </cell>
          <cell r="O194">
            <v>2.7837327110835199E-6</v>
          </cell>
        </row>
        <row r="195">
          <cell r="A195" t="str">
            <v>RHEM-SHCONBR8</v>
          </cell>
          <cell r="B195" t="str">
            <v>VAR_fout</v>
          </cell>
          <cell r="C195" t="str">
            <v>RHEM-SHCON</v>
          </cell>
          <cell r="D195"/>
          <cell r="E195">
            <v>1.7354929715747701E-5</v>
          </cell>
          <cell r="F195">
            <v>1.7578791022042515E-5</v>
          </cell>
          <cell r="G195">
            <v>8.6155584860797462E-6</v>
          </cell>
          <cell r="H195">
            <v>1.2890593482204965E-5</v>
          </cell>
          <cell r="I195">
            <v>1.2224808447083235E-5</v>
          </cell>
          <cell r="J195">
            <v>1.4413836859791392E-5</v>
          </cell>
          <cell r="K195">
            <v>1.8731966554384443E-5</v>
          </cell>
          <cell r="L195">
            <v>1.0377204769313023E-5</v>
          </cell>
          <cell r="M195">
            <v>1.98393834480674E-5</v>
          </cell>
          <cell r="N195">
            <v>1.70185099008624E-5</v>
          </cell>
          <cell r="O195">
            <v>2.492043144541377E-5</v>
          </cell>
        </row>
        <row r="196">
          <cell r="A196" t="str">
            <v>RHEM-SHCONBR8</v>
          </cell>
          <cell r="B196" t="str">
            <v>VAR_fin</v>
          </cell>
          <cell r="C196" t="str">
            <v>CON</v>
          </cell>
          <cell r="D196"/>
          <cell r="E196">
            <v>1.7354929715747701E-5</v>
          </cell>
          <cell r="F196">
            <v>1.7578791022042515E-5</v>
          </cell>
          <cell r="G196">
            <v>8.6155584860797462E-6</v>
          </cell>
          <cell r="H196">
            <v>1.2890593482204965E-5</v>
          </cell>
          <cell r="I196">
            <v>1.2224808447083235E-5</v>
          </cell>
          <cell r="J196">
            <v>1.4413836859791392E-5</v>
          </cell>
          <cell r="K196">
            <v>1.8731966554384443E-5</v>
          </cell>
          <cell r="L196">
            <v>1.0377204769313023E-5</v>
          </cell>
          <cell r="M196">
            <v>1.98393834480674E-5</v>
          </cell>
          <cell r="N196">
            <v>1.70185099008624E-5</v>
          </cell>
          <cell r="O196">
            <v>2.492043144541377E-5</v>
          </cell>
        </row>
        <row r="197">
          <cell r="A197" t="str">
            <v>RHEM-SHCONBR8</v>
          </cell>
          <cell r="B197" t="str">
            <v>VAR_ncap</v>
          </cell>
          <cell r="C197" t="str">
            <v>-</v>
          </cell>
          <cell r="D197"/>
          <cell r="E197">
            <v>3.0764918547226898E-7</v>
          </cell>
          <cell r="F197"/>
          <cell r="G197">
            <v>2.2193516141779301E-8</v>
          </cell>
          <cell r="H197"/>
          <cell r="I197"/>
          <cell r="J197"/>
          <cell r="K197">
            <v>3.8917420443799098E-7</v>
          </cell>
          <cell r="L197">
            <v>7.8413342380303498E-8</v>
          </cell>
          <cell r="M197">
            <v>3.7066215023977301E-8</v>
          </cell>
          <cell r="N197">
            <v>4.50147998767749E-7</v>
          </cell>
          <cell r="O197">
            <v>1.0773677423196699E-8</v>
          </cell>
        </row>
        <row r="198">
          <cell r="A198" t="str">
            <v>RHEM-SHCONBR8</v>
          </cell>
          <cell r="B198" t="str">
            <v>VAR_cap</v>
          </cell>
          <cell r="C198" t="str">
            <v>-</v>
          </cell>
          <cell r="D198"/>
          <cell r="E198">
            <v>3.0764918547226898E-7</v>
          </cell>
          <cell r="F198">
            <v>3.0764918547226898E-7</v>
          </cell>
          <cell r="G198">
            <v>3.2984270161404902E-7</v>
          </cell>
          <cell r="H198">
            <v>3.2984270161404902E-7</v>
          </cell>
          <cell r="I198">
            <v>3.2984270161404902E-7</v>
          </cell>
          <cell r="J198">
            <v>3.2984270161404902E-7</v>
          </cell>
          <cell r="K198">
            <v>6.1898872204989795E-7</v>
          </cell>
          <cell r="L198">
            <v>4.8382647058187301E-7</v>
          </cell>
          <cell r="M198">
            <v>5.0465376184227103E-7</v>
          </cell>
          <cell r="N198">
            <v>9.5480176061001998E-7</v>
          </cell>
          <cell r="O198">
            <v>9.65575438033217E-7</v>
          </cell>
          <cell r="P198"/>
          <cell r="Q198"/>
          <cell r="R198"/>
        </row>
        <row r="199">
          <cell r="A199" t="str">
            <v>RHES-SHELCHP</v>
          </cell>
          <cell r="B199" t="str">
            <v>VAR_fout</v>
          </cell>
          <cell r="C199" t="str">
            <v>RHES-SHAELCH</v>
          </cell>
          <cell r="D199">
            <v>9.1578070651432046</v>
          </cell>
          <cell r="E199">
            <v>10.275907288038484</v>
          </cell>
          <cell r="F199">
            <v>10.275907687095192</v>
          </cell>
          <cell r="G199">
            <v>10.343175520842175</v>
          </cell>
          <cell r="H199">
            <v>16.240178240335062</v>
          </cell>
          <cell r="I199">
            <v>16.240184031886677</v>
          </cell>
          <cell r="J199">
            <v>20.630870771839476</v>
          </cell>
          <cell r="K199">
            <v>26.480048725722735</v>
          </cell>
          <cell r="L199">
            <v>29.530227181533679</v>
          </cell>
          <cell r="M199">
            <v>30.031943549718342</v>
          </cell>
          <cell r="N199">
            <v>30.031946885622101</v>
          </cell>
          <cell r="O199">
            <v>30.031949940170158</v>
          </cell>
        </row>
        <row r="200">
          <cell r="A200" t="str">
            <v>RHES-SHELCHP</v>
          </cell>
          <cell r="B200" t="str">
            <v>VAR_fin</v>
          </cell>
          <cell r="C200" t="str">
            <v>RHES_ELC</v>
          </cell>
          <cell r="D200">
            <v>2.8618146950661032</v>
          </cell>
          <cell r="E200">
            <v>3.1585780345086505</v>
          </cell>
          <cell r="F200">
            <v>3.0827723061285557</v>
          </cell>
          <cell r="G200">
            <v>2.9836083233198534</v>
          </cell>
          <cell r="H200">
            <v>4.5321427647446706</v>
          </cell>
          <cell r="I200">
            <v>4.3892389275369368</v>
          </cell>
          <cell r="J200">
            <v>5.429176518905126</v>
          </cell>
          <cell r="K200">
            <v>6.7897560835186495</v>
          </cell>
          <cell r="L200">
            <v>7.5718531234701691</v>
          </cell>
          <cell r="M200">
            <v>7.700498346081619</v>
          </cell>
          <cell r="N200">
            <v>7.7004992014415663</v>
          </cell>
          <cell r="O200">
            <v>7.7004999846590207</v>
          </cell>
          <cell r="Q200"/>
        </row>
        <row r="201">
          <cell r="A201" t="str">
            <v>RHES-SHELCHP</v>
          </cell>
          <cell r="B201" t="str">
            <v>VAR_fin</v>
          </cell>
          <cell r="C201" t="str">
            <v>RHESELCHPC</v>
          </cell>
          <cell r="D201">
            <v>9.1578070651432046</v>
          </cell>
          <cell r="E201">
            <v>10.275907288038484</v>
          </cell>
          <cell r="F201">
            <v>10.275907687095192</v>
          </cell>
          <cell r="G201">
            <v>10.343175520842175</v>
          </cell>
          <cell r="H201">
            <v>16.240178240335062</v>
          </cell>
          <cell r="I201">
            <v>16.240184031886677</v>
          </cell>
          <cell r="J201">
            <v>20.630870771839476</v>
          </cell>
          <cell r="K201">
            <v>26.480048725722735</v>
          </cell>
          <cell r="L201">
            <v>29.530227181533679</v>
          </cell>
          <cell r="M201">
            <v>30.031943549718342</v>
          </cell>
          <cell r="N201">
            <v>30.031946885622101</v>
          </cell>
          <cell r="O201">
            <v>30.031949940170158</v>
          </cell>
          <cell r="P201"/>
          <cell r="Q201"/>
          <cell r="R201"/>
          <cell r="S201"/>
        </row>
        <row r="202">
          <cell r="A202" t="str">
            <v>RHES-SHELCHP</v>
          </cell>
          <cell r="B202" t="str">
            <v>VAR_ncap</v>
          </cell>
          <cell r="C202" t="str">
            <v>-</v>
          </cell>
          <cell r="D202">
            <v>8.0710960727798794E-8</v>
          </cell>
          <cell r="E202">
            <v>9.0328786069735004E-2</v>
          </cell>
          <cell r="F202">
            <v>6.9255909640511897E-6</v>
          </cell>
          <cell r="G202">
            <v>5.4436348726133897E-3</v>
          </cell>
          <cell r="H202">
            <v>1.0707318787723299</v>
          </cell>
          <cell r="I202">
            <v>0.23688805375516001</v>
          </cell>
          <cell r="J202">
            <v>0.35913093253720801</v>
          </cell>
          <cell r="K202">
            <v>1.54702556735304</v>
          </cell>
          <cell r="L202">
            <v>0.49496478477043199</v>
          </cell>
          <cell r="M202">
            <v>0.38426264212614097</v>
          </cell>
          <cell r="N202">
            <v>1.43496164762192</v>
          </cell>
          <cell r="O202">
            <v>0.60787607596434801</v>
          </cell>
        </row>
        <row r="203">
          <cell r="A203" t="str">
            <v>RHES-SHELCHP</v>
          </cell>
          <cell r="B203" t="str">
            <v>VAR_cap</v>
          </cell>
          <cell r="C203" t="str">
            <v>-</v>
          </cell>
          <cell r="D203">
            <v>0.73983800863632565</v>
          </cell>
          <cell r="E203">
            <v>0.8301667832299795</v>
          </cell>
          <cell r="F203">
            <v>0.83017366175531482</v>
          </cell>
          <cell r="G203">
            <v>0.83561728073850494</v>
          </cell>
          <cell r="H203">
            <v>1.3143271992178767</v>
          </cell>
          <cell r="I203">
            <v>1.312029300018539</v>
          </cell>
          <cell r="J203">
            <v>1.6667508194567204</v>
          </cell>
          <cell r="K203">
            <v>2.1430444624434442</v>
          </cell>
          <cell r="L203">
            <v>2.3899368175945783</v>
          </cell>
          <cell r="M203">
            <v>2.4262528967457779</v>
          </cell>
          <cell r="N203">
            <v>2.4312904779731586</v>
          </cell>
          <cell r="O203">
            <v>2.4271002765080332</v>
          </cell>
        </row>
        <row r="204">
          <cell r="A204" t="str">
            <v>RHSA-WHELCHP</v>
          </cell>
          <cell r="B204" t="str">
            <v>VAR_fout</v>
          </cell>
          <cell r="C204" t="str">
            <v>RHSA-WHAELCH</v>
          </cell>
          <cell r="D204">
            <v>3.2398912540640725</v>
          </cell>
          <cell r="E204">
            <v>3.6354568401709959</v>
          </cell>
          <cell r="F204">
            <v>4.9702849552891966</v>
          </cell>
          <cell r="G204">
            <v>7.3943075800103957</v>
          </cell>
          <cell r="H204">
            <v>11.513577210188895</v>
          </cell>
          <cell r="I204">
            <v>11.671547218828048</v>
          </cell>
          <cell r="J204">
            <v>15.176970973035271</v>
          </cell>
          <cell r="K204">
            <v>15.929906144364164</v>
          </cell>
          <cell r="L204">
            <v>18.184256973191165</v>
          </cell>
          <cell r="M204">
            <v>18.516029177828162</v>
          </cell>
          <cell r="N204">
            <v>17.410083614743815</v>
          </cell>
          <cell r="O204">
            <v>18.833900588949316</v>
          </cell>
        </row>
        <row r="205">
          <cell r="A205" t="str">
            <v>RHSA-WHELCHP</v>
          </cell>
          <cell r="B205" t="str">
            <v>VAR_fin</v>
          </cell>
          <cell r="C205" t="str">
            <v>RHSA_ELC</v>
          </cell>
          <cell r="D205">
            <v>1.1488976078241402</v>
          </cell>
          <cell r="E205">
            <v>1.2864320028913652</v>
          </cell>
          <cell r="F205">
            <v>1.7531869330826073</v>
          </cell>
          <cell r="G205">
            <v>2.5944938877229462</v>
          </cell>
          <cell r="H205">
            <v>3.9295485359006457</v>
          </cell>
          <cell r="I205">
            <v>3.877590438148852</v>
          </cell>
          <cell r="J205">
            <v>4.9517034169772431</v>
          </cell>
          <cell r="K205">
            <v>5.1057391488346662</v>
          </cell>
          <cell r="L205">
            <v>5.828287491407421</v>
          </cell>
          <cell r="M205">
            <v>5.9346247364833831</v>
          </cell>
          <cell r="N205">
            <v>5.5801550047255821</v>
          </cell>
          <cell r="O205">
            <v>6.0365065990222151</v>
          </cell>
        </row>
        <row r="206">
          <cell r="A206" t="str">
            <v>RHSA-WHELCHP</v>
          </cell>
          <cell r="B206" t="str">
            <v>VAR_ncap</v>
          </cell>
          <cell r="C206" t="str">
            <v>-</v>
          </cell>
          <cell r="D206">
            <v>1.71678048139681E-6</v>
          </cell>
          <cell r="E206">
            <v>3.2769473591987598E-2</v>
          </cell>
          <cell r="F206">
            <v>9.3593483807046296E-2</v>
          </cell>
          <cell r="G206">
            <v>0.165683532535291</v>
          </cell>
          <cell r="H206">
            <v>0.45555542145706801</v>
          </cell>
          <cell r="I206">
            <v>0.18642607905928801</v>
          </cell>
          <cell r="J206">
            <v>0.39290184287007202</v>
          </cell>
          <cell r="K206">
            <v>0.50947830358545099</v>
          </cell>
          <cell r="L206">
            <v>0.36392742950767698</v>
          </cell>
          <cell r="M206">
            <v>0.39216262874838598</v>
          </cell>
          <cell r="N206">
            <v>0.45901805142699698</v>
          </cell>
          <cell r="O206">
            <v>0.43611585563766098</v>
          </cell>
        </row>
        <row r="207">
          <cell r="A207" t="str">
            <v>RHSA-WHELCHP</v>
          </cell>
          <cell r="B207" t="str">
            <v>VAR_cap</v>
          </cell>
          <cell r="C207" t="str">
            <v>-</v>
          </cell>
          <cell r="D207">
            <v>0.21335437919972239</v>
          </cell>
          <cell r="E207">
            <v>0.24612382679968584</v>
          </cell>
          <cell r="F207">
            <v>0.33971725682040371</v>
          </cell>
          <cell r="G207">
            <v>0.50540075163371423</v>
          </cell>
          <cell r="H207">
            <v>0.7869515658111188</v>
          </cell>
          <cell r="I207">
            <v>0.79579847749293686</v>
          </cell>
          <cell r="J207">
            <v>1.0348832695454138</v>
          </cell>
          <cell r="K207">
            <v>1.0888060807501376</v>
          </cell>
          <cell r="L207">
            <v>1.2428948776807454</v>
          </cell>
          <cell r="M207">
            <v>1.2655682087457656</v>
          </cell>
          <cell r="N207">
            <v>1.1899776997114202</v>
          </cell>
          <cell r="O207">
            <v>1.2872963967350322</v>
          </cell>
        </row>
        <row r="208">
          <cell r="A208" t="str">
            <v>D-ITOT_LTH_CHP</v>
          </cell>
          <cell r="B208" t="str">
            <v>VAR_fout</v>
          </cell>
          <cell r="C208" t="str">
            <v>ITOT_LTH_CHP_ON</v>
          </cell>
          <cell r="D208">
            <v>5.6086417208980768</v>
          </cell>
          <cell r="E208">
            <v>6.0095206310784191</v>
          </cell>
          <cell r="F208">
            <v>6.1300363271143405</v>
          </cell>
          <cell r="G208">
            <v>7.6930093483128505</v>
          </cell>
          <cell r="H208">
            <v>6.9679530289116913</v>
          </cell>
          <cell r="I208">
            <v>9.1551996919396608</v>
          </cell>
          <cell r="J208">
            <v>13.594104664280579</v>
          </cell>
          <cell r="K208">
            <v>14.213764973047388</v>
          </cell>
          <cell r="L208">
            <v>14.096409170471189</v>
          </cell>
          <cell r="M208">
            <v>14.028498905821845</v>
          </cell>
          <cell r="N208">
            <v>14.523306488292539</v>
          </cell>
          <cell r="O208">
            <v>14.544834642025691</v>
          </cell>
        </row>
        <row r="209">
          <cell r="A209" t="str">
            <v>D-ITOT_LTH_CHP</v>
          </cell>
          <cell r="B209" t="str">
            <v>VAR_fout</v>
          </cell>
          <cell r="C209" t="str">
            <v>LTH</v>
          </cell>
          <cell r="D209"/>
          <cell r="E209">
            <v>1.1213052999444122E-5</v>
          </cell>
          <cell r="F209">
            <v>3.7472504364226842E-3</v>
          </cell>
          <cell r="G209">
            <v>7.2615290017878753E-5</v>
          </cell>
          <cell r="H209">
            <v>6.4912820647541111E-5</v>
          </cell>
          <cell r="I209">
            <v>1.9653449947119105E-2</v>
          </cell>
          <cell r="J209">
            <v>4.0674079571645795E-2</v>
          </cell>
          <cell r="K209">
            <v>4.5525177570024292E-2</v>
          </cell>
          <cell r="L209">
            <v>4.8974564536308156E-2</v>
          </cell>
          <cell r="M209">
            <v>3.8336890184458877E-2</v>
          </cell>
          <cell r="N209">
            <v>8.0971247745911495E-2</v>
          </cell>
          <cell r="O209">
            <v>9.132312265911495E-2</v>
          </cell>
        </row>
        <row r="210">
          <cell r="A210" t="str">
            <v>D-ITOT_LTH_CHP</v>
          </cell>
          <cell r="B210" t="str">
            <v>VAR_fin</v>
          </cell>
          <cell r="C210" t="str">
            <v>ITOT_LTH_CHP</v>
          </cell>
          <cell r="D210">
            <v>5.6086417208980768</v>
          </cell>
          <cell r="E210">
            <v>6.0095318441314269</v>
          </cell>
          <cell r="F210">
            <v>6.1337835775507683</v>
          </cell>
          <cell r="G210">
            <v>7.6930819636028733</v>
          </cell>
          <cell r="H210">
            <v>6.9680179417323407</v>
          </cell>
          <cell r="I210">
            <v>9.1748531418867767</v>
          </cell>
          <cell r="J210">
            <v>13.634778743852229</v>
          </cell>
          <cell r="K210">
            <v>14.25929015061744</v>
          </cell>
          <cell r="L210">
            <v>14.14538373500748</v>
          </cell>
          <cell r="M210">
            <v>14.066835796006307</v>
          </cell>
          <cell r="N210">
            <v>14.604277736038462</v>
          </cell>
          <cell r="O210">
            <v>14.636157764684796</v>
          </cell>
        </row>
        <row r="211">
          <cell r="A211" t="str">
            <v>RHEM-SHCONBR9</v>
          </cell>
          <cell r="B211" t="str">
            <v>VAR_fout</v>
          </cell>
          <cell r="C211" t="str">
            <v>RHEM-SHCON</v>
          </cell>
          <cell r="D211"/>
          <cell r="E211">
            <v>1.301413353752611E-5</v>
          </cell>
          <cell r="F211">
            <v>1.3161979968199883E-5</v>
          </cell>
          <cell r="G211">
            <v>3.9401710214386748E-6</v>
          </cell>
          <cell r="H211">
            <v>8.1349202749580335E-6</v>
          </cell>
          <cell r="I211">
            <v>7.3988238535699128E-6</v>
          </cell>
          <cell r="J211">
            <v>9.5235886232875326E-6</v>
          </cell>
          <cell r="K211">
            <v>1.0049965425721513E-5</v>
          </cell>
          <cell r="L211">
            <v>4.0949366836152387E-6</v>
          </cell>
          <cell r="M211">
            <v>1.3392812347863232E-5</v>
          </cell>
          <cell r="N211">
            <v>6.1078366341638068E-6</v>
          </cell>
          <cell r="O211">
            <v>1.7670736837977947E-5</v>
          </cell>
        </row>
        <row r="212">
          <cell r="A212" t="str">
            <v>RHEM-SHCONBR9</v>
          </cell>
          <cell r="B212" t="str">
            <v>VAR_fin</v>
          </cell>
          <cell r="C212" t="str">
            <v>CON</v>
          </cell>
          <cell r="D212"/>
          <cell r="E212">
            <v>1.301413353752611E-5</v>
          </cell>
          <cell r="F212">
            <v>1.3161979968199883E-5</v>
          </cell>
          <cell r="G212">
            <v>3.9401710214386748E-6</v>
          </cell>
          <cell r="H212">
            <v>8.1349202749580335E-6</v>
          </cell>
          <cell r="I212">
            <v>7.3988238535699128E-6</v>
          </cell>
          <cell r="J212">
            <v>9.5235886232875326E-6</v>
          </cell>
          <cell r="K212">
            <v>1.0049965425721513E-5</v>
          </cell>
          <cell r="L212">
            <v>4.0949366836152387E-6</v>
          </cell>
          <cell r="M212">
            <v>1.3392812347863232E-5</v>
          </cell>
          <cell r="N212">
            <v>6.1078366341638068E-6</v>
          </cell>
          <cell r="O212">
            <v>1.7670736837977947E-5</v>
          </cell>
        </row>
        <row r="213">
          <cell r="A213" t="str">
            <v>RHEM-SHCONBR9</v>
          </cell>
          <cell r="B213" t="str">
            <v>VAR_ncap</v>
          </cell>
          <cell r="C213" t="str">
            <v>-</v>
          </cell>
          <cell r="D213"/>
          <cell r="E213"/>
          <cell r="F213"/>
          <cell r="G213"/>
          <cell r="H213"/>
          <cell r="I213"/>
          <cell r="J213"/>
          <cell r="K213">
            <v>2.10040963964348E-8</v>
          </cell>
          <cell r="L213">
            <v>3.3969480773835899E-8</v>
          </cell>
          <cell r="N213">
            <v>1.2796449743821101E-7</v>
          </cell>
        </row>
        <row r="214">
          <cell r="A214" t="str">
            <v>RHEM-SHCONBR9</v>
          </cell>
          <cell r="B214" t="str">
            <v>VAR_cap</v>
          </cell>
          <cell r="C214" t="str">
            <v>-</v>
          </cell>
          <cell r="D214"/>
          <cell r="E214"/>
          <cell r="F214"/>
          <cell r="G214"/>
          <cell r="H214"/>
          <cell r="I214"/>
          <cell r="J214"/>
          <cell r="K214">
            <v>2.10040963964348E-8</v>
          </cell>
          <cell r="L214">
            <v>5.4973577170270703E-8</v>
          </cell>
          <cell r="M214">
            <v>5.4973577170270703E-8</v>
          </cell>
          <cell r="N214">
            <v>1.82938074608482E-7</v>
          </cell>
          <cell r="O214">
            <v>1.82938074608482E-7</v>
          </cell>
        </row>
        <row r="215">
          <cell r="A215" t="str">
            <v>SCOM-SHELCHP</v>
          </cell>
          <cell r="B215" t="str">
            <v>VAR_fout</v>
          </cell>
          <cell r="C215" t="str">
            <v>SCOM-SHAELCH</v>
          </cell>
          <cell r="D215">
            <v>4.261207275329336</v>
          </cell>
          <cell r="E215">
            <v>4.6176493276446697</v>
          </cell>
          <cell r="F215">
            <v>4.8279736645784466</v>
          </cell>
          <cell r="G215">
            <v>5.2011876300276541</v>
          </cell>
          <cell r="H215">
            <v>5.5950947975425178</v>
          </cell>
          <cell r="I215">
            <v>6.0232248993121491</v>
          </cell>
          <cell r="J215">
            <v>6.0232678337303991</v>
          </cell>
          <cell r="K215">
            <v>9.4023863584721727</v>
          </cell>
          <cell r="L215">
            <v>9.4023856955772089</v>
          </cell>
          <cell r="M215">
            <v>9.4023875018900043</v>
          </cell>
          <cell r="N215">
            <v>9.4023877040596542</v>
          </cell>
          <cell r="O215">
            <v>10.129038993454747</v>
          </cell>
        </row>
        <row r="216">
          <cell r="A216" t="str">
            <v>SCOM-SHELCHP</v>
          </cell>
          <cell r="B216" t="str">
            <v>VAR_fin</v>
          </cell>
          <cell r="C216" t="str">
            <v>SCOMELCHPC</v>
          </cell>
          <cell r="D216">
            <v>4.261207275329336</v>
          </cell>
          <cell r="E216">
            <v>4.6176493276446697</v>
          </cell>
          <cell r="F216">
            <v>4.8279736645784466</v>
          </cell>
          <cell r="G216">
            <v>5.2011876300276541</v>
          </cell>
          <cell r="H216">
            <v>5.5950947975425178</v>
          </cell>
          <cell r="I216">
            <v>6.0232248993121491</v>
          </cell>
          <cell r="J216">
            <v>6.0232678337303991</v>
          </cell>
          <cell r="K216">
            <v>9.4023863584721727</v>
          </cell>
          <cell r="L216">
            <v>9.4023856955772089</v>
          </cell>
          <cell r="M216">
            <v>9.4023875018900043</v>
          </cell>
          <cell r="N216">
            <v>9.4023877040596542</v>
          </cell>
          <cell r="O216">
            <v>10.129038993454747</v>
          </cell>
        </row>
        <row r="217">
          <cell r="A217" t="str">
            <v>SCOM-SHELCHP</v>
          </cell>
          <cell r="B217" t="str">
            <v>VAR_fin</v>
          </cell>
          <cell r="C217" t="str">
            <v>SCOM_ELC</v>
          </cell>
          <cell r="D217">
            <v>1.3316272735404169</v>
          </cell>
          <cell r="E217">
            <v>1.4252004097668727</v>
          </cell>
          <cell r="F217">
            <v>1.4630223225995287</v>
          </cell>
          <cell r="G217">
            <v>1.5297610676551918</v>
          </cell>
          <cell r="H217">
            <v>1.5985985135835767</v>
          </cell>
          <cell r="I217">
            <v>1.6731180275867081</v>
          </cell>
          <cell r="J217">
            <v>1.6279102253325402</v>
          </cell>
          <cell r="K217">
            <v>2.4743121995979402</v>
          </cell>
          <cell r="L217">
            <v>2.4743120251518977</v>
          </cell>
          <cell r="M217">
            <v>2.4743125004973692</v>
          </cell>
          <cell r="N217">
            <v>2.4743125536999102</v>
          </cell>
          <cell r="O217">
            <v>2.6655365772249362</v>
          </cell>
        </row>
        <row r="218">
          <cell r="A218" t="str">
            <v>SCOM-SHELCHP</v>
          </cell>
          <cell r="B218" t="str">
            <v>VAR_ncap</v>
          </cell>
          <cell r="C218" t="str">
            <v>-</v>
          </cell>
          <cell r="D218">
            <v>1.9824056764152299E-8</v>
          </cell>
          <cell r="E218">
            <v>4.0782627652717202E-8</v>
          </cell>
          <cell r="F218">
            <v>6.0908188452532804E-8</v>
          </cell>
          <cell r="G218">
            <v>1.8386281378321899E-7</v>
          </cell>
          <cell r="H218">
            <v>0.32666749524560301</v>
          </cell>
          <cell r="I218">
            <v>0.14523158299342701</v>
          </cell>
          <cell r="J218">
            <v>1.9740173405078502E-5</v>
          </cell>
          <cell r="K218">
            <v>0.59144350298496196</v>
          </cell>
          <cell r="L218">
            <v>0.122926617841977</v>
          </cell>
          <cell r="M218">
            <v>2.14075780494223E-2</v>
          </cell>
          <cell r="N218">
            <v>0.52114761226380601</v>
          </cell>
          <cell r="O218">
            <v>0.31964718177094698</v>
          </cell>
        </row>
        <row r="219">
          <cell r="A219" t="str">
            <v>SCOM-SHELCHP</v>
          </cell>
          <cell r="B219" t="str">
            <v>VAR_cap</v>
          </cell>
          <cell r="C219" t="str">
            <v>-</v>
          </cell>
          <cell r="D219">
            <v>0.43061733327784479</v>
          </cell>
          <cell r="E219">
            <v>0.4306169801624492</v>
          </cell>
          <cell r="F219">
            <v>0.43061660630315196</v>
          </cell>
          <cell r="G219">
            <v>0.43061662067032841</v>
          </cell>
          <cell r="H219">
            <v>0.43834125326304935</v>
          </cell>
          <cell r="I219">
            <v>0.47189909641671524</v>
          </cell>
          <cell r="J219">
            <v>0.47191871767114657</v>
          </cell>
          <cell r="K219">
            <v>0.73669463315887185</v>
          </cell>
          <cell r="L219">
            <v>0.73670229638549456</v>
          </cell>
          <cell r="M219">
            <v>0.73577747659354131</v>
          </cell>
          <cell r="N219">
            <v>0.73126957590893216</v>
          </cell>
          <cell r="O219">
            <v>0.8622019869096299</v>
          </cell>
        </row>
        <row r="220">
          <cell r="A220" t="str">
            <v>D-ITOT_NKEV_OIL_ELC_CHP</v>
          </cell>
          <cell r="B220" t="str">
            <v>VAR_fout</v>
          </cell>
          <cell r="C220" t="str">
            <v>ITOT_ELC</v>
          </cell>
          <cell r="D220">
            <v>6.9602662163706835E-2</v>
          </cell>
          <cell r="E220">
            <v>0.17085860799381583</v>
          </cell>
          <cell r="F220">
            <v>8.3008057129836596E-3</v>
          </cell>
          <cell r="G220">
            <v>0.16934960014525896</v>
          </cell>
          <cell r="H220">
            <v>0.11238816252504456</v>
          </cell>
          <cell r="I220"/>
          <cell r="J220"/>
          <cell r="L220">
            <v>9.3466127340623324E-4</v>
          </cell>
          <cell r="M220">
            <v>1.1356034057530327E-3</v>
          </cell>
          <cell r="N220">
            <v>0.16737506015659942</v>
          </cell>
          <cell r="O220">
            <v>0.16669524592651541</v>
          </cell>
        </row>
        <row r="221">
          <cell r="A221" t="str">
            <v>D-ITOT_NKEV_OIL_ELC_CHP</v>
          </cell>
          <cell r="B221" t="str">
            <v>VAR_fout</v>
          </cell>
          <cell r="C221" t="str">
            <v>ELC5</v>
          </cell>
          <cell r="D221">
            <v>8.9809889681514402E-4</v>
          </cell>
          <cell r="E221">
            <v>6.4797079142743421E-4</v>
          </cell>
          <cell r="F221">
            <v>3.5839439538594669E-4</v>
          </cell>
          <cell r="G221">
            <v>1.9591225421080956E-3</v>
          </cell>
          <cell r="H221">
            <v>5.8951186319176452E-2</v>
          </cell>
          <cell r="I221"/>
          <cell r="J221"/>
          <cell r="L221">
            <v>1.1717719511126245E-3</v>
          </cell>
          <cell r="M221">
            <v>9.1369672894356325E-4</v>
          </cell>
          <cell r="N221">
            <v>3.8342076674036034E-3</v>
          </cell>
          <cell r="O221">
            <v>4.144047716596452E-3</v>
          </cell>
        </row>
        <row r="222">
          <cell r="A222" t="str">
            <v>D-ITOT_NKEV_OIL_ELC_CHP</v>
          </cell>
          <cell r="B222" t="str">
            <v>VAR_fin</v>
          </cell>
          <cell r="C222" t="str">
            <v>ITOT_NKEV_OIL_ELC_CHP</v>
          </cell>
          <cell r="D222">
            <v>7.0500761060521999E-2</v>
          </cell>
          <cell r="E222">
            <v>0.17150657878524322</v>
          </cell>
          <cell r="F222">
            <v>8.6566902326043749E-3</v>
          </cell>
          <cell r="G222">
            <v>0.17130756733375688</v>
          </cell>
          <cell r="H222">
            <v>0.1713373992749245</v>
          </cell>
          <cell r="I222"/>
          <cell r="J222"/>
          <cell r="K222"/>
          <cell r="L222">
            <v>2.1047727058214616E-3</v>
          </cell>
          <cell r="M222">
            <v>2.0468285257359362E-3</v>
          </cell>
          <cell r="N222">
            <v>0.17120635407998666</v>
          </cell>
          <cell r="O222">
            <v>0.17083533993319586</v>
          </cell>
        </row>
        <row r="223">
          <cell r="A223" t="str">
            <v>RHNS-SHELCBR</v>
          </cell>
          <cell r="B223" t="str">
            <v>VAR_fout</v>
          </cell>
          <cell r="C223" t="str">
            <v>RHNS-SHAELCB</v>
          </cell>
          <cell r="D223"/>
          <cell r="E223">
            <v>6.9061174824355448E-2</v>
          </cell>
          <cell r="F223">
            <v>7.2976847725286828E-2</v>
          </cell>
          <cell r="G223">
            <v>6.6840802548851657E-4</v>
          </cell>
          <cell r="H223">
            <v>3.6519726513700842E-4</v>
          </cell>
          <cell r="I223">
            <v>1.6241047789936996E-4</v>
          </cell>
          <cell r="J223">
            <v>5.1554203361940611E-4</v>
          </cell>
          <cell r="K223">
            <v>9.772278743947994E-4</v>
          </cell>
          <cell r="L223">
            <v>4.8247367779121804E-4</v>
          </cell>
          <cell r="M223">
            <v>3.5654777131393533E-4</v>
          </cell>
          <cell r="N223">
            <v>3.4617280660454201E-4</v>
          </cell>
          <cell r="O223">
            <v>6.7032532640311389E-4</v>
          </cell>
        </row>
        <row r="224">
          <cell r="A224" t="str">
            <v>RHNS-SHELCBR</v>
          </cell>
          <cell r="B224" t="str">
            <v>VAR_fin</v>
          </cell>
          <cell r="C224" t="str">
            <v>RHNS_ELC</v>
          </cell>
          <cell r="D224"/>
          <cell r="E224">
            <v>7.269597349932147E-2</v>
          </cell>
          <cell r="F224">
            <v>7.6817734447670219E-2</v>
          </cell>
          <cell r="G224">
            <v>7.0358739525107014E-4</v>
          </cell>
          <cell r="H224">
            <v>3.8441817382842971E-4</v>
          </cell>
          <cell r="I224">
            <v>1.7095839778881052E-4</v>
          </cell>
          <cell r="J224">
            <v>5.4267582486253261E-4</v>
          </cell>
          <cell r="K224">
            <v>1.0286609204155793E-3</v>
          </cell>
          <cell r="L224">
            <v>5.078670292539137E-4</v>
          </cell>
          <cell r="M224">
            <v>3.7531344348835298E-4</v>
          </cell>
          <cell r="N224">
            <v>3.6439242800478103E-4</v>
          </cell>
          <cell r="O224">
            <v>7.0560560674012005E-4</v>
          </cell>
        </row>
        <row r="225">
          <cell r="A225" t="str">
            <v>RHNS-SHELCBR</v>
          </cell>
          <cell r="B225" t="str">
            <v>VAR_ncap</v>
          </cell>
          <cell r="C225" t="str">
            <v>-</v>
          </cell>
          <cell r="D225"/>
          <cell r="E225">
            <v>5.4109863320991203E-3</v>
          </cell>
          <cell r="F225"/>
          <cell r="G225"/>
          <cell r="H225">
            <v>2.1132206787399199E-5</v>
          </cell>
          <cell r="I225"/>
          <cell r="J225">
            <v>7.6764952143162801E-5</v>
          </cell>
          <cell r="L225">
            <v>1.21577221686492E-6</v>
          </cell>
          <cell r="M225">
            <v>4.6597313284826501E-5</v>
          </cell>
          <cell r="N225">
            <v>4.9520992939937705E-7</v>
          </cell>
          <cell r="O225">
            <v>4.3669987834981001E-5</v>
          </cell>
        </row>
        <row r="226">
          <cell r="A226" t="str">
            <v>RHNS-SHELCBR</v>
          </cell>
          <cell r="B226" t="str">
            <v>VAR_cap</v>
          </cell>
          <cell r="C226" t="str">
            <v>-</v>
          </cell>
          <cell r="D226"/>
          <cell r="E226">
            <v>5.4109863320991203E-3</v>
          </cell>
          <cell r="F226">
            <v>5.4106280670491542E-3</v>
          </cell>
          <cell r="G226">
            <v>9.064726641854013E-5</v>
          </cell>
          <cell r="H226">
            <v>4.8960523981759693E-5</v>
          </cell>
          <cell r="I226">
            <v>2.1067067589873436E-5</v>
          </cell>
          <cell r="J226">
            <v>7.68886114014173E-5</v>
          </cell>
          <cell r="K226">
            <v>7.6730992198844331E-5</v>
          </cell>
          <cell r="L226">
            <v>6.2672084463396698E-5</v>
          </cell>
          <cell r="M226">
            <v>4.773005112146991E-5</v>
          </cell>
          <cell r="N226">
            <v>4.7168324437862806E-5</v>
          </cell>
          <cell r="O226">
            <v>9.0262078432536071E-5</v>
          </cell>
        </row>
        <row r="227">
          <cell r="A227" t="str">
            <v>ITOT-SWHSTG-SOL</v>
          </cell>
          <cell r="B227" t="str">
            <v>VAR_fout</v>
          </cell>
          <cell r="C227" t="str">
            <v>ITOT-SWHASOL</v>
          </cell>
          <cell r="D227">
            <v>2.8041071801089456E-5</v>
          </cell>
          <cell r="E227">
            <v>2.9291945074986569E-5</v>
          </cell>
          <cell r="F227">
            <v>1.2559142822600881E-4</v>
          </cell>
          <cell r="G227">
            <v>1.1247603682474834E-4</v>
          </cell>
          <cell r="H227">
            <v>1.4476534630266307E-4</v>
          </cell>
          <cell r="I227">
            <v>4.1840967014650579E-4</v>
          </cell>
          <cell r="J227">
            <v>3.3183657580376888E-4</v>
          </cell>
          <cell r="K227">
            <v>2.5028412621783087E-4</v>
          </cell>
          <cell r="L227">
            <v>3.2390253945442573E-4</v>
          </cell>
          <cell r="M227">
            <v>3.3164397963261256E-4</v>
          </cell>
          <cell r="N227">
            <v>7.1830968226965037E-4</v>
          </cell>
          <cell r="O227">
            <v>5.8817620948111273E-4</v>
          </cell>
        </row>
        <row r="228">
          <cell r="A228" t="str">
            <v>ITOT-SWHSTG-SOL</v>
          </cell>
          <cell r="B228" t="str">
            <v>VAR_fin</v>
          </cell>
          <cell r="C228" t="str">
            <v>ITOT-SWHASOL</v>
          </cell>
          <cell r="D228">
            <v>2.384263796729132E-5</v>
          </cell>
          <cell r="E228">
            <v>2.7285933736722084E-5</v>
          </cell>
          <cell r="F228">
            <v>1.4899683083289967E-4</v>
          </cell>
          <cell r="G228">
            <v>1.2939571164336417E-4</v>
          </cell>
          <cell r="H228">
            <v>1.644503847896829E-4</v>
          </cell>
          <cell r="I228">
            <v>4.8130859221102036E-4</v>
          </cell>
          <cell r="J228">
            <v>3.6926317345672163E-4</v>
          </cell>
          <cell r="K228">
            <v>2.666263814145621E-4</v>
          </cell>
          <cell r="L228">
            <v>3.532560675885555E-4</v>
          </cell>
          <cell r="M228">
            <v>3.5156521959963771E-4</v>
          </cell>
          <cell r="N228">
            <v>7.882481235465652E-4</v>
          </cell>
          <cell r="O228">
            <v>6.177297579624978E-4</v>
          </cell>
        </row>
        <row r="229">
          <cell r="A229" t="str">
            <v>ITOT-SWHSTG-SOL</v>
          </cell>
          <cell r="B229" t="str">
            <v>VAR_ncap</v>
          </cell>
          <cell r="C229" t="str">
            <v>-</v>
          </cell>
          <cell r="D229">
            <v>4.3970598283443403E-6</v>
          </cell>
          <cell r="E229"/>
          <cell r="F229">
            <v>9.5771243576681806E-6</v>
          </cell>
          <cell r="G229">
            <v>1.8142084362858201E-5</v>
          </cell>
          <cell r="H229">
            <v>4.9426346533415303E-5</v>
          </cell>
          <cell r="I229">
            <v>2.3315449145254601E-5</v>
          </cell>
          <cell r="J229">
            <v>5.3831502804760202E-8</v>
          </cell>
          <cell r="K229"/>
          <cell r="L229">
            <v>4.1624345709263001E-5</v>
          </cell>
          <cell r="M229">
            <v>1.1364358505397E-8</v>
          </cell>
          <cell r="N229">
            <v>4.5383116654761503E-5</v>
          </cell>
          <cell r="O229">
            <v>6.1440179631346794E-8</v>
          </cell>
        </row>
        <row r="230">
          <cell r="A230" t="str">
            <v>ITOT-SWHSTG-SOL</v>
          </cell>
          <cell r="B230" t="str">
            <v>VAR_cap</v>
          </cell>
          <cell r="C230" t="str">
            <v>-</v>
          </cell>
          <cell r="D230">
            <v>4.3970598283443403E-6</v>
          </cell>
          <cell r="E230">
            <v>4.3970598283443403E-6</v>
          </cell>
          <cell r="F230">
            <v>1.39741841860125E-5</v>
          </cell>
          <cell r="G230">
            <v>3.2116268548870697E-5</v>
          </cell>
          <cell r="H230">
            <v>7.8285864633986695E-5</v>
          </cell>
          <cell r="I230">
            <v>8.94435722574396E-5</v>
          </cell>
          <cell r="J230">
            <v>7.2795627181474693E-5</v>
          </cell>
          <cell r="K230">
            <v>2.3369280648059299E-5</v>
          </cell>
          <cell r="L230">
            <v>4.5253558623337497E-5</v>
          </cell>
          <cell r="M230">
            <v>4.1635710067768402E-5</v>
          </cell>
          <cell r="N230">
            <v>7.3823339281072395E-5</v>
          </cell>
          <cell r="O230">
            <v>4.5455921192898198E-5</v>
          </cell>
        </row>
        <row r="231">
          <cell r="A231" t="str">
            <v>RHES-SHLTHCHPNGA</v>
          </cell>
          <cell r="B231" t="str">
            <v>VAR_fout</v>
          </cell>
          <cell r="C231" t="str">
            <v>RHES-SHLTHC-NGA</v>
          </cell>
          <cell r="D231">
            <v>3.0031793230501296E-2</v>
          </cell>
          <cell r="E231">
            <v>8.6339178669462608E-5</v>
          </cell>
          <cell r="F231">
            <v>4.8022360708322833E-3</v>
          </cell>
          <cell r="G231">
            <v>4.5156218079177067E-3</v>
          </cell>
          <cell r="H231">
            <v>4.2308396226793067E-3</v>
          </cell>
          <cell r="I231">
            <v>3.4199023332062476E-3</v>
          </cell>
          <cell r="J231"/>
          <cell r="L231">
            <v>1.9797971731327661E-3</v>
          </cell>
          <cell r="M231">
            <v>3.1919323372140607E-3</v>
          </cell>
          <cell r="N231">
            <v>3.3405259331595978E-3</v>
          </cell>
          <cell r="O231">
            <v>3.3574001657998885E-3</v>
          </cell>
        </row>
        <row r="232">
          <cell r="A232" t="str">
            <v>RHES-SHLTHCHPNGA</v>
          </cell>
          <cell r="B232" t="str">
            <v>VAR_fin</v>
          </cell>
          <cell r="C232" t="str">
            <v>RHESLTHCHPC</v>
          </cell>
          <cell r="D232">
            <v>3.0031793230501296E-2</v>
          </cell>
          <cell r="E232">
            <v>8.6339178669462608E-5</v>
          </cell>
          <cell r="F232">
            <v>4.8022360708322833E-3</v>
          </cell>
          <cell r="G232">
            <v>4.5156218079177067E-3</v>
          </cell>
          <cell r="H232">
            <v>4.2308396226793067E-3</v>
          </cell>
          <cell r="I232">
            <v>3.4199023332062476E-3</v>
          </cell>
          <cell r="J232"/>
          <cell r="L232">
            <v>1.9797971731327661E-3</v>
          </cell>
          <cell r="M232">
            <v>3.1919323372140607E-3</v>
          </cell>
          <cell r="N232">
            <v>3.3405259331595978E-3</v>
          </cell>
          <cell r="O232">
            <v>3.3574001657998885E-3</v>
          </cell>
        </row>
        <row r="233">
          <cell r="A233" t="str">
            <v>RHES-SHLTHCHPNGA</v>
          </cell>
          <cell r="B233" t="str">
            <v>VAR_fin</v>
          </cell>
          <cell r="C233" t="str">
            <v>RHES_LTH_CHPNGA_ON</v>
          </cell>
          <cell r="D233">
            <v>3.0335144677274037E-2</v>
          </cell>
          <cell r="E233">
            <v>8.721129158531575E-5</v>
          </cell>
          <cell r="F233">
            <v>4.8507435058911929E-3</v>
          </cell>
          <cell r="G233">
            <v>4.5612341494118205E-3</v>
          </cell>
          <cell r="H233">
            <v>4.2735753764437398E-3</v>
          </cell>
          <cell r="I233">
            <v>3.4544468012184331E-3</v>
          </cell>
          <cell r="J233"/>
          <cell r="L233">
            <v>1.9997951243765277E-3</v>
          </cell>
          <cell r="M233">
            <v>3.2241740779940004E-3</v>
          </cell>
          <cell r="N233">
            <v>3.3742686193531327E-3</v>
          </cell>
          <cell r="O233">
            <v>3.3913132987877688E-3</v>
          </cell>
        </row>
        <row r="234">
          <cell r="A234" t="str">
            <v>RHES-SHLTHCHPNGA</v>
          </cell>
          <cell r="B234" t="str">
            <v>VAR_ncap</v>
          </cell>
          <cell r="C234" t="str">
            <v>-</v>
          </cell>
          <cell r="D234"/>
          <cell r="E234">
            <v>7.8763103249355505E-6</v>
          </cell>
          <cell r="F234">
            <v>6.3804959164331899E-4</v>
          </cell>
          <cell r="G234">
            <v>4.07120696657092E-4</v>
          </cell>
          <cell r="H234">
            <v>3.2546946287702197E-4</v>
          </cell>
          <cell r="I234">
            <v>2.3099750638979E-4</v>
          </cell>
          <cell r="J234">
            <v>2.36063038541517E-7</v>
          </cell>
          <cell r="K234">
            <v>2.6839656465190898E-7</v>
          </cell>
          <cell r="L234">
            <v>1.8661467422530001E-4</v>
          </cell>
          <cell r="M234">
            <v>2.37536648304102E-4</v>
          </cell>
          <cell r="N234">
            <v>2.09806756677152E-4</v>
          </cell>
          <cell r="O234">
            <v>2.2316755389968401E-4</v>
          </cell>
        </row>
        <row r="235">
          <cell r="A235" t="str">
            <v>RHES-SHLTHCHPNGA</v>
          </cell>
          <cell r="B235" t="str">
            <v>VAR_cap</v>
          </cell>
          <cell r="C235" t="str">
            <v>-</v>
          </cell>
          <cell r="D235">
            <v>5.3757649990155603E-3</v>
          </cell>
          <cell r="E235">
            <v>1.1917216103755728E-5</v>
          </cell>
          <cell r="F235">
            <v>6.4611452979618494E-4</v>
          </cell>
          <cell r="G235">
            <v>5.9881726621830063E-4</v>
          </cell>
          <cell r="H235">
            <v>5.5474100792982052E-4</v>
          </cell>
          <cell r="I235">
            <v>3.3378931487460504E-4</v>
          </cell>
          <cell r="J235">
            <v>-1.1545690922201354E-7</v>
          </cell>
          <cell r="K235">
            <v>-1.9417752914700076E-7</v>
          </cell>
          <cell r="L235">
            <v>1.8670166554881669E-4</v>
          </cell>
          <cell r="M235">
            <v>3.0203485192804299E-4</v>
          </cell>
          <cell r="N235">
            <v>3.1351154492273794E-4</v>
          </cell>
          <cell r="O235">
            <v>3.3989563464113202E-4</v>
          </cell>
        </row>
        <row r="236">
          <cell r="A236" t="str">
            <v>RHSA-WHSTG-ELC</v>
          </cell>
          <cell r="B236" t="str">
            <v>VAR_fout</v>
          </cell>
          <cell r="C236" t="str">
            <v>RHSA-WHAELCB</v>
          </cell>
          <cell r="D236">
            <v>6.199075615505321E-8</v>
          </cell>
          <cell r="E236"/>
          <cell r="F236">
            <v>1.3140048985373149</v>
          </cell>
          <cell r="G236">
            <v>0.97859764243215619</v>
          </cell>
          <cell r="H236">
            <v>0.44360025122858349</v>
          </cell>
          <cell r="I236">
            <v>0.28500114950837352</v>
          </cell>
          <cell r="J236">
            <v>0.26890889402259488</v>
          </cell>
          <cell r="K236">
            <v>0.39708114484241891</v>
          </cell>
          <cell r="L236">
            <v>0.35081005284231537</v>
          </cell>
          <cell r="M236">
            <v>0.28697532171333084</v>
          </cell>
          <cell r="N236">
            <v>0.37068522933349979</v>
          </cell>
          <cell r="O236">
            <v>0.19534757093974994</v>
          </cell>
        </row>
        <row r="237">
          <cell r="A237" t="str">
            <v>RHSA-WHSTG-ELC</v>
          </cell>
          <cell r="B237" t="str">
            <v>VAR_fin</v>
          </cell>
          <cell r="C237" t="str">
            <v>RHSA-WHAELCB</v>
          </cell>
          <cell r="D237">
            <v>1.991223810976493E-7</v>
          </cell>
          <cell r="E237"/>
          <cell r="F237">
            <v>1.3140542426090456</v>
          </cell>
          <cell r="G237">
            <v>0.97863679775196977</v>
          </cell>
          <cell r="H237">
            <v>0.44361609558479453</v>
          </cell>
          <cell r="I237">
            <v>0.28501093628504626</v>
          </cell>
          <cell r="J237">
            <v>0.26891911097106663</v>
          </cell>
          <cell r="K237">
            <v>0.39709559733556848</v>
          </cell>
          <cell r="L237">
            <v>0.35082309041147669</v>
          </cell>
          <cell r="M237">
            <v>0.28698670848991475</v>
          </cell>
          <cell r="N237">
            <v>0.37069928478217246</v>
          </cell>
          <cell r="O237">
            <v>0.19535613907562577</v>
          </cell>
        </row>
        <row r="238">
          <cell r="A238" t="str">
            <v>RHSA-WHSTG-ELC</v>
          </cell>
          <cell r="B238" t="str">
            <v>VAR_ncap</v>
          </cell>
          <cell r="C238" t="str">
            <v>-</v>
          </cell>
          <cell r="D238">
            <v>3.0403769368974099E-3</v>
          </cell>
          <cell r="E238">
            <v>0.10821327639244099</v>
          </cell>
          <cell r="F238">
            <v>1.0683049019503599E-5</v>
          </cell>
          <cell r="G238">
            <v>1.20382313495901E-5</v>
          </cell>
          <cell r="H238">
            <v>4.8558637470824898E-5</v>
          </cell>
          <cell r="I238">
            <v>2.5860047627646699E-2</v>
          </cell>
          <cell r="J238">
            <v>2.78687007183586E-5</v>
          </cell>
          <cell r="K238">
            <v>7.8768580297366997E-3</v>
          </cell>
          <cell r="L238">
            <v>1.84500946205449E-2</v>
          </cell>
          <cell r="M238">
            <v>1.48513680284898E-3</v>
          </cell>
          <cell r="N238">
            <v>1.86050404745535E-2</v>
          </cell>
          <cell r="O238">
            <v>3.69342196571564E-3</v>
          </cell>
        </row>
        <row r="239">
          <cell r="A239" t="str">
            <v>RHSA-WHSTG-ELC</v>
          </cell>
          <cell r="B239" t="str">
            <v>VAR_cap</v>
          </cell>
          <cell r="C239" t="str">
            <v>-</v>
          </cell>
          <cell r="D239">
            <v>3.041286305786131E-3</v>
          </cell>
          <cell r="E239">
            <v>0.11125061712928319</v>
          </cell>
          <cell r="F239">
            <v>0.11125054835428455</v>
          </cell>
          <cell r="G239">
            <v>0.11125057359257166</v>
          </cell>
          <cell r="H239">
            <v>4.0219546443497033E-2</v>
          </cell>
          <cell r="I239">
            <v>2.5909609398275815E-2</v>
          </cell>
          <cell r="J239">
            <v>2.5909582821034026E-2</v>
          </cell>
          <cell r="K239">
            <v>3.3718244455870634E-2</v>
          </cell>
          <cell r="L239">
            <v>3.0264068081183055E-2</v>
          </cell>
          <cell r="M239">
            <v>2.7707498176250973E-2</v>
          </cell>
          <cell r="N239">
            <v>3.3974141770182036E-2</v>
          </cell>
          <cell r="O239">
            <v>2.3690295505018433E-2</v>
          </cell>
        </row>
        <row r="240">
          <cell r="A240" t="str">
            <v>ITOT-SWHLFOBR</v>
          </cell>
          <cell r="B240" t="str">
            <v>VAR_fout</v>
          </cell>
          <cell r="C240" t="str">
            <v>ITOT-SWH</v>
          </cell>
          <cell r="D240">
            <v>6.9177055675995911</v>
          </cell>
          <cell r="E240">
            <v>6.3112844372163863</v>
          </cell>
          <cell r="F240">
            <v>6.2459448895386842</v>
          </cell>
          <cell r="G240">
            <v>5.0692245036305748</v>
          </cell>
          <cell r="H240">
            <v>3.8071527323790035</v>
          </cell>
          <cell r="I240">
            <v>2.8119530620023854</v>
          </cell>
          <cell r="J240">
            <v>1.4158243766409706</v>
          </cell>
          <cell r="K240">
            <v>1.1336268752244747</v>
          </cell>
          <cell r="L240">
            <v>1.1273170475165992</v>
          </cell>
          <cell r="M240">
            <v>1.1273156587081443</v>
          </cell>
          <cell r="N240">
            <v>0.61479817088790056</v>
          </cell>
          <cell r="O240">
            <v>0.61371541060126222</v>
          </cell>
        </row>
        <row r="241">
          <cell r="A241" t="str">
            <v>ITOT-SWHLFOBR</v>
          </cell>
          <cell r="B241" t="str">
            <v>VAR_fout</v>
          </cell>
          <cell r="C241" t="str">
            <v>CO2_I</v>
          </cell>
          <cell r="D241">
            <v>655.76814508095197</v>
          </cell>
          <cell r="E241">
            <v>597.31576346608495</v>
          </cell>
          <cell r="F241">
            <v>589.70317191381798</v>
          </cell>
          <cell r="G241">
            <v>476.68442392163502</v>
          </cell>
          <cell r="H241">
            <v>356.57496304058202</v>
          </cell>
          <cell r="I241">
            <v>262.31713356876497</v>
          </cell>
          <cell r="J241">
            <v>131.55364960101099</v>
          </cell>
          <cell r="K241">
            <v>104.916887564569</v>
          </cell>
          <cell r="L241">
            <v>104.33291456723801</v>
          </cell>
          <cell r="M241">
            <v>104.332786033359</v>
          </cell>
          <cell r="N241">
            <v>56.899419006078098</v>
          </cell>
          <cell r="O241">
            <v>56.799209808735199</v>
          </cell>
        </row>
        <row r="242">
          <cell r="A242" t="str">
            <v>ITOT-SWHLFOBR</v>
          </cell>
          <cell r="B242" t="str">
            <v>VAR_fin</v>
          </cell>
          <cell r="C242" t="str">
            <v>ILFO</v>
          </cell>
          <cell r="D242">
            <v>8.8978038681268856</v>
          </cell>
          <cell r="E242">
            <v>8.1046914988614009</v>
          </cell>
          <cell r="F242">
            <v>8.0013998902824621</v>
          </cell>
          <cell r="G242">
            <v>6.4679026312297783</v>
          </cell>
          <cell r="H242">
            <v>4.8381948852182095</v>
          </cell>
          <cell r="I242">
            <v>3.5592555436738813</v>
          </cell>
          <cell r="J242">
            <v>1.7849884613434388</v>
          </cell>
          <cell r="K242">
            <v>1.4235669954486938</v>
          </cell>
          <cell r="L242">
            <v>1.4156433455527613</v>
          </cell>
          <cell r="M242">
            <v>1.4156416015381095</v>
          </cell>
          <cell r="N242">
            <v>0.77204096344746376</v>
          </cell>
          <cell r="O242">
            <v>0.77068127284579613</v>
          </cell>
        </row>
        <row r="243">
          <cell r="A243" t="str">
            <v>ITOT-SWHLFOBR</v>
          </cell>
          <cell r="B243" t="str">
            <v>VAR_ncap</v>
          </cell>
          <cell r="C243" t="str">
            <v>-</v>
          </cell>
          <cell r="D243"/>
          <cell r="E243">
            <v>3.5991329973944302E-5</v>
          </cell>
          <cell r="F243">
            <v>6.8883827474728402E-6</v>
          </cell>
          <cell r="G243">
            <v>8.5068485261516194E-6</v>
          </cell>
          <cell r="H243">
            <v>0.13151121636767499</v>
          </cell>
          <cell r="I243">
            <v>7.6501116743591904E-2</v>
          </cell>
          <cell r="J243">
            <v>7.4684404294394199E-6</v>
          </cell>
          <cell r="K243">
            <v>1.2445934324489301E-2</v>
          </cell>
          <cell r="L243">
            <v>6.4268919917871203E-2</v>
          </cell>
          <cell r="M243">
            <v>5.3280859028848103E-4</v>
          </cell>
          <cell r="N243">
            <v>1.39417953791101E-4</v>
          </cell>
          <cell r="O243">
            <v>4.2189815285666399E-2</v>
          </cell>
        </row>
        <row r="244">
          <cell r="A244" t="str">
            <v>ITOT-SWHLFOBR</v>
          </cell>
          <cell r="B244" t="str">
            <v>VAR_cap</v>
          </cell>
          <cell r="C244" t="str">
            <v>-</v>
          </cell>
          <cell r="D244">
            <v>0.37633543963083199</v>
          </cell>
          <cell r="E244">
            <v>0.37637029132342947</v>
          </cell>
          <cell r="F244">
            <v>0.37636768997841769</v>
          </cell>
          <cell r="G244">
            <v>0.37634382101601832</v>
          </cell>
          <cell r="H244">
            <v>0.22911584444089289</v>
          </cell>
          <cell r="I244">
            <v>0.20801552708204071</v>
          </cell>
          <cell r="J244">
            <v>0.12498324606302789</v>
          </cell>
          <cell r="K244">
            <v>8.8934384499868943E-2</v>
          </cell>
          <cell r="L244">
            <v>8.8462644704879564E-2</v>
          </cell>
          <cell r="M244">
            <v>7.7233657488262983E-2</v>
          </cell>
          <cell r="N244">
            <v>4.6744035939292848E-2</v>
          </cell>
          <cell r="O244">
            <v>4.2845173310444483E-2</v>
          </cell>
        </row>
        <row r="245">
          <cell r="A245" t="str">
            <v>D-SCOM_LTH_CHPNGA</v>
          </cell>
          <cell r="B245" t="str">
            <v>VAR_fout</v>
          </cell>
          <cell r="C245" t="str">
            <v>LTH</v>
          </cell>
          <cell r="D245"/>
          <cell r="E245"/>
          <cell r="F245">
            <v>6.433867932341945E-4</v>
          </cell>
          <cell r="G245">
            <v>1.7655180846026081E-3</v>
          </cell>
          <cell r="H245">
            <v>2.4633184211427378E-3</v>
          </cell>
          <cell r="I245">
            <v>2.0581806526702622E-3</v>
          </cell>
          <cell r="J245"/>
          <cell r="L245">
            <v>1.6950289997908576E-6</v>
          </cell>
          <cell r="M245">
            <v>2.3391897462408308E-6</v>
          </cell>
          <cell r="N245">
            <v>1.5053697980623447E-6</v>
          </cell>
          <cell r="O245">
            <v>3.9569884359608785E-6</v>
          </cell>
        </row>
        <row r="246">
          <cell r="A246" t="str">
            <v>D-SCOM_LTH_CHPNGA</v>
          </cell>
          <cell r="B246" t="str">
            <v>VAR_fout</v>
          </cell>
          <cell r="C246" t="str">
            <v>SCOM_LTH_CHPNGA_ON</v>
          </cell>
          <cell r="D246">
            <v>0.69257562262762606</v>
          </cell>
          <cell r="E246">
            <v>0.75019185902769525</v>
          </cell>
          <cell r="F246">
            <v>1.1977876139246</v>
          </cell>
          <cell r="G246">
            <v>1.4284180382985527</v>
          </cell>
          <cell r="H246">
            <v>1.3231672096120832</v>
          </cell>
          <cell r="I246">
            <v>0.85567663156859297</v>
          </cell>
          <cell r="J246"/>
          <cell r="K246"/>
          <cell r="L246">
            <v>1.271139079913905E-3</v>
          </cell>
          <cell r="M246">
            <v>1.2585231292965456E-3</v>
          </cell>
          <cell r="N246">
            <v>8.778642983450377E-4</v>
          </cell>
          <cell r="O246">
            <v>1.4959833614982189E-3</v>
          </cell>
        </row>
        <row r="247">
          <cell r="A247" t="str">
            <v>D-SCOM_LTH_CHPNGA</v>
          </cell>
          <cell r="B247" t="str">
            <v>VAR_fin</v>
          </cell>
          <cell r="C247" t="str">
            <v>SCOM_LTH_CHPNGA</v>
          </cell>
          <cell r="D247">
            <v>0.69257562262762606</v>
          </cell>
          <cell r="E247">
            <v>0.75019398158517903</v>
          </cell>
          <cell r="F247">
            <v>1.198431000717834</v>
          </cell>
          <cell r="G247">
            <v>1.4301835563831549</v>
          </cell>
          <cell r="H247">
            <v>1.3256305280332259</v>
          </cell>
          <cell r="I247">
            <v>0.85773481222126258</v>
          </cell>
          <cell r="J247"/>
          <cell r="K247"/>
          <cell r="L247">
            <v>1.2739136345192373E-3</v>
          </cell>
          <cell r="M247">
            <v>1.261913450124414E-3</v>
          </cell>
          <cell r="N247">
            <v>8.8040471049721878E-4</v>
          </cell>
          <cell r="O247">
            <v>1.5008256040870045E-3</v>
          </cell>
        </row>
        <row r="248">
          <cell r="A248" t="str">
            <v>D-IWOD</v>
          </cell>
          <cell r="B248" t="str">
            <v>VAR_fout</v>
          </cell>
          <cell r="C248" t="str">
            <v>IWOD</v>
          </cell>
          <cell r="D248">
            <v>9.874573565265349</v>
          </cell>
          <cell r="E248">
            <v>11.664670066657692</v>
          </cell>
          <cell r="F248">
            <v>14.392710080041981</v>
          </cell>
          <cell r="G248">
            <v>16.721860705384646</v>
          </cell>
          <cell r="H248">
            <v>17.846523656919981</v>
          </cell>
          <cell r="I248">
            <v>16.483198881130864</v>
          </cell>
          <cell r="J248">
            <v>20.993752142724382</v>
          </cell>
          <cell r="K248">
            <v>22.124365168349851</v>
          </cell>
          <cell r="L248">
            <v>21.865549702512141</v>
          </cell>
          <cell r="M248">
            <v>23.145651830494185</v>
          </cell>
          <cell r="N248">
            <v>21.924045066695893</v>
          </cell>
          <cell r="O248">
            <v>21.943900208250355</v>
          </cell>
        </row>
        <row r="249">
          <cell r="A249" t="str">
            <v>D-IWOD</v>
          </cell>
          <cell r="B249" t="str">
            <v>VAR_fin</v>
          </cell>
          <cell r="C249" t="str">
            <v>WOD</v>
          </cell>
          <cell r="D249">
            <v>9.874573565265349</v>
          </cell>
          <cell r="E249">
            <v>11.664670066657692</v>
          </cell>
          <cell r="F249">
            <v>14.392710080041981</v>
          </cell>
          <cell r="G249">
            <v>16.721860705384646</v>
          </cell>
          <cell r="H249">
            <v>17.846523656919981</v>
          </cell>
          <cell r="I249">
            <v>16.483198881130864</v>
          </cell>
          <cell r="J249">
            <v>20.993752142724382</v>
          </cell>
          <cell r="K249">
            <v>22.124365168349851</v>
          </cell>
          <cell r="L249">
            <v>21.865549702512141</v>
          </cell>
          <cell r="M249">
            <v>23.145651830494185</v>
          </cell>
          <cell r="N249">
            <v>21.924045066695893</v>
          </cell>
          <cell r="O249">
            <v>21.943900208250355</v>
          </cell>
        </row>
        <row r="250">
          <cell r="A250" t="str">
            <v>SCOM-ELCSPEC</v>
          </cell>
          <cell r="B250" t="str">
            <v>VAR_fout</v>
          </cell>
          <cell r="C250" t="str">
            <v>SCOM-ELS</v>
          </cell>
          <cell r="D250">
            <v>56.994774574912441</v>
          </cell>
          <cell r="E250">
            <v>58.701894601476312</v>
          </cell>
          <cell r="F250">
            <v>51.372266814894083</v>
          </cell>
          <cell r="G250">
            <v>52.669879437854689</v>
          </cell>
          <cell r="H250">
            <v>52.892419712570778</v>
          </cell>
          <cell r="I250">
            <v>54.071103324101372</v>
          </cell>
          <cell r="J250">
            <v>54.02121489939961</v>
          </cell>
          <cell r="K250">
            <v>53.971292220615645</v>
          </cell>
          <cell r="L250">
            <v>55.018950380926043</v>
          </cell>
          <cell r="M250">
            <v>55.873840620578797</v>
          </cell>
          <cell r="N250">
            <v>56.683929356422858</v>
          </cell>
          <cell r="O250">
            <v>57.458143958146707</v>
          </cell>
        </row>
        <row r="251">
          <cell r="A251" t="str">
            <v>SCOM-ELCSPEC</v>
          </cell>
          <cell r="B251" t="str">
            <v>VAR_fin</v>
          </cell>
          <cell r="C251" t="str">
            <v>SCOM_ELC</v>
          </cell>
          <cell r="D251">
            <v>56.994774574912441</v>
          </cell>
          <cell r="E251">
            <v>58.701894601476312</v>
          </cell>
          <cell r="F251">
            <v>51.372266814894083</v>
          </cell>
          <cell r="G251">
            <v>52.669879437854689</v>
          </cell>
          <cell r="H251">
            <v>52.892419712570778</v>
          </cell>
          <cell r="I251">
            <v>54.071103324101372</v>
          </cell>
          <cell r="J251">
            <v>54.02121489939961</v>
          </cell>
          <cell r="K251">
            <v>53.971292220615645</v>
          </cell>
          <cell r="L251">
            <v>55.018950380926043</v>
          </cell>
          <cell r="M251">
            <v>55.873840620578797</v>
          </cell>
          <cell r="N251">
            <v>56.683929356422858</v>
          </cell>
          <cell r="O251">
            <v>57.458143958146707</v>
          </cell>
        </row>
        <row r="252">
          <cell r="A252" t="str">
            <v>SCOM-ELCSPEC</v>
          </cell>
          <cell r="B252" t="str">
            <v>VAR_ncap</v>
          </cell>
          <cell r="C252" t="str">
            <v>-</v>
          </cell>
          <cell r="D252">
            <v>4.1798231634705199E-8</v>
          </cell>
          <cell r="E252">
            <v>4.0357808234237198E-7</v>
          </cell>
          <cell r="F252">
            <v>3.5020750947305199E-7</v>
          </cell>
          <cell r="G252">
            <v>4.41912498720941E-7</v>
          </cell>
          <cell r="H252">
            <v>1.7751733006714899E-6</v>
          </cell>
          <cell r="I252">
            <v>0.1245864710301</v>
          </cell>
          <cell r="J252">
            <v>3.6291018823507999</v>
          </cell>
          <cell r="K252">
            <v>1.9510394921597201</v>
          </cell>
          <cell r="L252">
            <v>0.110737644164774</v>
          </cell>
          <cell r="M252">
            <v>9.0364492827868695E-2</v>
          </cell>
          <cell r="N252">
            <v>0.77834772519425899</v>
          </cell>
          <cell r="O252">
            <v>3.1428007736527102</v>
          </cell>
        </row>
        <row r="253">
          <cell r="A253" t="str">
            <v>SCOM-ELCSPEC</v>
          </cell>
          <cell r="B253" t="str">
            <v>VAR_cap</v>
          </cell>
          <cell r="C253" t="str">
            <v>-</v>
          </cell>
          <cell r="D253">
            <v>6.6055313101520916</v>
          </cell>
          <cell r="E253">
            <v>6.2047499276457705</v>
          </cell>
          <cell r="F253">
            <v>5.5906916728786538</v>
          </cell>
          <cell r="G253">
            <v>5.5906912372018525</v>
          </cell>
          <cell r="H253">
            <v>5.5906925353867027</v>
          </cell>
          <cell r="I253">
            <v>5.7152783648977632</v>
          </cell>
          <cell r="J253">
            <v>5.7100050854641289</v>
          </cell>
          <cell r="K253">
            <v>5.7047284779997156</v>
          </cell>
          <cell r="L253">
            <v>5.8154650852966929</v>
          </cell>
          <cell r="M253">
            <v>5.905826678619448</v>
          </cell>
          <cell r="N253">
            <v>5.9914523245507905</v>
          </cell>
          <cell r="O253">
            <v>6.0732867622032609</v>
          </cell>
        </row>
        <row r="254">
          <cell r="A254" t="str">
            <v>D-ITOT_KEV_WST_ELC_CHP</v>
          </cell>
          <cell r="B254" t="str">
            <v>VAR_fout</v>
          </cell>
          <cell r="C254" t="str">
            <v>ITOT_ELC</v>
          </cell>
          <cell r="D254">
            <v>3.2142176552093637E-4</v>
          </cell>
          <cell r="E254">
            <v>1.1108643051754445E-4</v>
          </cell>
          <cell r="F254">
            <v>2.0687504291288123E-4</v>
          </cell>
          <cell r="G254">
            <v>0.32805355050065976</v>
          </cell>
          <cell r="H254">
            <v>0.26341748197077247</v>
          </cell>
          <cell r="I254">
            <v>0.29582094937758735</v>
          </cell>
          <cell r="J254">
            <v>0.48516549788127655</v>
          </cell>
          <cell r="K254">
            <v>0.52679919808867337</v>
          </cell>
          <cell r="L254">
            <v>0.49438398277767098</v>
          </cell>
          <cell r="M254">
            <v>0.50697348482327143</v>
          </cell>
          <cell r="N254">
            <v>0.51420558814097328</v>
          </cell>
          <cell r="O254">
            <v>0.50572037249480306</v>
          </cell>
        </row>
        <row r="255">
          <cell r="A255" t="str">
            <v>D-ITOT_KEV_WST_ELC_CHP</v>
          </cell>
          <cell r="B255" t="str">
            <v>VAR_fout</v>
          </cell>
          <cell r="C255" t="str">
            <v>ELC5</v>
          </cell>
          <cell r="D255">
            <v>0.22971984639084636</v>
          </cell>
          <cell r="E255">
            <v>0.23004630267125473</v>
          </cell>
          <cell r="F255">
            <v>0.33650040772230072</v>
          </cell>
          <cell r="G255">
            <v>4.89298160244722E-3</v>
          </cell>
          <cell r="H255">
            <v>6.5769624467938215E-2</v>
          </cell>
          <cell r="I255">
            <v>1.8632879779034429E-2</v>
          </cell>
          <cell r="J255">
            <v>0.11069795089899968</v>
          </cell>
          <cell r="K255">
            <v>6.616133891322476E-2</v>
          </cell>
          <cell r="L255">
            <v>9.8549846074925271E-2</v>
          </cell>
          <cell r="M255">
            <v>8.598839150985324E-2</v>
          </cell>
          <cell r="N255">
            <v>7.8752831512958629E-2</v>
          </cell>
          <cell r="O255">
            <v>8.7248098939337895E-2</v>
          </cell>
        </row>
        <row r="256">
          <cell r="A256" t="str">
            <v>D-ITOT_KEV_WST_ELC_CHP</v>
          </cell>
          <cell r="B256" t="str">
            <v>VAR_fin</v>
          </cell>
          <cell r="C256" t="str">
            <v>ITOT_KEV_WST_ELC_CHP</v>
          </cell>
          <cell r="D256">
            <v>0.2300412681563673</v>
          </cell>
          <cell r="E256">
            <v>0.23015738910177216</v>
          </cell>
          <cell r="F256">
            <v>0.3367057779011039</v>
          </cell>
          <cell r="G256">
            <v>0.33294536777593942</v>
          </cell>
          <cell r="H256">
            <v>0.32918511329001515</v>
          </cell>
          <cell r="I256">
            <v>0.31445382915662179</v>
          </cell>
          <cell r="J256">
            <v>0.59586344878027653</v>
          </cell>
          <cell r="K256">
            <v>0.59296053700189899</v>
          </cell>
          <cell r="L256">
            <v>0.59293382885259582</v>
          </cell>
          <cell r="M256">
            <v>0.59296187633312447</v>
          </cell>
          <cell r="N256">
            <v>0.59295841965393126</v>
          </cell>
          <cell r="O256">
            <v>0.59296847143414089</v>
          </cell>
        </row>
        <row r="257">
          <cell r="A257" t="str">
            <v>D-RHNM_SOLELC</v>
          </cell>
          <cell r="B257" t="str">
            <v>VAR_fout</v>
          </cell>
          <cell r="C257" t="str">
            <v>ELC5</v>
          </cell>
          <cell r="D257"/>
          <cell r="E257">
            <v>1.2564010838733377E-6</v>
          </cell>
          <cell r="F257">
            <v>1.5838457216432402</v>
          </cell>
          <cell r="G257">
            <v>4.3512564848381894</v>
          </cell>
          <cell r="H257">
            <v>3.9283372679323634</v>
          </cell>
          <cell r="I257">
            <v>3.905334441573987</v>
          </cell>
          <cell r="J257">
            <v>4.0642554582586676</v>
          </cell>
          <cell r="K257">
            <v>3.9342075612593654</v>
          </cell>
          <cell r="L257">
            <v>4.1566922174585192</v>
          </cell>
          <cell r="M257">
            <v>4.2804123939094199</v>
          </cell>
          <cell r="N257">
            <v>4.4528391876149991</v>
          </cell>
          <cell r="O257">
            <v>4.6067051627947668</v>
          </cell>
        </row>
        <row r="258">
          <cell r="A258" t="str">
            <v>D-RHNM_SOLELC</v>
          </cell>
          <cell r="B258" t="str">
            <v>VAR_fout</v>
          </cell>
          <cell r="C258" t="str">
            <v>RHNM_ELC</v>
          </cell>
          <cell r="D258"/>
          <cell r="E258">
            <v>1.2602202352411681E-6</v>
          </cell>
          <cell r="F258">
            <v>1.2278682567557759</v>
          </cell>
          <cell r="G258">
            <v>2.3399793143659822</v>
          </cell>
          <cell r="H258">
            <v>3.1038631680055579</v>
          </cell>
          <cell r="I258">
            <v>3.4858903745509258</v>
          </cell>
          <cell r="J258">
            <v>3.700827640907121</v>
          </cell>
          <cell r="K258">
            <v>3.9375832957958652</v>
          </cell>
          <cell r="L258">
            <v>4.0855691255842412</v>
          </cell>
          <cell r="M258">
            <v>4.3633827811618966</v>
          </cell>
          <cell r="N258">
            <v>4.6141047779323383</v>
          </cell>
          <cell r="O258">
            <v>4.8498574129976468</v>
          </cell>
        </row>
        <row r="259">
          <cell r="A259" t="str">
            <v>D-RHNM_SOLELC</v>
          </cell>
          <cell r="B259" t="str">
            <v>VAR_fin</v>
          </cell>
          <cell r="C259" t="str">
            <v>RHNM_SOL_ELC</v>
          </cell>
          <cell r="D259"/>
          <cell r="E259">
            <v>2.8187686482106493E-6</v>
          </cell>
          <cell r="F259">
            <v>2.8117139783990162</v>
          </cell>
          <cell r="G259">
            <v>6.6912357992041676</v>
          </cell>
          <cell r="H259">
            <v>7.0322004359379235</v>
          </cell>
          <cell r="I259">
            <v>7.3912248161249163</v>
          </cell>
          <cell r="J259">
            <v>7.7650830991657873</v>
          </cell>
          <cell r="K259">
            <v>7.8717908570552346</v>
          </cell>
          <cell r="L259">
            <v>8.2422613430427543</v>
          </cell>
          <cell r="M259">
            <v>8.6437951750713182</v>
          </cell>
          <cell r="N259">
            <v>9.0669439655473365</v>
          </cell>
          <cell r="O259">
            <v>9.4565625757924128</v>
          </cell>
        </row>
        <row r="260">
          <cell r="A260" t="str">
            <v>RHNM-SHSTG-ELCHP</v>
          </cell>
          <cell r="B260" t="str">
            <v>VAR_fout</v>
          </cell>
          <cell r="C260" t="str">
            <v>RHNM-SHAELCH</v>
          </cell>
          <cell r="D260"/>
          <cell r="E260">
            <v>8.5824860315661611E-2</v>
          </cell>
          <cell r="F260">
            <v>0.3411951225177009</v>
          </cell>
          <cell r="G260">
            <v>0.67270630630899708</v>
          </cell>
          <cell r="H260">
            <v>0.79572345915675469</v>
          </cell>
          <cell r="I260">
            <v>0.77163919156268546</v>
          </cell>
          <cell r="J260">
            <v>1.0040628157537521</v>
          </cell>
          <cell r="K260">
            <v>1.5835764564179791</v>
          </cell>
          <cell r="L260">
            <v>2.1037421835491275</v>
          </cell>
          <cell r="M260">
            <v>2.131239286874822</v>
          </cell>
          <cell r="N260">
            <v>2.1912790659848698</v>
          </cell>
          <cell r="O260">
            <v>1.947579825180801</v>
          </cell>
        </row>
        <row r="261">
          <cell r="A261" t="str">
            <v>RHNM-SHSTG-ELCHP</v>
          </cell>
          <cell r="B261" t="str">
            <v>VAR_fin</v>
          </cell>
          <cell r="C261" t="str">
            <v>RHNM-SHAELCH</v>
          </cell>
          <cell r="D261"/>
          <cell r="E261">
            <v>8.5829257922345262E-2</v>
          </cell>
          <cell r="F261">
            <v>0.34121205318405878</v>
          </cell>
          <cell r="G261">
            <v>0.67273385776226824</v>
          </cell>
          <cell r="H261">
            <v>0.79575709411771411</v>
          </cell>
          <cell r="I261">
            <v>0.77166877743032491</v>
          </cell>
          <cell r="J261">
            <v>1.0041043845725672</v>
          </cell>
          <cell r="K261">
            <v>1.5836387750162642</v>
          </cell>
          <cell r="L261">
            <v>2.1038298507165432</v>
          </cell>
          <cell r="M261">
            <v>2.1313129013191419</v>
          </cell>
          <cell r="N261">
            <v>2.1913794568887193</v>
          </cell>
          <cell r="O261">
            <v>1.9476760873922023</v>
          </cell>
        </row>
        <row r="262">
          <cell r="A262" t="str">
            <v>RHNM-SHSTG-ELCHP</v>
          </cell>
          <cell r="B262" t="str">
            <v>VAR_ncap</v>
          </cell>
          <cell r="C262" t="str">
            <v>-</v>
          </cell>
          <cell r="D262">
            <v>2.6460013878573401E-5</v>
          </cell>
          <cell r="E262">
            <v>9.6515708450379094E-3</v>
          </cell>
          <cell r="F262">
            <v>2.8517396846776202E-2</v>
          </cell>
          <cell r="G262">
            <v>4.1926335748800399E-2</v>
          </cell>
          <cell r="H262">
            <v>4.0356585556077804E-3</v>
          </cell>
          <cell r="I262">
            <v>3.5517743410058998E-2</v>
          </cell>
          <cell r="J262">
            <v>6.2318006108025202E-2</v>
          </cell>
          <cell r="K262">
            <v>5.9647026306647803E-2</v>
          </cell>
          <cell r="L262">
            <v>8.0001909510840796E-2</v>
          </cell>
          <cell r="M262">
            <v>7.3362014315155696E-2</v>
          </cell>
          <cell r="N262">
            <v>7.4410024026479393E-2</v>
          </cell>
          <cell r="O262">
            <v>6.5182163310489594E-2</v>
          </cell>
        </row>
        <row r="263">
          <cell r="A263" t="str">
            <v>RHNM-SHSTG-ELCHP</v>
          </cell>
          <cell r="B263" t="str">
            <v>VAR_cap</v>
          </cell>
          <cell r="C263" t="str">
            <v>-</v>
          </cell>
          <cell r="D263">
            <v>2.6460013878573401E-5</v>
          </cell>
          <cell r="E263">
            <v>9.67598998841478E-3</v>
          </cell>
          <cell r="F263">
            <v>3.8189193930903483E-2</v>
          </cell>
          <cell r="G263">
            <v>8.0109211880237424E-2</v>
          </cell>
          <cell r="H263">
            <v>7.9398343794348042E-2</v>
          </cell>
          <cell r="I263">
            <v>7.9461208711310571E-2</v>
          </cell>
          <cell r="J263">
            <v>0.10185152746030986</v>
          </cell>
          <cell r="K263">
            <v>0.15742360181788909</v>
          </cell>
          <cell r="L263">
            <v>0.19907550739865626</v>
          </cell>
          <cell r="M263">
            <v>0.21291406666521279</v>
          </cell>
          <cell r="N263">
            <v>0.21283708367099025</v>
          </cell>
          <cell r="O263">
            <v>0.21284720373516269</v>
          </cell>
        </row>
        <row r="264">
          <cell r="A264" t="str">
            <v>D-SCOM_LTH</v>
          </cell>
          <cell r="B264" t="str">
            <v>VAR_fout</v>
          </cell>
          <cell r="C264" t="str">
            <v>SCOM_LTH_DH</v>
          </cell>
          <cell r="D264">
            <v>5.6100012936944053</v>
          </cell>
          <cell r="E264">
            <v>6.076703053036419</v>
          </cell>
          <cell r="F264">
            <v>6.0767031345470732</v>
          </cell>
          <cell r="G264">
            <v>6.0767030876961634</v>
          </cell>
          <cell r="H264">
            <v>6.0767028683659969</v>
          </cell>
          <cell r="I264">
            <v>6.3077784760196485</v>
          </cell>
          <cell r="J264">
            <v>7.936630256876537</v>
          </cell>
          <cell r="K264">
            <v>8.3471106588087576</v>
          </cell>
          <cell r="L264">
            <v>8.3471106278092098</v>
          </cell>
          <cell r="M264">
            <v>8.3471112598752892</v>
          </cell>
          <cell r="N264">
            <v>8.3471115800613944</v>
          </cell>
          <cell r="O264">
            <v>8.3471130734537748</v>
          </cell>
        </row>
        <row r="265">
          <cell r="A265" t="str">
            <v>D-SCOM_LTH</v>
          </cell>
          <cell r="B265" t="str">
            <v>VAR_fin</v>
          </cell>
          <cell r="C265" t="str">
            <v>LTH</v>
          </cell>
          <cell r="D265">
            <v>6.0987771401086857</v>
          </cell>
          <cell r="E265">
            <v>6.6044044896067824</v>
          </cell>
          <cell r="F265">
            <v>6.6018020281190388</v>
          </cell>
          <cell r="G265">
            <v>6.5974689488807092</v>
          </cell>
          <cell r="H265">
            <v>6.5931413667225121</v>
          </cell>
          <cell r="I265">
            <v>6.8393693025605806</v>
          </cell>
          <cell r="J265">
            <v>8.5998562569660955</v>
          </cell>
          <cell r="K265">
            <v>9.038717714880395</v>
          </cell>
          <cell r="L265">
            <v>9.0387176813123524</v>
          </cell>
          <cell r="M265">
            <v>9.0387183657488084</v>
          </cell>
          <cell r="N265">
            <v>9.0387187124642132</v>
          </cell>
          <cell r="O265">
            <v>9.0387203295929055</v>
          </cell>
        </row>
        <row r="266">
          <cell r="A266" t="str">
            <v>D-SCOM_LTH</v>
          </cell>
          <cell r="B266" t="str">
            <v>VAR_ncap</v>
          </cell>
          <cell r="C266" t="str">
            <v>-</v>
          </cell>
          <cell r="D266">
            <v>0.84970025119983505</v>
          </cell>
          <cell r="E266">
            <v>2.3786602233914301E-8</v>
          </cell>
          <cell r="F266">
            <v>1.8310853543938999E-8</v>
          </cell>
          <cell r="G266">
            <v>1.5326911475791599E-8</v>
          </cell>
          <cell r="H266">
            <v>1.66200820670207E-8</v>
          </cell>
          <cell r="I266">
            <v>2.2727557913081802E-8</v>
          </cell>
          <cell r="J266">
            <v>2.5262574219168699E-8</v>
          </cell>
          <cell r="K266">
            <v>4.7056880020202898E-8</v>
          </cell>
          <cell r="L266">
            <v>4.52101430079018E-8</v>
          </cell>
          <cell r="M266">
            <v>9.3807305543497098E-8</v>
          </cell>
          <cell r="N266">
            <v>1.07384097817744E-7</v>
          </cell>
          <cell r="O266">
            <v>3.5990739989150398E-6</v>
          </cell>
        </row>
        <row r="267">
          <cell r="A267" t="str">
            <v>D-SCOM_LTH</v>
          </cell>
          <cell r="B267" t="str">
            <v>VAR_cap</v>
          </cell>
          <cell r="C267" t="str">
            <v>-</v>
          </cell>
          <cell r="D267">
            <v>0.84970025119983505</v>
          </cell>
          <cell r="E267">
            <v>0.84970027498643697</v>
          </cell>
          <cell r="F267">
            <v>0.84970029329729102</v>
          </cell>
          <cell r="G267">
            <v>0.84970030862420198</v>
          </cell>
          <cell r="H267">
            <v>0.84970032524428496</v>
          </cell>
          <cell r="I267">
            <v>0.84970034797184202</v>
          </cell>
          <cell r="J267">
            <v>0.84970037323441705</v>
          </cell>
          <cell r="K267">
            <v>0.849700420291297</v>
          </cell>
          <cell r="L267">
            <v>0.84970046550143996</v>
          </cell>
          <cell r="M267">
            <v>0.849700559308745</v>
          </cell>
          <cell r="N267">
            <v>0.84970066669284305</v>
          </cell>
          <cell r="O267">
            <v>0.84970426576684199</v>
          </cell>
        </row>
        <row r="268">
          <cell r="A268" t="str">
            <v>ITOT-SWHBIOBR</v>
          </cell>
          <cell r="B268" t="str">
            <v>VAR_fout</v>
          </cell>
          <cell r="C268" t="str">
            <v>ITOT-SWH</v>
          </cell>
          <cell r="D268">
            <v>0.31051207217987981</v>
          </cell>
          <cell r="E268">
            <v>0.39251838746682438</v>
          </cell>
          <cell r="F268">
            <v>1.9652130340033653</v>
          </cell>
          <cell r="G268">
            <v>4.3891858819672649</v>
          </cell>
          <cell r="H268">
            <v>4.3891923153918384</v>
          </cell>
          <cell r="I268">
            <v>4.3891927092543872</v>
          </cell>
          <cell r="J268">
            <v>4.416972680986663</v>
          </cell>
          <cell r="K268">
            <v>4.4447531092429537</v>
          </cell>
          <cell r="L268">
            <v>4.4447548752370327</v>
          </cell>
          <cell r="M268">
            <v>4.4447736015580794</v>
          </cell>
          <cell r="N268">
            <v>4.4447747521751984</v>
          </cell>
          <cell r="O268">
            <v>4.4447856270589483</v>
          </cell>
        </row>
        <row r="269">
          <cell r="A269" t="str">
            <v>ITOT-SWHBIOBR</v>
          </cell>
          <cell r="B269" t="str">
            <v>VAR_fin</v>
          </cell>
          <cell r="C269" t="str">
            <v>IBIO</v>
          </cell>
          <cell r="D269">
            <v>0.43672583991544323</v>
          </cell>
          <cell r="E269">
            <v>0.55206524256937328</v>
          </cell>
          <cell r="F269">
            <v>2.7640127060525521</v>
          </cell>
          <cell r="G269">
            <v>6.1732572179567686</v>
          </cell>
          <cell r="H269">
            <v>6.1732662663738918</v>
          </cell>
          <cell r="I269">
            <v>6.173266820329661</v>
          </cell>
          <cell r="J269">
            <v>6.1732671991427885</v>
          </cell>
          <cell r="K269">
            <v>6.1732682072818728</v>
          </cell>
          <cell r="L269">
            <v>6.1732706600514353</v>
          </cell>
          <cell r="M269">
            <v>6.1732966688306687</v>
          </cell>
          <cell r="N269">
            <v>6.1732982669099972</v>
          </cell>
          <cell r="O269">
            <v>6.1733133709152055</v>
          </cell>
        </row>
        <row r="270">
          <cell r="A270" t="str">
            <v>ITOT-SWHBIOBR</v>
          </cell>
          <cell r="B270" t="str">
            <v>VAR_ncap</v>
          </cell>
          <cell r="C270" t="str">
            <v>-</v>
          </cell>
          <cell r="D270"/>
          <cell r="E270">
            <v>8.2376857937055403E-3</v>
          </cell>
          <cell r="F270">
            <v>0.103775031444933</v>
          </cell>
          <cell r="G270">
            <v>0.11593087753737</v>
          </cell>
          <cell r="H270">
            <v>3.4104840666173197E-2</v>
          </cell>
          <cell r="I270">
            <v>0.23143396748751199</v>
          </cell>
          <cell r="J270">
            <v>4.2906193416358297E-2</v>
          </cell>
          <cell r="K270">
            <v>5.3970166022350698E-2</v>
          </cell>
          <cell r="L270">
            <v>0.192061446043402</v>
          </cell>
          <cell r="M270">
            <v>5.9178401855870699E-2</v>
          </cell>
          <cell r="N270">
            <v>8.5393478170011597E-2</v>
          </cell>
          <cell r="O270">
            <v>0.133900002691861</v>
          </cell>
        </row>
        <row r="271">
          <cell r="A271" t="str">
            <v>ITOT-SWHBIOBR</v>
          </cell>
          <cell r="B271" t="str">
            <v>VAR_cap</v>
          </cell>
          <cell r="C271" t="str">
            <v>-</v>
          </cell>
          <cell r="D271">
            <v>1.7013611085743299E-2</v>
          </cell>
          <cell r="E271">
            <v>2.5250380248942498E-2</v>
          </cell>
          <cell r="F271">
            <v>0.12902323517181544</v>
          </cell>
          <cell r="G271">
            <v>0.24495095728755323</v>
          </cell>
          <cell r="H271">
            <v>0.2624283340665613</v>
          </cell>
          <cell r="I271">
            <v>0.38119613253973661</v>
          </cell>
          <cell r="J271">
            <v>0.30843867192473978</v>
          </cell>
          <cell r="K271">
            <v>0.32830013420400539</v>
          </cell>
          <cell r="L271">
            <v>0.31880183770172837</v>
          </cell>
          <cell r="M271">
            <v>0.30519783522909716</v>
          </cell>
          <cell r="N271">
            <v>0.28528804327573715</v>
          </cell>
          <cell r="O271">
            <v>0.27845059512260273</v>
          </cell>
        </row>
        <row r="272">
          <cell r="A272" t="str">
            <v>RHNS-SHPLTBR</v>
          </cell>
          <cell r="B272" t="str">
            <v>VAR_fout</v>
          </cell>
          <cell r="C272" t="str">
            <v>RHNS-SHPLT</v>
          </cell>
          <cell r="D272"/>
          <cell r="E272"/>
          <cell r="F272">
            <v>7.6081211463148064E-5</v>
          </cell>
          <cell r="G272">
            <v>5.6297041253399014E-4</v>
          </cell>
          <cell r="H272">
            <v>5.9238231759855555E-4</v>
          </cell>
          <cell r="I272">
            <v>5.9353398590726331E-4</v>
          </cell>
          <cell r="J272">
            <v>5.9431100148193364E-4</v>
          </cell>
          <cell r="K272">
            <v>2.0493843788793099E-3</v>
          </cell>
          <cell r="L272">
            <v>2.0491133660796215E-3</v>
          </cell>
          <cell r="M272">
            <v>2.0502631749876469E-3</v>
          </cell>
          <cell r="N272">
            <v>2.0508181744821807E-3</v>
          </cell>
          <cell r="O272">
            <v>2.0526103723502677E-3</v>
          </cell>
        </row>
        <row r="273">
          <cell r="A273" t="str">
            <v>RHNS-SHPLTBR</v>
          </cell>
          <cell r="B273" t="str">
            <v>VAR_fin</v>
          </cell>
          <cell r="C273" t="str">
            <v>RPLT</v>
          </cell>
          <cell r="D273"/>
          <cell r="E273"/>
          <cell r="F273">
            <v>8.4534679403497736E-5</v>
          </cell>
          <cell r="G273">
            <v>6.2552268059332334E-4</v>
          </cell>
          <cell r="H273">
            <v>6.5820257510950612E-4</v>
          </cell>
          <cell r="I273">
            <v>6.5948220656362566E-4</v>
          </cell>
          <cell r="J273">
            <v>6.6034555720214879E-4</v>
          </cell>
          <cell r="K273">
            <v>2.2770937543103421E-3</v>
          </cell>
          <cell r="L273">
            <v>2.2767926289773582E-3</v>
          </cell>
          <cell r="M273">
            <v>2.2780701944307216E-3</v>
          </cell>
          <cell r="N273">
            <v>2.2786868605357549E-3</v>
          </cell>
          <cell r="O273">
            <v>2.2806781915002973E-3</v>
          </cell>
        </row>
        <row r="274">
          <cell r="A274" t="str">
            <v>RHNS-SHPLTBR</v>
          </cell>
          <cell r="B274" t="str">
            <v>VAR_ncap</v>
          </cell>
          <cell r="C274" t="str">
            <v>-</v>
          </cell>
          <cell r="D274"/>
          <cell r="E274">
            <v>2.15271512182692E-8</v>
          </cell>
          <cell r="F274">
            <v>8.7488526989289101E-6</v>
          </cell>
          <cell r="G274">
            <v>4.4131410657991697E-5</v>
          </cell>
          <cell r="H274">
            <v>1.53664560294383E-6</v>
          </cell>
          <cell r="I274">
            <v>1.06159053727343E-5</v>
          </cell>
          <cell r="J274">
            <v>3.5917666029495297E-5</v>
          </cell>
          <cell r="K274">
            <v>1.17914383926214E-4</v>
          </cell>
          <cell r="L274">
            <v>4.0435866863950501E-6</v>
          </cell>
          <cell r="M274">
            <v>3.7249023126391402E-5</v>
          </cell>
          <cell r="N274">
            <v>9.6346498767581898E-5</v>
          </cell>
          <cell r="O274">
            <v>3.4379103451179898E-5</v>
          </cell>
        </row>
        <row r="275">
          <cell r="A275" t="str">
            <v>RHNS-SHPLTBR</v>
          </cell>
          <cell r="B275" t="str">
            <v>VAR_cap</v>
          </cell>
          <cell r="C275" t="str">
            <v>-</v>
          </cell>
          <cell r="D275"/>
          <cell r="E275">
            <v>2.15271512182692E-8</v>
          </cell>
          <cell r="F275">
            <v>8.7413751710402049E-6</v>
          </cell>
          <cell r="G275">
            <v>5.2810363246297073E-5</v>
          </cell>
          <cell r="H275">
            <v>5.4301528685056197E-5</v>
          </cell>
          <cell r="I275">
            <v>4.9607760742604959E-5</v>
          </cell>
          <cell r="J275">
            <v>4.8008485140128806E-5</v>
          </cell>
          <cell r="K275">
            <v>1.6434797799786939E-4</v>
          </cell>
          <cell r="L275">
            <v>1.5463374428860974E-4</v>
          </cell>
          <cell r="M275">
            <v>1.5908665549090229E-4</v>
          </cell>
          <cell r="N275">
            <v>1.5706358330635727E-4</v>
          </cell>
          <cell r="O275">
            <v>1.6784380499111387E-4</v>
          </cell>
        </row>
        <row r="276">
          <cell r="A276" t="str">
            <v>D-RHNM_KEV_WOD_ELC_CHP</v>
          </cell>
          <cell r="B276" t="str">
            <v>VAR_fout</v>
          </cell>
          <cell r="C276" t="str">
            <v>ELC5</v>
          </cell>
          <cell r="D276"/>
          <cell r="E276"/>
          <cell r="F276"/>
          <cell r="G276">
            <v>1.0286447815041405E-4</v>
          </cell>
          <cell r="H276">
            <v>1.3120030210393816E-4</v>
          </cell>
          <cell r="I276">
            <v>6.33575595214483E-4</v>
          </cell>
          <cell r="J276">
            <v>5.9779479531925557E-4</v>
          </cell>
          <cell r="K276">
            <v>3.3558123305140673E-4</v>
          </cell>
          <cell r="L276">
            <v>1.7600793181722413E-4</v>
          </cell>
          <cell r="M276">
            <v>4.8780660881935487E-4</v>
          </cell>
          <cell r="N276">
            <v>2.0296998778133733E-4</v>
          </cell>
          <cell r="O276">
            <v>3.3150892005779351E-4</v>
          </cell>
        </row>
        <row r="277">
          <cell r="A277" t="str">
            <v>D-RHNM_KEV_WOD_ELC_CHP</v>
          </cell>
          <cell r="B277" t="str">
            <v>VAR_fout</v>
          </cell>
          <cell r="C277" t="str">
            <v>RHNM_ELC</v>
          </cell>
          <cell r="D277"/>
          <cell r="E277"/>
          <cell r="F277"/>
          <cell r="G277">
            <v>5.1175509781591761E-5</v>
          </cell>
          <cell r="H277">
            <v>1.3109953397390188E-4</v>
          </cell>
          <cell r="I277">
            <v>6.3320020533079641E-4</v>
          </cell>
          <cell r="J277">
            <v>5.9749121991923377E-4</v>
          </cell>
          <cell r="K277">
            <v>3.356064773919766E-4</v>
          </cell>
          <cell r="L277">
            <v>1.7603063481552372E-4</v>
          </cell>
          <cell r="M277">
            <v>4.8786596136811086E-4</v>
          </cell>
          <cell r="N277">
            <v>2.0301187992778416E-4</v>
          </cell>
          <cell r="O277">
            <v>3.3163779129417398E-4</v>
          </cell>
        </row>
        <row r="278">
          <cell r="A278" t="str">
            <v>D-RHNM_KEV_WOD_ELC_CHP</v>
          </cell>
          <cell r="B278" t="str">
            <v>VAR_fin</v>
          </cell>
          <cell r="C278" t="str">
            <v>RHNM_KEV_WOD_ELC_CHP</v>
          </cell>
          <cell r="D278"/>
          <cell r="E278"/>
          <cell r="F278"/>
          <cell r="G278">
            <v>1.5341514656598435E-4</v>
          </cell>
          <cell r="H278">
            <v>2.6126425923895451E-4</v>
          </cell>
          <cell r="I278">
            <v>1.2654313319826656E-3</v>
          </cell>
          <cell r="J278">
            <v>1.1932198638443801E-3</v>
          </cell>
          <cell r="K278">
            <v>6.6821778992082572E-4</v>
          </cell>
          <cell r="L278">
            <v>3.5072338887057983E-4</v>
          </cell>
          <cell r="M278">
            <v>9.7313812006042169E-4</v>
          </cell>
          <cell r="N278">
            <v>4.0409593194547791E-4</v>
          </cell>
          <cell r="O278">
            <v>6.602633876148003E-4</v>
          </cell>
        </row>
        <row r="279">
          <cell r="A279" t="str">
            <v>SCOM-SHLTHCHPNGA</v>
          </cell>
          <cell r="B279" t="str">
            <v>VAR_fout</v>
          </cell>
          <cell r="C279" t="str">
            <v>SCOM-SHLTHC-NGA</v>
          </cell>
          <cell r="D279">
            <v>0.68564986640134995</v>
          </cell>
          <cell r="E279">
            <v>0.74268994043741865</v>
          </cell>
          <cell r="F279">
            <v>1.1858097377853547</v>
          </cell>
          <cell r="G279">
            <v>1.4141338579155673</v>
          </cell>
          <cell r="H279">
            <v>1.309935537515962</v>
          </cell>
          <cell r="I279">
            <v>0.84711986525290683</v>
          </cell>
          <cell r="J279"/>
          <cell r="K279"/>
          <cell r="L279">
            <v>1.2584276891147649E-3</v>
          </cell>
          <cell r="M279">
            <v>1.2459378980035798E-3</v>
          </cell>
          <cell r="N279">
            <v>8.690856553615875E-4</v>
          </cell>
          <cell r="O279">
            <v>1.4810235278832358E-3</v>
          </cell>
        </row>
        <row r="280">
          <cell r="A280" t="str">
            <v>SCOM-SHLTHCHPNGA</v>
          </cell>
          <cell r="B280" t="str">
            <v>VAR_fin</v>
          </cell>
          <cell r="C280" t="str">
            <v>SCOMLTHCHPC</v>
          </cell>
          <cell r="D280">
            <v>0.68564986640134995</v>
          </cell>
          <cell r="E280">
            <v>0.74268994043741865</v>
          </cell>
          <cell r="F280">
            <v>1.1858097377853547</v>
          </cell>
          <cell r="G280">
            <v>1.4141338579155673</v>
          </cell>
          <cell r="H280">
            <v>1.309935537515962</v>
          </cell>
          <cell r="I280">
            <v>0.84711986525290683</v>
          </cell>
          <cell r="J280"/>
          <cell r="K280"/>
          <cell r="L280">
            <v>1.2584276891147649E-3</v>
          </cell>
          <cell r="M280">
            <v>1.2459378980035798E-3</v>
          </cell>
          <cell r="N280">
            <v>8.690856553615875E-4</v>
          </cell>
          <cell r="O280">
            <v>1.4810235278832358E-3</v>
          </cell>
        </row>
        <row r="281">
          <cell r="A281" t="str">
            <v>SCOM-SHLTHCHPNGA</v>
          </cell>
          <cell r="B281" t="str">
            <v>VAR_fin</v>
          </cell>
          <cell r="C281" t="str">
            <v>SCOM_LTH_CHPNGA_ON</v>
          </cell>
          <cell r="D281">
            <v>0.69257562262762606</v>
          </cell>
          <cell r="E281">
            <v>0.75019185902769525</v>
          </cell>
          <cell r="F281">
            <v>1.1977876139246</v>
          </cell>
          <cell r="G281">
            <v>1.4284180382985527</v>
          </cell>
          <cell r="H281">
            <v>1.3231672096120832</v>
          </cell>
          <cell r="I281">
            <v>0.85567663156859297</v>
          </cell>
          <cell r="J281"/>
          <cell r="L281">
            <v>1.271139079913905E-3</v>
          </cell>
          <cell r="M281">
            <v>1.2585231292965456E-3</v>
          </cell>
          <cell r="N281">
            <v>8.778642983450377E-4</v>
          </cell>
          <cell r="O281">
            <v>1.4959833614982189E-3</v>
          </cell>
        </row>
        <row r="282">
          <cell r="A282" t="str">
            <v>SCOM-SHLTHCHPNGA</v>
          </cell>
          <cell r="B282" t="str">
            <v>VAR_ncap</v>
          </cell>
          <cell r="C282" t="str">
            <v>-</v>
          </cell>
          <cell r="D282">
            <v>1.3672686921139101E-8</v>
          </cell>
          <cell r="E282">
            <v>1.0705054120289201E-2</v>
          </cell>
          <cell r="F282">
            <v>4.15322012427881E-2</v>
          </cell>
          <cell r="G282">
            <v>2.3002279834818999E-2</v>
          </cell>
          <cell r="H282">
            <v>4.2510550159694002E-2</v>
          </cell>
          <cell r="I282">
            <v>1.3939232318762399E-2</v>
          </cell>
          <cell r="J282">
            <v>2.07960126970927E-7</v>
          </cell>
          <cell r="K282">
            <v>1.6548288128082201E-7</v>
          </cell>
          <cell r="L282">
            <v>1.43351097392118E-4</v>
          </cell>
          <cell r="M282">
            <v>1.17785046430035E-4</v>
          </cell>
          <cell r="N282">
            <v>6.8512423862045096E-5</v>
          </cell>
          <cell r="O282">
            <v>1.44716067144929E-4</v>
          </cell>
        </row>
        <row r="283">
          <cell r="A283" t="str">
            <v>SCOM-SHLTHCHPNGA</v>
          </cell>
          <cell r="B283" t="str">
            <v>VAR_cap</v>
          </cell>
          <cell r="C283" t="str">
            <v>-</v>
          </cell>
          <cell r="D283">
            <v>7.596928263121383E-2</v>
          </cell>
          <cell r="E283">
            <v>6.9627674531822004E-2</v>
          </cell>
          <cell r="F283">
            <v>0.1044779880098884</v>
          </cell>
          <cell r="G283">
            <v>0.1092707955030581</v>
          </cell>
          <cell r="H283">
            <v>0.10343585875549621</v>
          </cell>
          <cell r="I283">
            <v>6.5456806595885902E-2</v>
          </cell>
          <cell r="J283">
            <v>-1.3263349200182128E-7</v>
          </cell>
          <cell r="K283">
            <v>-1.5026123040100259E-7</v>
          </cell>
          <cell r="L283">
            <v>1.4333039536194988E-4</v>
          </cell>
          <cell r="M283">
            <v>1.5659081592294899E-4</v>
          </cell>
          <cell r="N283">
            <v>1.1127851455354902E-4</v>
          </cell>
          <cell r="O283">
            <v>1.8951856084429701E-4</v>
          </cell>
        </row>
        <row r="284">
          <cell r="A284" t="str">
            <v>ITOT-PROCESSCO2</v>
          </cell>
          <cell r="B284" t="str">
            <v>VAR_fout</v>
          </cell>
          <cell r="C284" t="str">
            <v>CO2</v>
          </cell>
          <cell r="D284">
            <v>2089.34680048464</v>
          </cell>
          <cell r="E284">
            <v>2111.0131698740802</v>
          </cell>
          <cell r="F284">
            <v>2102.26947106126</v>
          </cell>
          <cell r="G284">
            <v>2093.6571694152399</v>
          </cell>
          <cell r="H284">
            <v>2085.5350901838501</v>
          </cell>
          <cell r="I284">
            <v>2077.4142539139998</v>
          </cell>
          <cell r="J284">
            <v>2070.5811432692299</v>
          </cell>
          <cell r="K284">
            <v>2063.7492184430398</v>
          </cell>
          <cell r="L284">
            <v>2063.7495049893</v>
          </cell>
          <cell r="M284">
            <v>2063.7488409748898</v>
          </cell>
          <cell r="N284">
            <v>2063.7490746977801</v>
          </cell>
          <cell r="O284">
            <v>2063.7495376350798</v>
          </cell>
        </row>
        <row r="285">
          <cell r="A285" t="str">
            <v>ITOT-PROCESSCO2</v>
          </cell>
          <cell r="B285" t="str">
            <v>VAR_fout</v>
          </cell>
          <cell r="C285" t="str">
            <v>CO2P</v>
          </cell>
          <cell r="D285">
            <v>2089.34680048464</v>
          </cell>
          <cell r="E285">
            <v>2111.0131698740802</v>
          </cell>
          <cell r="F285">
            <v>2102.26947106126</v>
          </cell>
          <cell r="G285">
            <v>2093.6571694152422</v>
          </cell>
          <cell r="H285">
            <v>2085.5350901838515</v>
          </cell>
          <cell r="I285">
            <v>2077.4142539140057</v>
          </cell>
          <cell r="J285">
            <v>2070.5811432692331</v>
          </cell>
          <cell r="K285">
            <v>2063.7492184430407</v>
          </cell>
          <cell r="L285">
            <v>2063.749504989305</v>
          </cell>
          <cell r="M285">
            <v>2063.7488409748912</v>
          </cell>
          <cell r="N285">
            <v>2063.7490746977783</v>
          </cell>
          <cell r="O285">
            <v>2063.7495376350812</v>
          </cell>
        </row>
        <row r="286">
          <cell r="A286" t="str">
            <v>RHNM-SHWODBR</v>
          </cell>
          <cell r="B286" t="str">
            <v>VAR_fout</v>
          </cell>
          <cell r="C286" t="str">
            <v>RHNM-SHWOD</v>
          </cell>
          <cell r="D286"/>
          <cell r="E286">
            <v>8.1139010438815967E-2</v>
          </cell>
          <cell r="F286">
            <v>8.1139015855096211E-2</v>
          </cell>
          <cell r="G286">
            <v>8.1138659820486625E-2</v>
          </cell>
          <cell r="H286">
            <v>8.1138874025549756E-2</v>
          </cell>
          <cell r="I286">
            <v>8.1138934806915225E-2</v>
          </cell>
          <cell r="J286">
            <v>8.1138965552769338E-2</v>
          </cell>
          <cell r="K286">
            <v>8.1138980823584145E-2</v>
          </cell>
          <cell r="L286">
            <v>8.1138554793351983E-2</v>
          </cell>
          <cell r="M286">
            <v>8.1138499058469107E-2</v>
          </cell>
          <cell r="N286">
            <v>8.1135842519601431E-2</v>
          </cell>
          <cell r="O286">
            <v>6.7629430568129601E-3</v>
          </cell>
        </row>
        <row r="287">
          <cell r="A287" t="str">
            <v>RHNM-SHWODBR</v>
          </cell>
          <cell r="B287" t="str">
            <v>VAR_fin</v>
          </cell>
          <cell r="C287" t="str">
            <v>RHNMWODBRC</v>
          </cell>
          <cell r="D287"/>
          <cell r="E287">
            <v>8.1139010438815967E-2</v>
          </cell>
          <cell r="F287">
            <v>8.1139015855096211E-2</v>
          </cell>
          <cell r="G287">
            <v>8.1138659820486625E-2</v>
          </cell>
          <cell r="H287">
            <v>8.1138874025549756E-2</v>
          </cell>
          <cell r="I287">
            <v>8.1138934806915225E-2</v>
          </cell>
          <cell r="J287">
            <v>8.1138965552769338E-2</v>
          </cell>
          <cell r="K287">
            <v>8.1138980823584145E-2</v>
          </cell>
          <cell r="L287">
            <v>8.1138554793351983E-2</v>
          </cell>
          <cell r="M287">
            <v>8.1138499058469107E-2</v>
          </cell>
          <cell r="N287">
            <v>8.1135842519601431E-2</v>
          </cell>
          <cell r="O287">
            <v>6.7629430568129601E-3</v>
          </cell>
        </row>
        <row r="288">
          <cell r="A288" t="str">
            <v>RHNM-SHWODBR</v>
          </cell>
          <cell r="B288" t="str">
            <v>VAR_fin</v>
          </cell>
          <cell r="C288" t="str">
            <v>RWOD</v>
          </cell>
          <cell r="D288"/>
          <cell r="E288">
            <v>0.1126930700539111</v>
          </cell>
          <cell r="F288">
            <v>0.11269307757652253</v>
          </cell>
          <cell r="G288">
            <v>0.11269258308400926</v>
          </cell>
          <cell r="H288">
            <v>0.11269288059104131</v>
          </cell>
          <cell r="I288">
            <v>0.11269296500960446</v>
          </cell>
          <cell r="J288">
            <v>0.11269300771217983</v>
          </cell>
          <cell r="K288">
            <v>0.11269302892164471</v>
          </cell>
          <cell r="L288">
            <v>0.1126924372129888</v>
          </cell>
          <cell r="M288">
            <v>0.11269235980342936</v>
          </cell>
          <cell r="N288">
            <v>0.11268867016611316</v>
          </cell>
          <cell r="O288">
            <v>9.3929764677957717E-3</v>
          </cell>
        </row>
        <row r="289">
          <cell r="A289" t="str">
            <v>RHNM-SHWODBR</v>
          </cell>
          <cell r="B289" t="str">
            <v>VAR_ncap</v>
          </cell>
          <cell r="C289" t="str">
            <v>-</v>
          </cell>
          <cell r="D289"/>
          <cell r="E289">
            <v>6.3264735247557796E-3</v>
          </cell>
          <cell r="F289">
            <v>1.1294728998926801E-4</v>
          </cell>
          <cell r="G289"/>
          <cell r="H289">
            <v>6.2795460552945602E-3</v>
          </cell>
          <cell r="I289"/>
          <cell r="J289">
            <v>6.3047776962776303E-3</v>
          </cell>
          <cell r="K289"/>
          <cell r="L289">
            <v>2.2233068453528398E-3</v>
          </cell>
          <cell r="M289">
            <v>4.38647255276986E-3</v>
          </cell>
          <cell r="N289">
            <v>4.09737331085304E-4</v>
          </cell>
          <cell r="O289">
            <v>3.5361076148745598E-7</v>
          </cell>
        </row>
        <row r="290">
          <cell r="A290" t="str">
            <v>RHNM-SHWODBR</v>
          </cell>
          <cell r="B290" t="str">
            <v>VAR_cap</v>
          </cell>
          <cell r="C290" t="str">
            <v>-</v>
          </cell>
          <cell r="D290"/>
          <cell r="E290">
            <v>6.3264735247557796E-3</v>
          </cell>
          <cell r="F290">
            <v>6.439355887626408E-3</v>
          </cell>
          <cell r="G290">
            <v>6.4392485916605676E-3</v>
          </cell>
          <cell r="H290">
            <v>7.9066164218002093E-3</v>
          </cell>
          <cell r="I290">
            <v>6.3031855441549357E-3</v>
          </cell>
          <cell r="J290">
            <v>7.949443731659591E-3</v>
          </cell>
          <cell r="K290">
            <v>6.3047520848068623E-3</v>
          </cell>
          <cell r="L290">
            <v>7.6925958922935819E-3</v>
          </cell>
          <cell r="M290">
            <v>6.6097089539128209E-3</v>
          </cell>
          <cell r="N290">
            <v>6.3145614411877042E-3</v>
          </cell>
          <cell r="O290">
            <v>1.10682976531665E-3</v>
          </cell>
        </row>
        <row r="291">
          <cell r="A291" t="str">
            <v>RHNS-SHDEM</v>
          </cell>
          <cell r="B291" t="str">
            <v>VAR_fout</v>
          </cell>
          <cell r="C291" t="str">
            <v>RHNS-SHD</v>
          </cell>
          <cell r="D291"/>
          <cell r="E291">
            <v>0.40498900274511701</v>
          </cell>
          <cell r="F291">
            <v>0.99391635777870935</v>
          </cell>
          <cell r="G291">
            <v>1.8460248800363404</v>
          </cell>
          <cell r="H291">
            <v>2.5919174576310802</v>
          </cell>
          <cell r="I291">
            <v>3.3577558477160485</v>
          </cell>
          <cell r="J291">
            <v>4.1380724816408536</v>
          </cell>
          <cell r="K291">
            <v>4.9940828428825199</v>
          </cell>
          <cell r="L291">
            <v>4.9107134017925507</v>
          </cell>
          <cell r="M291">
            <v>4.8891371853700276</v>
          </cell>
          <cell r="N291">
            <v>4.8906557867632197</v>
          </cell>
          <cell r="O291">
            <v>4.7384836096024898</v>
          </cell>
        </row>
        <row r="292">
          <cell r="A292" t="str">
            <v>RHNS-SHDEM</v>
          </cell>
          <cell r="B292" t="str">
            <v>VAR_fin</v>
          </cell>
          <cell r="C292" t="str">
            <v>RHNS-SHLTHC-WOD</v>
          </cell>
          <cell r="D292"/>
          <cell r="E292"/>
          <cell r="F292">
            <v>7.7067421486294379E-5</v>
          </cell>
          <cell r="G292">
            <v>5.9922119750226274E-4</v>
          </cell>
          <cell r="H292">
            <v>7.9698132131525098E-4</v>
          </cell>
          <cell r="I292">
            <v>1.9082916284625276E-3</v>
          </cell>
          <cell r="J292">
            <v>1.7716384889102925E-3</v>
          </cell>
          <cell r="K292">
            <v>2.32149414938463E-3</v>
          </cell>
          <cell r="L292">
            <v>1.1379473373895029E-3</v>
          </cell>
          <cell r="M292">
            <v>5.8639028064053529E-3</v>
          </cell>
          <cell r="N292">
            <v>9.4473473708050169E-3</v>
          </cell>
          <cell r="O292">
            <v>0.19719582157400348</v>
          </cell>
        </row>
        <row r="293">
          <cell r="A293" t="str">
            <v>RHNS-SHDEM</v>
          </cell>
          <cell r="B293" t="str">
            <v>VAR_fin</v>
          </cell>
          <cell r="C293" t="str">
            <v>RHNS-SHLFO</v>
          </cell>
          <cell r="D293"/>
          <cell r="E293"/>
          <cell r="F293">
            <v>6.890345348002259E-5</v>
          </cell>
          <cell r="G293">
            <v>6.9363286328018878E-5</v>
          </cell>
          <cell r="H293">
            <v>1.1144295499562748E-4</v>
          </cell>
          <cell r="I293">
            <v>1.4185520715095918E-4</v>
          </cell>
          <cell r="J293">
            <v>2.2523288398263822E-5</v>
          </cell>
          <cell r="K293">
            <v>2.5255718811117181E-6</v>
          </cell>
          <cell r="M293">
            <v>2.4446815782561631E-4</v>
          </cell>
        </row>
        <row r="294">
          <cell r="A294" t="str">
            <v>RHNS-SHDEM</v>
          </cell>
          <cell r="B294" t="str">
            <v>VAR_fin</v>
          </cell>
          <cell r="C294" t="str">
            <v>RHNS-SHNGAH</v>
          </cell>
          <cell r="D294"/>
          <cell r="E294">
            <v>3.3755768833710077E-6</v>
          </cell>
          <cell r="F294">
            <v>9.0876409601075875E-4</v>
          </cell>
          <cell r="G294">
            <v>9.0099284717914095E-4</v>
          </cell>
          <cell r="H294">
            <v>8.1562965619760095E-3</v>
          </cell>
          <cell r="I294">
            <v>0.78112447412125297</v>
          </cell>
          <cell r="J294">
            <v>0.76976604187884556</v>
          </cell>
          <cell r="K294">
            <v>0.77402157988050557</v>
          </cell>
          <cell r="L294">
            <v>7.7539314231923714E-2</v>
          </cell>
          <cell r="M294">
            <v>6.1284054038444604E-3</v>
          </cell>
          <cell r="N294">
            <v>9.7929323580032476E-3</v>
          </cell>
          <cell r="O294">
            <v>0.19665123417258495</v>
          </cell>
        </row>
        <row r="295">
          <cell r="A295" t="str">
            <v>RHNS-SHDEM</v>
          </cell>
          <cell r="B295" t="str">
            <v>VAR_fin</v>
          </cell>
          <cell r="C295" t="str">
            <v>RHNS-SHCON</v>
          </cell>
          <cell r="D295"/>
          <cell r="E295"/>
          <cell r="F295">
            <v>2.6015132699896652E-5</v>
          </cell>
          <cell r="G295">
            <v>2.1509437832872731E-5</v>
          </cell>
          <cell r="H295">
            <v>4.1629757210185373E-5</v>
          </cell>
          <cell r="I295">
            <v>3.901838568516272E-5</v>
          </cell>
          <cell r="J295">
            <v>4.1745253596234535E-5</v>
          </cell>
          <cell r="K295">
            <v>9.2287182192061668E-5</v>
          </cell>
          <cell r="L295">
            <v>8.3043678039110871E-5</v>
          </cell>
          <cell r="M295">
            <v>8.5506545042781081E-5</v>
          </cell>
          <cell r="N295">
            <v>1.1715133721646465E-4</v>
          </cell>
          <cell r="O295">
            <v>1.6614671934098153</v>
          </cell>
        </row>
        <row r="296">
          <cell r="A296" t="str">
            <v>RHNS-SHDEM</v>
          </cell>
          <cell r="B296" t="str">
            <v>VAR_fin</v>
          </cell>
          <cell r="C296" t="str">
            <v>RHNS-SHWOD</v>
          </cell>
          <cell r="D296"/>
          <cell r="E296">
            <v>2.6486807815713234E-2</v>
          </cell>
          <cell r="F296">
            <v>9.4295260340259382E-2</v>
          </cell>
          <cell r="G296">
            <v>0.1077347256774052</v>
          </cell>
          <cell r="H296">
            <v>0.23264618509502138</v>
          </cell>
          <cell r="I296">
            <v>0.15319059793449805</v>
          </cell>
          <cell r="J296">
            <v>0.16196342537330424</v>
          </cell>
          <cell r="K296">
            <v>0.25781434695204936</v>
          </cell>
          <cell r="L296">
            <v>0.15902332344817988</v>
          </cell>
          <cell r="M296">
            <v>0.14251162162602121</v>
          </cell>
          <cell r="N296">
            <v>0.13242531665476301</v>
          </cell>
          <cell r="O296">
            <v>0.2113156243568787</v>
          </cell>
        </row>
        <row r="297">
          <cell r="A297" t="str">
            <v>RHNS-SHDEM</v>
          </cell>
          <cell r="B297" t="str">
            <v>VAR_fin</v>
          </cell>
          <cell r="C297" t="str">
            <v>RHNS-SHNST</v>
          </cell>
          <cell r="D297"/>
          <cell r="E297">
            <v>5.4361880821402512E-7</v>
          </cell>
          <cell r="F297">
            <v>6.3144831731664692E-5</v>
          </cell>
          <cell r="G297">
            <v>1.5438199091745105E-4</v>
          </cell>
          <cell r="H297">
            <v>1.0202206604839221E-4</v>
          </cell>
          <cell r="I297">
            <v>1.229656109573123E-4</v>
          </cell>
          <cell r="J297">
            <v>3.2559088471002535E-4</v>
          </cell>
          <cell r="K297">
            <v>1.2105548391013076E-4</v>
          </cell>
          <cell r="L297">
            <v>1.8093883499506515E-4</v>
          </cell>
          <cell r="M297">
            <v>2.8523290355733279E-3</v>
          </cell>
          <cell r="N297">
            <v>5.9741656371951101E-3</v>
          </cell>
          <cell r="O297">
            <v>0.13786182097795932</v>
          </cell>
        </row>
        <row r="298">
          <cell r="A298" t="str">
            <v>RHNS-SHDEM</v>
          </cell>
          <cell r="B298" t="str">
            <v>VAR_fin</v>
          </cell>
          <cell r="C298" t="str">
            <v>RHNS-SHPLT</v>
          </cell>
          <cell r="D298"/>
          <cell r="E298">
            <v>8.0748421610263296E-5</v>
          </cell>
          <cell r="F298">
            <v>4.6501860431452516E-4</v>
          </cell>
          <cell r="G298">
            <v>8.2879801642713467E-4</v>
          </cell>
          <cell r="H298">
            <v>9.3567384003519552E-4</v>
          </cell>
          <cell r="I298">
            <v>9.5846705781118245E-4</v>
          </cell>
          <cell r="J298">
            <v>9.8585458831463072E-4</v>
          </cell>
          <cell r="K298">
            <v>2.0399258200486008E-3</v>
          </cell>
          <cell r="L298">
            <v>2.0578291029338283E-3</v>
          </cell>
          <cell r="M298">
            <v>6.3928893444016597E-3</v>
          </cell>
          <cell r="N298">
            <v>9.8932675999061168E-3</v>
          </cell>
          <cell r="O298">
            <v>0.19695329638813758</v>
          </cell>
        </row>
        <row r="299">
          <cell r="A299" t="str">
            <v>RHNS-SHDEM</v>
          </cell>
          <cell r="B299" t="str">
            <v>VAR_fin</v>
          </cell>
          <cell r="C299" t="str">
            <v>RHNS-SHLTHD</v>
          </cell>
          <cell r="D299"/>
          <cell r="E299">
            <v>5.3814499967656547E-2</v>
          </cell>
          <cell r="F299">
            <v>6.9414208543024478E-2</v>
          </cell>
          <cell r="G299">
            <v>0.11147180630415124</v>
          </cell>
          <cell r="H299">
            <v>0.17433736389962917</v>
          </cell>
          <cell r="I299">
            <v>0.24846184535723992</v>
          </cell>
          <cell r="J299">
            <v>0.33999176810703724</v>
          </cell>
          <cell r="K299">
            <v>0.4516770580979223</v>
          </cell>
          <cell r="L299">
            <v>0.47443900866880573</v>
          </cell>
          <cell r="M299">
            <v>0.4767824462252585</v>
          </cell>
          <cell r="N299">
            <v>0.48662729414446437</v>
          </cell>
          <cell r="O299">
            <v>0.3386560105219783</v>
          </cell>
        </row>
        <row r="300">
          <cell r="A300" t="str">
            <v>RHNS-SHDEM</v>
          </cell>
          <cell r="B300" t="str">
            <v>VAR_fin</v>
          </cell>
          <cell r="C300" t="str">
            <v>RHNS-SHELCB</v>
          </cell>
          <cell r="D300"/>
          <cell r="E300">
            <v>6.8951707883582472E-2</v>
          </cell>
          <cell r="F300">
            <v>7.2537892738252702E-2</v>
          </cell>
          <cell r="G300">
            <v>8.8736592922212154E-4</v>
          </cell>
          <cell r="H300">
            <v>7.5328149832636603E-4</v>
          </cell>
          <cell r="I300">
            <v>6.6770886339949528E-4</v>
          </cell>
          <cell r="J300">
            <v>9.0336691686593632E-4</v>
          </cell>
          <cell r="K300">
            <v>9.8099911568867324E-4</v>
          </cell>
          <cell r="L300">
            <v>5.9197699900944355E-4</v>
          </cell>
          <cell r="M300">
            <v>5.7522715964187631E-3</v>
          </cell>
          <cell r="N300">
            <v>9.369817104258318E-3</v>
          </cell>
          <cell r="O300">
            <v>0.19630384854779559</v>
          </cell>
        </row>
        <row r="301">
          <cell r="A301" t="str">
            <v>RHNS-SHDEM</v>
          </cell>
          <cell r="B301" t="str">
            <v>VAR_fin</v>
          </cell>
          <cell r="C301" t="str">
            <v>RHNS-SHELCH</v>
          </cell>
          <cell r="D301"/>
          <cell r="E301">
            <v>0.24138025951175429</v>
          </cell>
          <cell r="F301">
            <v>0.74035611230092246</v>
          </cell>
          <cell r="G301">
            <v>1.6127698626349114</v>
          </cell>
          <cell r="H301">
            <v>2.156674976911177</v>
          </cell>
          <cell r="I301">
            <v>2.1568426705429018</v>
          </cell>
          <cell r="J301">
            <v>2.8492482139576318</v>
          </cell>
          <cell r="K301">
            <v>3.488314646123448</v>
          </cell>
          <cell r="L301">
            <v>4.1843180940831166</v>
          </cell>
          <cell r="M301">
            <v>4.2303370832382292</v>
          </cell>
          <cell r="N301">
            <v>4.2082410498865723</v>
          </cell>
          <cell r="O301">
            <v>1.2080816925654296</v>
          </cell>
        </row>
        <row r="302">
          <cell r="A302" t="str">
            <v>RHNS-SHDEM</v>
          </cell>
          <cell r="B302" t="str">
            <v>VAR_fin</v>
          </cell>
          <cell r="C302" t="str">
            <v>RHNS-SHSOL</v>
          </cell>
          <cell r="D302"/>
          <cell r="E302">
            <v>1.3352364992214521E-2</v>
          </cell>
          <cell r="F302">
            <v>1.4640937885351837E-2</v>
          </cell>
          <cell r="G302">
            <v>9.547394557368246E-3</v>
          </cell>
          <cell r="H302">
            <v>1.6028490382997265E-2</v>
          </cell>
          <cell r="I302">
            <v>1.3316439580188681E-2</v>
          </cell>
          <cell r="J302">
            <v>1.3063850766211877E-2</v>
          </cell>
          <cell r="K302">
            <v>1.6759903045676074E-2</v>
          </cell>
          <cell r="L302">
            <v>1.0638228078059156E-2</v>
          </cell>
          <cell r="M302">
            <v>5.8680995229591377E-3</v>
          </cell>
          <cell r="N302">
            <v>9.3744426073264098E-3</v>
          </cell>
          <cell r="O302">
            <v>0.19657564779481232</v>
          </cell>
        </row>
        <row r="303">
          <cell r="A303" t="str">
            <v>RHNS-SHDEM</v>
          </cell>
          <cell r="B303" t="str">
            <v>VAR_fin</v>
          </cell>
          <cell r="C303" t="str">
            <v>RHNS-SHLTHC-NGA</v>
          </cell>
          <cell r="D303"/>
          <cell r="E303">
            <v>9.4743182145692558E-4</v>
          </cell>
          <cell r="F303">
            <v>1.0512093155943397E-3</v>
          </cell>
          <cell r="G303">
            <v>9.9733309545740239E-4</v>
          </cell>
          <cell r="H303">
            <v>1.2636273538076893E-3</v>
          </cell>
          <cell r="I303">
            <v>9.4176269632174599E-4</v>
          </cell>
          <cell r="J303">
            <v>2.072058813025301E-5</v>
          </cell>
          <cell r="K303"/>
          <cell r="L303">
            <v>7.5280212742368413E-4</v>
          </cell>
          <cell r="M303">
            <v>5.864953550027115E-3</v>
          </cell>
          <cell r="N303">
            <v>9.4384305657714065E-3</v>
          </cell>
          <cell r="O303">
            <v>0.19717039565633263</v>
          </cell>
        </row>
        <row r="304">
          <cell r="A304" t="str">
            <v>RHNS-SHDEM</v>
          </cell>
          <cell r="B304" t="str">
            <v>VAR_fin</v>
          </cell>
          <cell r="C304" t="str">
            <v>RHNS-SHNGA</v>
          </cell>
          <cell r="D304"/>
          <cell r="E304"/>
          <cell r="F304">
            <v>6.8537893472701882E-5</v>
          </cell>
          <cell r="G304">
            <v>9.4498460036864928E-5</v>
          </cell>
          <cell r="H304">
            <v>1.2888493406514523E-4</v>
          </cell>
          <cell r="I304">
            <v>9.3919540483091273E-5</v>
          </cell>
          <cell r="J304">
            <v>2.8961882673819279E-5</v>
          </cell>
          <cell r="K304">
            <v>1.9022292174412929E-6</v>
          </cell>
          <cell r="M304">
            <v>5.2324258972532374E-4</v>
          </cell>
          <cell r="O304">
            <v>3.1484363597059659E-4</v>
          </cell>
        </row>
        <row r="305">
          <cell r="A305" t="str">
            <v>RES-ELCSPEC</v>
          </cell>
          <cell r="B305" t="str">
            <v>VAR_fout</v>
          </cell>
          <cell r="C305" t="str">
            <v>RHSA-ELS</v>
          </cell>
          <cell r="D305">
            <v>44.576905611481834</v>
          </cell>
          <cell r="E305">
            <v>44.827338208011781</v>
          </cell>
          <cell r="F305">
            <v>44.633490730353593</v>
          </cell>
          <cell r="G305">
            <v>44.838272419381397</v>
          </cell>
          <cell r="H305">
            <v>45.030086208016293</v>
          </cell>
          <cell r="I305">
            <v>45.051866437908267</v>
          </cell>
          <cell r="J305">
            <v>44.873466614306466</v>
          </cell>
          <cell r="K305">
            <v>44.932088313613704</v>
          </cell>
          <cell r="L305">
            <v>45.47583925456621</v>
          </cell>
          <cell r="M305">
            <v>45.859518752983725</v>
          </cell>
          <cell r="N305">
            <v>46.272794082272718</v>
          </cell>
          <cell r="O305">
            <v>46.288977502306544</v>
          </cell>
        </row>
        <row r="306">
          <cell r="A306" t="str">
            <v>RES-ELCSPEC</v>
          </cell>
          <cell r="B306" t="str">
            <v>VAR_fin</v>
          </cell>
          <cell r="C306" t="str">
            <v>RHSA_ELC</v>
          </cell>
          <cell r="D306">
            <v>44.576905611481834</v>
          </cell>
          <cell r="E306">
            <v>44.827338208011781</v>
          </cell>
          <cell r="F306">
            <v>44.633490730353593</v>
          </cell>
          <cell r="G306">
            <v>44.838272419381397</v>
          </cell>
          <cell r="H306">
            <v>45.030086208016293</v>
          </cell>
          <cell r="I306">
            <v>45.051866437908267</v>
          </cell>
          <cell r="J306">
            <v>44.873466614306466</v>
          </cell>
          <cell r="K306">
            <v>44.932088313613704</v>
          </cell>
          <cell r="L306">
            <v>45.47583925456621</v>
          </cell>
          <cell r="M306">
            <v>45.859518752983725</v>
          </cell>
          <cell r="N306">
            <v>46.272794082272718</v>
          </cell>
          <cell r="O306">
            <v>46.288977502306544</v>
          </cell>
        </row>
        <row r="307">
          <cell r="A307" t="str">
            <v>RES-ELCSPEC</v>
          </cell>
          <cell r="B307" t="str">
            <v>VAR_ncap</v>
          </cell>
          <cell r="C307" t="str">
            <v>-</v>
          </cell>
          <cell r="D307">
            <v>0.19321142616739201</v>
          </cell>
          <cell r="E307">
            <v>6.2636775815278503E-7</v>
          </cell>
          <cell r="F307">
            <v>5.9655979522659697E-7</v>
          </cell>
          <cell r="G307">
            <v>8.0901434067904602E-7</v>
          </cell>
          <cell r="H307">
            <v>1.4000764194143599E-3</v>
          </cell>
          <cell r="I307">
            <v>2.3032970446336398E-3</v>
          </cell>
          <cell r="J307">
            <v>3.0588801200747602</v>
          </cell>
          <cell r="K307">
            <v>1.6867095884705501</v>
          </cell>
          <cell r="L307">
            <v>5.7475439917308399E-2</v>
          </cell>
          <cell r="M307">
            <v>4.1956539340616099E-2</v>
          </cell>
          <cell r="N307">
            <v>0.52485333076488105</v>
          </cell>
          <cell r="O307">
            <v>2.5817245154427302</v>
          </cell>
        </row>
        <row r="308">
          <cell r="A308" t="str">
            <v>RES-ELCSPEC</v>
          </cell>
          <cell r="B308" t="str">
            <v>VAR_cap</v>
          </cell>
          <cell r="C308" t="str">
            <v>-</v>
          </cell>
          <cell r="D308">
            <v>4.7117481102978616</v>
          </cell>
          <cell r="E308">
            <v>4.7423653880703833</v>
          </cell>
          <cell r="F308">
            <v>4.7582500870119802</v>
          </cell>
          <cell r="G308">
            <v>4.7582498789724648</v>
          </cell>
          <cell r="H308">
            <v>4.7596492476936483</v>
          </cell>
          <cell r="I308">
            <v>4.7619514436639356</v>
          </cell>
          <cell r="J308">
            <v>4.7430945425112601</v>
          </cell>
          <cell r="K308">
            <v>4.7492913361408364</v>
          </cell>
          <cell r="L308">
            <v>4.8067650964004258</v>
          </cell>
          <cell r="M308">
            <v>4.8473203051569316</v>
          </cell>
          <cell r="N308">
            <v>4.89100288367767</v>
          </cell>
          <cell r="O308">
            <v>4.8927145111093067</v>
          </cell>
        </row>
        <row r="309">
          <cell r="A309" t="str">
            <v>SCOM-SHCONBR1</v>
          </cell>
          <cell r="B309" t="str">
            <v>VAR_fout</v>
          </cell>
          <cell r="C309" t="str">
            <v>SCOM-SHCON</v>
          </cell>
          <cell r="D309"/>
          <cell r="E309">
            <v>1.5197558333432146</v>
          </cell>
          <cell r="F309">
            <v>1.5196751286755279</v>
          </cell>
          <cell r="G309">
            <v>2.6177936139378777</v>
          </cell>
          <cell r="H309">
            <v>2.6177926502259026</v>
          </cell>
          <cell r="I309">
            <v>2.617792560344653</v>
          </cell>
          <cell r="J309">
            <v>2.6177945116097487</v>
          </cell>
          <cell r="K309">
            <v>2.617797287359632</v>
          </cell>
          <cell r="L309">
            <v>2.6177924889271651</v>
          </cell>
          <cell r="M309">
            <v>2.6177962837317015</v>
          </cell>
          <cell r="N309">
            <v>2.6177922978695842</v>
          </cell>
          <cell r="O309">
            <v>2.6177960461761822</v>
          </cell>
        </row>
        <row r="310">
          <cell r="A310" t="str">
            <v>SCOM-SHCONBR1</v>
          </cell>
          <cell r="B310" t="str">
            <v>VAR_fin</v>
          </cell>
          <cell r="C310" t="str">
            <v>CON</v>
          </cell>
          <cell r="D310"/>
          <cell r="E310">
            <v>1.5197558333432146</v>
          </cell>
          <cell r="F310">
            <v>1.5196751286755279</v>
          </cell>
          <cell r="G310">
            <v>2.6177936139378777</v>
          </cell>
          <cell r="H310">
            <v>2.6177926502259026</v>
          </cell>
          <cell r="I310">
            <v>2.617792560344653</v>
          </cell>
          <cell r="J310">
            <v>2.6177945116097487</v>
          </cell>
          <cell r="K310">
            <v>2.617797287359632</v>
          </cell>
          <cell r="L310">
            <v>2.6177924889271651</v>
          </cell>
          <cell r="M310">
            <v>2.6177962837317015</v>
          </cell>
          <cell r="N310">
            <v>2.6177922978695842</v>
          </cell>
          <cell r="O310">
            <v>2.6177960461761822</v>
          </cell>
        </row>
        <row r="311">
          <cell r="A311" t="str">
            <v>SCOM-SHCONBR1</v>
          </cell>
          <cell r="B311" t="str">
            <v>VAR_ncap</v>
          </cell>
          <cell r="C311" t="str">
            <v>-</v>
          </cell>
          <cell r="D311"/>
          <cell r="E311">
            <v>0.11743138863149399</v>
          </cell>
          <cell r="F311">
            <v>5.5786855375220099E-7</v>
          </cell>
          <cell r="G311">
            <v>8.4865674368987704E-2</v>
          </cell>
          <cell r="H311">
            <v>1.7312441823916001E-7</v>
          </cell>
          <cell r="I311">
            <v>1.68349238730886E-7</v>
          </cell>
          <cell r="J311">
            <v>1.8809862048320201E-7</v>
          </cell>
          <cell r="K311">
            <v>3.8181701817812899E-2</v>
          </cell>
          <cell r="L311">
            <v>0.102019103161332</v>
          </cell>
          <cell r="M311">
            <v>6.2100108159486203E-2</v>
          </cell>
          <cell r="N311">
            <v>4.8156081818645403E-6</v>
          </cell>
          <cell r="O311">
            <v>2.5308596301746102E-7</v>
          </cell>
        </row>
        <row r="312">
          <cell r="A312" t="str">
            <v>SCOM-SHCONBR1</v>
          </cell>
          <cell r="B312" t="str">
            <v>VAR_cap</v>
          </cell>
          <cell r="C312" t="str">
            <v>-</v>
          </cell>
          <cell r="D312"/>
          <cell r="E312">
            <v>0.11743138863149399</v>
          </cell>
          <cell r="F312">
            <v>0.11743191311092127</v>
          </cell>
          <cell r="G312">
            <v>0.2022975433280593</v>
          </cell>
          <cell r="H312">
            <v>0.20229768901638567</v>
          </cell>
          <cell r="I312">
            <v>0.20229784536953538</v>
          </cell>
          <cell r="J312">
            <v>0.20229798403861032</v>
          </cell>
          <cell r="K312">
            <v>0.20229819517587269</v>
          </cell>
          <cell r="L312">
            <v>0.20229727727772676</v>
          </cell>
          <cell r="M312">
            <v>0.20230117817181445</v>
          </cell>
          <cell r="N312">
            <v>0.20230586925400784</v>
          </cell>
          <cell r="O312">
            <v>0.20230595323933717</v>
          </cell>
        </row>
        <row r="313">
          <cell r="A313" t="str">
            <v>RHSA-WHSTG-SOL</v>
          </cell>
          <cell r="B313" t="str">
            <v>VAR_fout</v>
          </cell>
          <cell r="C313" t="str">
            <v>RHSA-WHASOL</v>
          </cell>
          <cell r="D313">
            <v>6.7773909742015212E-6</v>
          </cell>
          <cell r="E313">
            <v>5.2200761227640819E-6</v>
          </cell>
          <cell r="F313">
            <v>0.4969471487054275</v>
          </cell>
          <cell r="G313">
            <v>0.51790673159702338</v>
          </cell>
          <cell r="H313">
            <v>0.33946802912593527</v>
          </cell>
          <cell r="I313">
            <v>0.25084550721693982</v>
          </cell>
          <cell r="J313">
            <v>0.24706150387052364</v>
          </cell>
          <cell r="K313">
            <v>1.030552967181606</v>
          </cell>
          <cell r="L313">
            <v>0.98871935713588754</v>
          </cell>
          <cell r="M313">
            <v>0.99557142849507918</v>
          </cell>
          <cell r="N313">
            <v>0.76007258938554745</v>
          </cell>
          <cell r="O313">
            <v>0.57275004380045469</v>
          </cell>
        </row>
        <row r="314">
          <cell r="A314" t="str">
            <v>RHSA-WHSTG-SOL</v>
          </cell>
          <cell r="B314" t="str">
            <v>VAR_fin</v>
          </cell>
          <cell r="C314" t="str">
            <v>RHSA-WHASOL</v>
          </cell>
          <cell r="D314">
            <v>7.2030175311680401E-8</v>
          </cell>
          <cell r="E314">
            <v>3.6114630042029748E-7</v>
          </cell>
          <cell r="F314">
            <v>0.49696984879944262</v>
          </cell>
          <cell r="G314">
            <v>0.5179296853788059</v>
          </cell>
          <cell r="H314">
            <v>0.33948386983393819</v>
          </cell>
          <cell r="I314">
            <v>0.25085505767470306</v>
          </cell>
          <cell r="J314">
            <v>0.24706671580239475</v>
          </cell>
          <cell r="K314">
            <v>1.0306043184569313</v>
          </cell>
          <cell r="L314">
            <v>0.98877522011865648</v>
          </cell>
          <cell r="M314">
            <v>0.99562217506289996</v>
          </cell>
          <cell r="N314">
            <v>0.7601160402214785</v>
          </cell>
          <cell r="O314">
            <v>0.57277447958164462</v>
          </cell>
        </row>
        <row r="315">
          <cell r="A315" t="str">
            <v>RHSA-WHSTG-SOL</v>
          </cell>
          <cell r="B315" t="str">
            <v>VAR_ncap</v>
          </cell>
          <cell r="C315" t="str">
            <v>-</v>
          </cell>
          <cell r="D315">
            <v>1.79937665015312E-3</v>
          </cell>
          <cell r="E315">
            <v>7.64462279438506E-2</v>
          </cell>
          <cell r="F315">
            <v>4.4907418964866401E-7</v>
          </cell>
          <cell r="G315">
            <v>2.6883408454118999E-7</v>
          </cell>
          <cell r="H315">
            <v>1.22293422991234E-2</v>
          </cell>
          <cell r="I315">
            <v>2.4529990773169998E-2</v>
          </cell>
          <cell r="J315">
            <v>5.2655909731311201E-7</v>
          </cell>
          <cell r="K315">
            <v>0.1348077059427</v>
          </cell>
          <cell r="L315">
            <v>1.4845808193382199E-2</v>
          </cell>
          <cell r="M315">
            <v>4.3148674978383201E-3</v>
          </cell>
          <cell r="N315">
            <v>8.2578338088354797E-2</v>
          </cell>
          <cell r="O315">
            <v>5.7255990016742801E-3</v>
          </cell>
        </row>
        <row r="316">
          <cell r="A316" t="str">
            <v>RHSA-WHSTG-SOL</v>
          </cell>
          <cell r="B316" t="str">
            <v>VAR_cap</v>
          </cell>
          <cell r="C316" t="str">
            <v>-</v>
          </cell>
          <cell r="D316">
            <v>1.8004392031167168E-3</v>
          </cell>
          <cell r="E316">
            <v>7.8246667146967402E-2</v>
          </cell>
          <cell r="F316">
            <v>7.8247116221157001E-2</v>
          </cell>
          <cell r="G316">
            <v>7.8247385055241508E-2</v>
          </cell>
          <cell r="H316">
            <v>5.1863727067600271E-2</v>
          </cell>
          <cell r="I316">
            <v>3.6759645065742398E-2</v>
          </cell>
          <cell r="J316">
            <v>3.6759859631390703E-2</v>
          </cell>
          <cell r="K316">
            <v>0.15933822327496799</v>
          </cell>
          <cell r="L316">
            <v>0.15342310404171999</v>
          </cell>
          <cell r="M316">
            <v>0.15396838163392099</v>
          </cell>
          <cell r="N316">
            <v>0.120910089485033</v>
          </cell>
          <cell r="O316">
            <v>9.2618804587867407E-2</v>
          </cell>
        </row>
        <row r="317">
          <cell r="A317" t="str">
            <v>SCOM-SHCONBR2</v>
          </cell>
          <cell r="B317" t="str">
            <v>VAR_fout</v>
          </cell>
          <cell r="C317" t="str">
            <v>SCOM-SHCON</v>
          </cell>
          <cell r="D317"/>
          <cell r="E317">
            <v>2.3670468586328983</v>
          </cell>
          <cell r="F317">
            <v>2.3669534735709337</v>
          </cell>
          <cell r="G317">
            <v>4.077269813628253</v>
          </cell>
          <cell r="H317">
            <v>4.0772687034950206</v>
          </cell>
          <cell r="I317">
            <v>4.077268676528381</v>
          </cell>
          <cell r="J317">
            <v>4.0772706883768555</v>
          </cell>
          <cell r="K317">
            <v>4.0772732234481017</v>
          </cell>
          <cell r="L317">
            <v>4.077268676818921</v>
          </cell>
          <cell r="M317">
            <v>4.0772722043202698</v>
          </cell>
          <cell r="N317">
            <v>4.0772682792382886</v>
          </cell>
          <cell r="O317">
            <v>4.077271891203635</v>
          </cell>
        </row>
        <row r="318">
          <cell r="A318" t="str">
            <v>SCOM-SHCONBR2</v>
          </cell>
          <cell r="B318" t="str">
            <v>VAR_fin</v>
          </cell>
          <cell r="C318" t="str">
            <v>CON</v>
          </cell>
          <cell r="D318"/>
          <cell r="E318">
            <v>2.3670468586328983</v>
          </cell>
          <cell r="F318">
            <v>2.3669534735709337</v>
          </cell>
          <cell r="G318">
            <v>4.077269813628253</v>
          </cell>
          <cell r="H318">
            <v>4.0772687034950206</v>
          </cell>
          <cell r="I318">
            <v>4.077268676528381</v>
          </cell>
          <cell r="J318">
            <v>4.0772706883768555</v>
          </cell>
          <cell r="K318">
            <v>4.0772732234481017</v>
          </cell>
          <cell r="L318">
            <v>4.077268676818921</v>
          </cell>
          <cell r="M318">
            <v>4.0772722043202698</v>
          </cell>
          <cell r="N318">
            <v>4.0772682792382886</v>
          </cell>
          <cell r="O318">
            <v>4.077271891203635</v>
          </cell>
        </row>
        <row r="319">
          <cell r="A319" t="str">
            <v>SCOM-SHCONBR2</v>
          </cell>
          <cell r="B319" t="str">
            <v>VAR_ncap</v>
          </cell>
          <cell r="C319" t="str">
            <v>-</v>
          </cell>
          <cell r="D319"/>
          <cell r="E319">
            <v>0.18290194112748601</v>
          </cell>
          <cell r="F319">
            <v>3.91027516415806E-7</v>
          </cell>
          <cell r="G319">
            <v>0.13217916310561501</v>
          </cell>
          <cell r="H319">
            <v>4.17290273746271E-7</v>
          </cell>
          <cell r="I319">
            <v>2.4786648623051501E-7</v>
          </cell>
          <cell r="J319">
            <v>2.9485258305330698E-7</v>
          </cell>
          <cell r="K319">
            <v>5.9468787701780997E-2</v>
          </cell>
          <cell r="L319">
            <v>0.15889694399839099</v>
          </cell>
          <cell r="M319">
            <v>9.6719004376618803E-2</v>
          </cell>
          <cell r="N319">
            <v>4.69520690010977E-6</v>
          </cell>
          <cell r="O319">
            <v>2.5760919823953302E-7</v>
          </cell>
        </row>
        <row r="320">
          <cell r="A320" t="str">
            <v>SCOM-SHCONBR2</v>
          </cell>
          <cell r="B320" t="str">
            <v>VAR_cap</v>
          </cell>
          <cell r="C320" t="str">
            <v>-</v>
          </cell>
          <cell r="E320">
            <v>0.18290194112748601</v>
          </cell>
          <cell r="F320">
            <v>0.18290229857036816</v>
          </cell>
          <cell r="G320">
            <v>0.31508141423818359</v>
          </cell>
          <cell r="H320">
            <v>0.31508181145068626</v>
          </cell>
          <cell r="I320">
            <v>0.3150820487434145</v>
          </cell>
          <cell r="J320">
            <v>0.31508229929927628</v>
          </cell>
          <cell r="K320">
            <v>0.31508268876078027</v>
          </cell>
          <cell r="L320">
            <v>0.31508171699412729</v>
          </cell>
          <cell r="M320">
            <v>0.3150854386527393</v>
          </cell>
          <cell r="N320">
            <v>0.31508979293694889</v>
          </cell>
          <cell r="O320">
            <v>0.31508977920585568</v>
          </cell>
        </row>
        <row r="321">
          <cell r="A321" t="str">
            <v>SCOM-SHCONBR3</v>
          </cell>
          <cell r="B321" t="str">
            <v>VAR_fout</v>
          </cell>
          <cell r="C321" t="str">
            <v>SCOM-SHCON</v>
          </cell>
          <cell r="D321"/>
          <cell r="E321">
            <v>1.9020106213374011</v>
          </cell>
          <cell r="F321">
            <v>1.901918637169508</v>
          </cell>
          <cell r="G321">
            <v>3.2762339570256316</v>
          </cell>
          <cell r="H321">
            <v>3.2762244889291536</v>
          </cell>
          <cell r="I321">
            <v>3.2762218912095831</v>
          </cell>
          <cell r="J321">
            <v>3.276235701303531</v>
          </cell>
          <cell r="K321">
            <v>3.2762385426334313</v>
          </cell>
          <cell r="L321">
            <v>3.2762336802080734</v>
          </cell>
          <cell r="M321">
            <v>3.2762360335146541</v>
          </cell>
          <cell r="N321">
            <v>3.2762330282855139</v>
          </cell>
          <cell r="O321">
            <v>3.2762258940785407</v>
          </cell>
        </row>
        <row r="322">
          <cell r="A322" t="str">
            <v>SCOM-SHCONBR3</v>
          </cell>
          <cell r="B322" t="str">
            <v>VAR_fin</v>
          </cell>
          <cell r="C322" t="str">
            <v>CON</v>
          </cell>
          <cell r="D322"/>
          <cell r="E322">
            <v>1.9020106213374011</v>
          </cell>
          <cell r="F322">
            <v>1.901918637169508</v>
          </cell>
          <cell r="G322">
            <v>3.2762339570256316</v>
          </cell>
          <cell r="H322">
            <v>3.2762244889291536</v>
          </cell>
          <cell r="I322">
            <v>3.2762218912095831</v>
          </cell>
          <cell r="J322">
            <v>3.276235701303531</v>
          </cell>
          <cell r="K322">
            <v>3.2762385426334313</v>
          </cell>
          <cell r="L322">
            <v>3.2762336802080734</v>
          </cell>
          <cell r="M322">
            <v>3.2762360335146541</v>
          </cell>
          <cell r="N322">
            <v>3.2762330282855139</v>
          </cell>
          <cell r="O322">
            <v>3.2762258940785407</v>
          </cell>
        </row>
        <row r="323">
          <cell r="A323" t="str">
            <v>SCOM-SHCONBR3</v>
          </cell>
          <cell r="B323" t="str">
            <v>VAR_ncap</v>
          </cell>
          <cell r="C323" t="str">
            <v>-</v>
          </cell>
          <cell r="D323"/>
          <cell r="E323">
            <v>0.146968386181629</v>
          </cell>
          <cell r="F323">
            <v>9.2203915161898799E-8</v>
          </cell>
          <cell r="G323">
            <v>0.10620659527718899</v>
          </cell>
          <cell r="H323">
            <v>4.9843002854897396E-7</v>
          </cell>
          <cell r="I323">
            <v>3.0275514760369199E-7</v>
          </cell>
          <cell r="J323">
            <v>2.6423888552320801E-6</v>
          </cell>
          <cell r="K323">
            <v>4.7786471612602799E-2</v>
          </cell>
          <cell r="L323">
            <v>0.12767819461194799</v>
          </cell>
          <cell r="M323">
            <v>7.7711064471796695E-2</v>
          </cell>
          <cell r="N323">
            <v>9.3637379353400902E-7</v>
          </cell>
          <cell r="O323">
            <v>1.68088468749937E-7</v>
          </cell>
        </row>
        <row r="324">
          <cell r="A324" t="str">
            <v>SCOM-SHCONBR3</v>
          </cell>
          <cell r="B324" t="str">
            <v>VAR_cap</v>
          </cell>
          <cell r="C324" t="str">
            <v>-</v>
          </cell>
          <cell r="D324"/>
          <cell r="E324">
            <v>0.146968386181629</v>
          </cell>
          <cell r="F324">
            <v>0.14696844566730433</v>
          </cell>
          <cell r="G324">
            <v>0.25317501915232676</v>
          </cell>
          <cell r="H324">
            <v>0.25317549413515927</v>
          </cell>
          <cell r="I324">
            <v>0.25317579284482505</v>
          </cell>
          <cell r="J324">
            <v>0.25317842108528688</v>
          </cell>
          <cell r="K324">
            <v>0.25317987551750371</v>
          </cell>
          <cell r="L324">
            <v>0.25317905217546133</v>
          </cell>
          <cell r="M324">
            <v>0.25317901040618945</v>
          </cell>
          <cell r="N324">
            <v>0.25317950002263068</v>
          </cell>
          <cell r="O324">
            <v>0.25317933230468143</v>
          </cell>
        </row>
        <row r="325">
          <cell r="A325" t="str">
            <v>SCOM-SHCONBR4</v>
          </cell>
          <cell r="B325" t="str">
            <v>VAR_fout</v>
          </cell>
          <cell r="C325" t="str">
            <v>SCOM-SHCON</v>
          </cell>
          <cell r="D325"/>
          <cell r="E325">
            <v>0.52287384158613426</v>
          </cell>
          <cell r="F325">
            <v>0.52281177718354621</v>
          </cell>
          <cell r="G325">
            <v>0.52325858203368059</v>
          </cell>
          <cell r="H325">
            <v>0.52323796441432069</v>
          </cell>
          <cell r="I325">
            <v>0.52324082031088459</v>
          </cell>
          <cell r="J325">
            <v>0.52375302568781501</v>
          </cell>
          <cell r="K325">
            <v>3.6025688242180323</v>
          </cell>
          <cell r="L325">
            <v>3.6025634619475819</v>
          </cell>
          <cell r="M325">
            <v>3.6025568272604294</v>
          </cell>
          <cell r="N325">
            <v>3.6025599112993811</v>
          </cell>
          <cell r="O325">
            <v>3.6025431785537783</v>
          </cell>
        </row>
        <row r="326">
          <cell r="A326" t="str">
            <v>SCOM-SHCONBR4</v>
          </cell>
          <cell r="B326" t="str">
            <v>VAR_fin</v>
          </cell>
          <cell r="C326" t="str">
            <v>CON</v>
          </cell>
          <cell r="D326"/>
          <cell r="E326">
            <v>0.52287384158613426</v>
          </cell>
          <cell r="F326">
            <v>0.52281177718354621</v>
          </cell>
          <cell r="G326">
            <v>0.52325858203368059</v>
          </cell>
          <cell r="H326">
            <v>0.52323796441432069</v>
          </cell>
          <cell r="I326">
            <v>0.52324082031088459</v>
          </cell>
          <cell r="J326">
            <v>0.52375302568781501</v>
          </cell>
          <cell r="K326">
            <v>3.6025688242180323</v>
          </cell>
          <cell r="L326">
            <v>3.6025634619475819</v>
          </cell>
          <cell r="M326">
            <v>3.6025568272604294</v>
          </cell>
          <cell r="N326">
            <v>3.6025599112993811</v>
          </cell>
          <cell r="O326">
            <v>3.6025431785537783</v>
          </cell>
        </row>
        <row r="327">
          <cell r="A327" t="str">
            <v>SCOM-SHCONBR4</v>
          </cell>
          <cell r="B327" t="str">
            <v>VAR_ncap</v>
          </cell>
          <cell r="C327" t="str">
            <v>-</v>
          </cell>
          <cell r="D327"/>
          <cell r="E327">
            <v>4.0401868361272401E-2</v>
          </cell>
          <cell r="F327">
            <v>7.5777410612104305E-8</v>
          </cell>
          <cell r="G327">
            <v>3.2771956672992502E-5</v>
          </cell>
          <cell r="H327">
            <v>5.4804443978630002E-8</v>
          </cell>
          <cell r="I327">
            <v>1.14767294487164E-7</v>
          </cell>
          <cell r="J327">
            <v>3.8515744327391599E-5</v>
          </cell>
          <cell r="K327">
            <v>0.25106021990545901</v>
          </cell>
          <cell r="L327">
            <v>2.7273378883644499E-2</v>
          </cell>
          <cell r="M327">
            <v>1.3786053107593699E-5</v>
          </cell>
          <cell r="N327">
            <v>9.8923029841479309E-7</v>
          </cell>
          <cell r="O327">
            <v>1.6278852572382601E-7</v>
          </cell>
        </row>
        <row r="328">
          <cell r="A328" t="str">
            <v>SCOM-SHCONBR4</v>
          </cell>
          <cell r="B328" t="str">
            <v>VAR_cap</v>
          </cell>
          <cell r="C328" t="str">
            <v>-</v>
          </cell>
          <cell r="D328"/>
          <cell r="E328">
            <v>4.0401868361272401E-2</v>
          </cell>
          <cell r="F328">
            <v>4.0401912710079479E-2</v>
          </cell>
          <cell r="G328">
            <v>4.0434677244072591E-2</v>
          </cell>
          <cell r="H328">
            <v>4.04346980334181E-2</v>
          </cell>
          <cell r="I328">
            <v>4.0434808791641352E-2</v>
          </cell>
          <cell r="J328">
            <v>4.0473328301023688E-2</v>
          </cell>
          <cell r="K328">
            <v>0.27839727462204844</v>
          </cell>
          <cell r="L328">
            <v>0.27839619799040882</v>
          </cell>
          <cell r="M328">
            <v>0.27838593779094961</v>
          </cell>
          <cell r="N328">
            <v>0.2783868683613574</v>
          </cell>
          <cell r="O328">
            <v>0.27838693742288806</v>
          </cell>
        </row>
        <row r="329">
          <cell r="A329" t="str">
            <v>RHEM-SHNGABR</v>
          </cell>
          <cell r="B329" t="str">
            <v>VAR_fout</v>
          </cell>
          <cell r="C329" t="str">
            <v>CO2_R</v>
          </cell>
          <cell r="D329">
            <v>1127.9631318582899</v>
          </cell>
          <cell r="E329">
            <v>1119.6360653706199</v>
          </cell>
          <cell r="F329">
            <v>1133.9543023681599</v>
          </cell>
          <cell r="G329">
            <v>1133.95357047058</v>
          </cell>
          <cell r="H329">
            <v>1051.9383251709401</v>
          </cell>
          <cell r="I329">
            <v>967.88539743213005</v>
          </cell>
          <cell r="J329">
            <v>939.59055294964298</v>
          </cell>
          <cell r="K329">
            <v>278.23893858584501</v>
          </cell>
          <cell r="L329">
            <v>199.06983946144999</v>
          </cell>
          <cell r="M329">
            <v>180.175914868966</v>
          </cell>
          <cell r="N329">
            <v>180.17582820913</v>
          </cell>
          <cell r="O329">
            <v>131.46533094492</v>
          </cell>
        </row>
        <row r="330">
          <cell r="A330" t="str">
            <v>RHEM-SHNGABR</v>
          </cell>
          <cell r="B330" t="str">
            <v>VAR_fout</v>
          </cell>
          <cell r="C330" t="str">
            <v>RHEM-SHNGA</v>
          </cell>
          <cell r="D330">
            <v>18.99937899406693</v>
          </cell>
          <cell r="E330">
            <v>18.859118122377549</v>
          </cell>
          <cell r="F330">
            <v>19.100294100172967</v>
          </cell>
          <cell r="G330">
            <v>19.100281772110822</v>
          </cell>
          <cell r="H330">
            <v>17.718819306957343</v>
          </cell>
          <cell r="I330">
            <v>16.303034176605035</v>
          </cell>
          <cell r="J330">
            <v>15.826436618832663</v>
          </cell>
          <cell r="K330">
            <v>4.6866487882367496</v>
          </cell>
          <cell r="L330">
            <v>3.3531267285173283</v>
          </cell>
          <cell r="M330">
            <v>3.0348779986793888</v>
          </cell>
          <cell r="N330">
            <v>3.034876538983573</v>
          </cell>
          <cell r="O330">
            <v>2.2143983049233023</v>
          </cell>
        </row>
        <row r="331">
          <cell r="A331" t="str">
            <v>RHEM-SHNGABR</v>
          </cell>
          <cell r="B331" t="str">
            <v>VAR_fin</v>
          </cell>
          <cell r="C331" t="str">
            <v>RNGA</v>
          </cell>
          <cell r="D331">
            <v>19.999346309544119</v>
          </cell>
          <cell r="E331">
            <v>19.851703286713217</v>
          </cell>
          <cell r="F331">
            <v>20.105572737024183</v>
          </cell>
          <cell r="G331">
            <v>20.105559760116648</v>
          </cell>
          <cell r="H331">
            <v>18.651388744165629</v>
          </cell>
          <cell r="I331">
            <v>17.161088606952649</v>
          </cell>
          <cell r="J331">
            <v>16.659406967192265</v>
          </cell>
          <cell r="K331">
            <v>4.9333145139334205</v>
          </cell>
          <cell r="L331">
            <v>3.5296070826498216</v>
          </cell>
          <cell r="M331">
            <v>3.1946084196625133</v>
          </cell>
          <cell r="N331">
            <v>3.1946068831406023</v>
          </cell>
          <cell r="O331">
            <v>2.3309455841297937</v>
          </cell>
        </row>
        <row r="332">
          <cell r="A332" t="str">
            <v>RHEM-SHNGABR</v>
          </cell>
          <cell r="B332" t="str">
            <v>VAR_ncap</v>
          </cell>
          <cell r="C332" t="str">
            <v>-</v>
          </cell>
          <cell r="D332"/>
          <cell r="E332">
            <v>3.90339092259934E-7</v>
          </cell>
          <cell r="F332">
            <v>2.56731669791473E-3</v>
          </cell>
          <cell r="G332">
            <v>1.3354769299559E-2</v>
          </cell>
          <cell r="H332">
            <v>0.94429856022509895</v>
          </cell>
          <cell r="I332">
            <v>0.19919877547275699</v>
          </cell>
          <cell r="J332">
            <v>3.4859422120258703E-7</v>
          </cell>
          <cell r="K332">
            <v>0.14464892118235501</v>
          </cell>
          <cell r="L332">
            <v>8.8727128523347104E-2</v>
          </cell>
          <cell r="M332">
            <v>1.8602223505331801E-6</v>
          </cell>
          <cell r="N332">
            <v>0.152566807883597</v>
          </cell>
          <cell r="O332">
            <v>1.8362468910128899E-2</v>
          </cell>
        </row>
        <row r="333">
          <cell r="A333" t="str">
            <v>RHEM-SHNGABR</v>
          </cell>
          <cell r="B333" t="str">
            <v>VAR_cap</v>
          </cell>
          <cell r="C333" t="str">
            <v>-</v>
          </cell>
          <cell r="D333">
            <v>1.34683498965227</v>
          </cell>
          <cell r="E333">
            <v>1.3468352940824913</v>
          </cell>
          <cell r="F333">
            <v>1.3494025334398734</v>
          </cell>
          <cell r="G333">
            <v>1.3627568649457562</v>
          </cell>
          <cell r="H333">
            <v>1.309501008328309</v>
          </cell>
          <cell r="I333">
            <v>1.1548502351426277</v>
          </cell>
          <cell r="J333">
            <v>1.1363310536327935</v>
          </cell>
          <cell r="K333">
            <v>0.34384750156656191</v>
          </cell>
          <cell r="L333">
            <v>0.26398365336116952</v>
          </cell>
          <cell r="M333">
            <v>0.23337628079544823</v>
          </cell>
          <cell r="N333">
            <v>0.23878762737700862</v>
          </cell>
          <cell r="O333">
            <v>0.17093063860712296</v>
          </cell>
        </row>
        <row r="334">
          <cell r="A334" t="str">
            <v>SCOM-SHCONBR5</v>
          </cell>
          <cell r="B334" t="str">
            <v>VAR_fout</v>
          </cell>
          <cell r="C334" t="str">
            <v>SCOM-SHCON</v>
          </cell>
          <cell r="D334"/>
          <cell r="E334">
            <v>0.65260218782259583</v>
          </cell>
          <cell r="F334">
            <v>0.65253482108946614</v>
          </cell>
          <cell r="G334">
            <v>0.6525770037362616</v>
          </cell>
          <cell r="H334">
            <v>0.6525495855725395</v>
          </cell>
          <cell r="I334">
            <v>0.65255139491854086</v>
          </cell>
          <cell r="J334">
            <v>0.65257129481154585</v>
          </cell>
          <cell r="K334">
            <v>3.9968077475021961</v>
          </cell>
          <cell r="L334">
            <v>3.9967970253487137</v>
          </cell>
          <cell r="M334">
            <v>3.9968022657542517</v>
          </cell>
          <cell r="N334">
            <v>3.9967990355367444</v>
          </cell>
          <cell r="O334">
            <v>3.9967803093619847</v>
          </cell>
        </row>
        <row r="335">
          <cell r="A335" t="str">
            <v>SCOM-SHCONBR5</v>
          </cell>
          <cell r="B335" t="str">
            <v>VAR_fin</v>
          </cell>
          <cell r="C335" t="str">
            <v>CON</v>
          </cell>
          <cell r="D335"/>
          <cell r="E335">
            <v>0.65260218782259583</v>
          </cell>
          <cell r="F335">
            <v>0.65253482108946614</v>
          </cell>
          <cell r="G335">
            <v>0.6525770037362616</v>
          </cell>
          <cell r="H335">
            <v>0.6525495855725395</v>
          </cell>
          <cell r="I335">
            <v>0.65255139491854086</v>
          </cell>
          <cell r="J335">
            <v>0.65257129481154585</v>
          </cell>
          <cell r="K335">
            <v>3.9968077475021961</v>
          </cell>
          <cell r="L335">
            <v>3.9967970253487137</v>
          </cell>
          <cell r="M335">
            <v>3.9968022657542517</v>
          </cell>
          <cell r="N335">
            <v>3.9967990355367444</v>
          </cell>
          <cell r="O335">
            <v>3.9967803093619847</v>
          </cell>
        </row>
        <row r="336">
          <cell r="A336" t="str">
            <v>SCOM-SHCONBR5</v>
          </cell>
          <cell r="B336" t="str">
            <v>VAR_ncap</v>
          </cell>
          <cell r="C336" t="str">
            <v>-</v>
          </cell>
          <cell r="D336"/>
          <cell r="E336">
            <v>5.0426038345604898E-2</v>
          </cell>
          <cell r="F336">
            <v>5.7520766363904797E-8</v>
          </cell>
          <cell r="G336">
            <v>1.23555687899854E-6</v>
          </cell>
          <cell r="H336">
            <v>4.32910763560231E-8</v>
          </cell>
          <cell r="I336">
            <v>7.4367237735677304E-8</v>
          </cell>
          <cell r="J336">
            <v>3.5249299849211002E-7</v>
          </cell>
          <cell r="K336">
            <v>0.27483060601175602</v>
          </cell>
          <cell r="L336">
            <v>3.4026722791416303E-2</v>
          </cell>
          <cell r="M336">
            <v>4.7249681149254601E-7</v>
          </cell>
          <cell r="N336">
            <v>4.9226420504084202E-7</v>
          </cell>
          <cell r="O336">
            <v>1.50426979469393E-7</v>
          </cell>
        </row>
        <row r="337">
          <cell r="A337" t="str">
            <v>SCOM-SHCONBR5</v>
          </cell>
          <cell r="B337" t="str">
            <v>VAR_cap</v>
          </cell>
          <cell r="C337" t="str">
            <v>-</v>
          </cell>
          <cell r="D337"/>
          <cell r="E337">
            <v>5.0426038345604898E-2</v>
          </cell>
          <cell r="F337">
            <v>5.0426064338818896E-2</v>
          </cell>
          <cell r="G337">
            <v>5.0427292844497394E-2</v>
          </cell>
          <cell r="H337">
            <v>5.0427302312898298E-2</v>
          </cell>
          <cell r="I337">
            <v>5.0427372807036137E-2</v>
          </cell>
          <cell r="J337">
            <v>5.0427729521915501E-2</v>
          </cell>
          <cell r="K337">
            <v>0.30886284120301405</v>
          </cell>
          <cell r="L337">
            <v>0.30885864361396592</v>
          </cell>
          <cell r="M337">
            <v>0.30885813021343755</v>
          </cell>
          <cell r="N337">
            <v>0.30885858747868083</v>
          </cell>
          <cell r="O337">
            <v>0.30885869855325626</v>
          </cell>
        </row>
        <row r="338">
          <cell r="A338" t="str">
            <v>RHES-SHSTG-ELCHP</v>
          </cell>
          <cell r="B338" t="str">
            <v>VAR_fout</v>
          </cell>
          <cell r="C338" t="str">
            <v>RHES-SHAELCH</v>
          </cell>
          <cell r="D338">
            <v>1.4750312042361582E-7</v>
          </cell>
          <cell r="E338">
            <v>2.5178499373748782E-7</v>
          </cell>
          <cell r="F338">
            <v>1.4921588647654414</v>
          </cell>
          <cell r="G338">
            <v>1.5308682759045547</v>
          </cell>
          <cell r="H338">
            <v>2.8657325499970572</v>
          </cell>
          <cell r="I338">
            <v>2.6425274819351254</v>
          </cell>
          <cell r="J338">
            <v>3.5368260566674898</v>
          </cell>
          <cell r="K338">
            <v>4.1975937472024638</v>
          </cell>
          <cell r="L338">
            <v>4.4408977005154338</v>
          </cell>
          <cell r="M338">
            <v>5.0096444479636801</v>
          </cell>
          <cell r="N338">
            <v>4.7120413966579697</v>
          </cell>
          <cell r="O338">
            <v>4.4737238481565909</v>
          </cell>
        </row>
        <row r="339">
          <cell r="A339" t="str">
            <v>RHES-SHSTG-ELCHP</v>
          </cell>
          <cell r="B339" t="str">
            <v>VAR_fin</v>
          </cell>
          <cell r="C339" t="str">
            <v>RHES-SHAELCH</v>
          </cell>
          <cell r="D339">
            <v>2.9709384264721156E-7</v>
          </cell>
          <cell r="E339">
            <v>4.2113133703766379E-7</v>
          </cell>
          <cell r="F339">
            <v>1.4922287203952658</v>
          </cell>
          <cell r="G339">
            <v>1.5309271618495339</v>
          </cell>
          <cell r="H339">
            <v>2.8658287412195369</v>
          </cell>
          <cell r="I339">
            <v>2.6426172257677725</v>
          </cell>
          <cell r="J339">
            <v>3.5369689853088677</v>
          </cell>
          <cell r="K339">
            <v>4.1977230382156403</v>
          </cell>
          <cell r="L339">
            <v>4.4410307615041198</v>
          </cell>
          <cell r="M339">
            <v>5.0098145575163295</v>
          </cell>
          <cell r="N339">
            <v>4.7121905773457389</v>
          </cell>
          <cell r="O339">
            <v>4.4738863408238201</v>
          </cell>
        </row>
        <row r="340">
          <cell r="A340" t="str">
            <v>RHES-SHSTG-ELCHP</v>
          </cell>
          <cell r="B340" t="str">
            <v>VAR_ncap</v>
          </cell>
          <cell r="C340" t="str">
            <v>-</v>
          </cell>
          <cell r="D340">
            <v>1.5580826859322001E-3</v>
          </cell>
          <cell r="E340">
            <v>0.14494446134892799</v>
          </cell>
          <cell r="F340">
            <v>8.5627423638959201E-6</v>
          </cell>
          <cell r="G340">
            <v>9.6437882713184002E-4</v>
          </cell>
          <cell r="H340">
            <v>0.15632395943917199</v>
          </cell>
          <cell r="I340">
            <v>7.4438054834890702E-2</v>
          </cell>
          <cell r="J340">
            <v>6.3380476074941794E-2</v>
          </cell>
          <cell r="K340">
            <v>0.240399869938035</v>
          </cell>
          <cell r="L340">
            <v>0.114984802865572</v>
          </cell>
          <cell r="M340">
            <v>7.2837366890091695E-2</v>
          </cell>
          <cell r="N340">
            <v>0.23518675090160801</v>
          </cell>
          <cell r="O340">
            <v>0.120353477262499</v>
          </cell>
        </row>
        <row r="341">
          <cell r="A341" t="str">
            <v>RHES-SHSTG-ELCHP</v>
          </cell>
          <cell r="B341" t="str">
            <v>VAR_cap</v>
          </cell>
          <cell r="C341" t="str">
            <v>-</v>
          </cell>
          <cell r="D341">
            <v>1.5580826859322001E-3</v>
          </cell>
          <cell r="E341">
            <v>0.14649990015546277</v>
          </cell>
          <cell r="F341">
            <v>0.14650051703219671</v>
          </cell>
          <cell r="G341">
            <v>0.14746104877307334</v>
          </cell>
          <cell r="H341">
            <v>0.23193818716161937</v>
          </cell>
          <cell r="I341">
            <v>0.23153240015006071</v>
          </cell>
          <cell r="J341">
            <v>0.2941293370316358</v>
          </cell>
          <cell r="K341">
            <v>0.37818131035592523</v>
          </cell>
          <cell r="L341">
            <v>0.42174671041512102</v>
          </cell>
          <cell r="M341">
            <v>0.42815920784198486</v>
          </cell>
          <cell r="N341">
            <v>0.42904667617354081</v>
          </cell>
          <cell r="O341">
            <v>0.42830999132297154</v>
          </cell>
        </row>
        <row r="342">
          <cell r="A342" t="str">
            <v>SCOM-SHCONBR6</v>
          </cell>
          <cell r="B342" t="str">
            <v>VAR_fout</v>
          </cell>
          <cell r="C342" t="str">
            <v>SCOM-SHCON</v>
          </cell>
          <cell r="D342"/>
          <cell r="E342"/>
          <cell r="F342"/>
          <cell r="G342"/>
          <cell r="H342">
            <v>1.7211296920375315E-4</v>
          </cell>
          <cell r="I342">
            <v>1.7500896998882403E-4</v>
          </cell>
          <cell r="J342">
            <v>0.35823861602104051</v>
          </cell>
          <cell r="K342">
            <v>3.8571420981753213</v>
          </cell>
          <cell r="L342">
            <v>3.8572520055333452</v>
          </cell>
          <cell r="M342">
            <v>3.8574374669697082</v>
          </cell>
          <cell r="N342">
            <v>3.8572982009338119</v>
          </cell>
          <cell r="O342">
            <v>3.8571622108981409</v>
          </cell>
        </row>
        <row r="343">
          <cell r="A343" t="str">
            <v>SCOM-SHCONBR6</v>
          </cell>
          <cell r="B343" t="str">
            <v>VAR_fin</v>
          </cell>
          <cell r="C343" t="str">
            <v>CON</v>
          </cell>
          <cell r="D343"/>
          <cell r="F343"/>
          <cell r="G343"/>
          <cell r="H343">
            <v>1.7211296920375315E-4</v>
          </cell>
          <cell r="I343">
            <v>1.7500896998882403E-4</v>
          </cell>
          <cell r="J343">
            <v>0.35823861602104051</v>
          </cell>
          <cell r="K343">
            <v>3.8571420981753213</v>
          </cell>
          <cell r="L343">
            <v>3.8572520055333452</v>
          </cell>
          <cell r="M343">
            <v>3.8574374669697082</v>
          </cell>
          <cell r="N343">
            <v>3.8572982009338119</v>
          </cell>
          <cell r="O343">
            <v>3.8571622108981409</v>
          </cell>
        </row>
        <row r="344">
          <cell r="A344" t="str">
            <v>SCOM-SHCONBR6</v>
          </cell>
          <cell r="B344" t="str">
            <v>VAR_ncap</v>
          </cell>
          <cell r="C344" t="str">
            <v>-</v>
          </cell>
          <cell r="D344"/>
          <cell r="F344"/>
          <cell r="G344"/>
          <cell r="H344">
            <v>1.3010544326170899E-5</v>
          </cell>
          <cell r="I344">
            <v>3.58266588384976E-7</v>
          </cell>
          <cell r="J344">
            <v>2.7669806863502899E-2</v>
          </cell>
          <cell r="K344">
            <v>0.27037854232029701</v>
          </cell>
          <cell r="L344">
            <v>8.9104758075464706E-6</v>
          </cell>
          <cell r="M344">
            <v>7.9501267694939396E-7</v>
          </cell>
          <cell r="N344">
            <v>4.80385679735806E-7</v>
          </cell>
          <cell r="O344">
            <v>1.63358461614348E-7</v>
          </cell>
        </row>
        <row r="345">
          <cell r="A345" t="str">
            <v>SCOM-SHCONBR6</v>
          </cell>
          <cell r="B345" t="str">
            <v>VAR_cap</v>
          </cell>
          <cell r="C345" t="str">
            <v>-</v>
          </cell>
          <cell r="D345"/>
          <cell r="F345"/>
          <cell r="G345"/>
          <cell r="H345">
            <v>1.3010544326170899E-5</v>
          </cell>
          <cell r="I345">
            <v>1.3355982768125519E-5</v>
          </cell>
          <cell r="J345">
            <v>2.7683150354442965E-2</v>
          </cell>
          <cell r="K345">
            <v>0.2980616622128972</v>
          </cell>
          <cell r="L345">
            <v>0.29807058401656722</v>
          </cell>
          <cell r="M345">
            <v>0.29807129588744052</v>
          </cell>
          <cell r="N345">
            <v>0.29806102829021558</v>
          </cell>
          <cell r="O345">
            <v>0.29805861760563274</v>
          </cell>
        </row>
        <row r="346">
          <cell r="A346" t="str">
            <v>RHNM-SHDEM</v>
          </cell>
          <cell r="B346" t="str">
            <v>VAR_fout</v>
          </cell>
          <cell r="C346" t="str">
            <v>RHNM-SHD</v>
          </cell>
          <cell r="D346"/>
          <cell r="E346">
            <v>1.2080578110777898</v>
          </cell>
          <cell r="F346">
            <v>2.8025049217268294</v>
          </cell>
          <cell r="G346">
            <v>5.1042307618571909</v>
          </cell>
          <cell r="H346">
            <v>7.1934634103047488</v>
          </cell>
          <cell r="I346">
            <v>8.8969416294061237</v>
          </cell>
          <cell r="J346">
            <v>10.284794376888298</v>
          </cell>
          <cell r="K346">
            <v>11.568474406511099</v>
          </cell>
          <cell r="L346">
            <v>12.515511464951903</v>
          </cell>
          <cell r="M346">
            <v>13.591742775948493</v>
          </cell>
          <cell r="N346">
            <v>13.595964469620199</v>
          </cell>
          <cell r="O346">
            <v>13.595270877560104</v>
          </cell>
        </row>
        <row r="347">
          <cell r="A347" t="str">
            <v>RHNM-SHDEM</v>
          </cell>
          <cell r="B347" t="str">
            <v>VAR_fin</v>
          </cell>
          <cell r="C347" t="str">
            <v>RHNM-SHLFO</v>
          </cell>
          <cell r="D347"/>
          <cell r="F347">
            <v>7.5214643812459875E-5</v>
          </cell>
          <cell r="G347">
            <v>3.588798659452191E-5</v>
          </cell>
          <cell r="H347">
            <v>1.1424431425480648E-5</v>
          </cell>
          <cell r="I347">
            <v>9.3652995485292862E-5</v>
          </cell>
          <cell r="J347">
            <v>6.7627125799979911E-5</v>
          </cell>
          <cell r="K347"/>
          <cell r="M347">
            <v>1.4252701879229513E-4</v>
          </cell>
          <cell r="O347">
            <v>3.2671957024369168E-2</v>
          </cell>
        </row>
        <row r="348">
          <cell r="A348" t="str">
            <v>RHNM-SHDEM</v>
          </cell>
          <cell r="B348" t="str">
            <v>VAR_fin</v>
          </cell>
          <cell r="C348" t="str">
            <v>RHNM-SHLTHD</v>
          </cell>
          <cell r="D348"/>
          <cell r="E348">
            <v>0.34654313615298626</v>
          </cell>
          <cell r="F348">
            <v>0.37835725474129184</v>
          </cell>
          <cell r="G348">
            <v>0.43862031097962861</v>
          </cell>
          <cell r="H348">
            <v>0.50851171564594644</v>
          </cell>
          <cell r="I348">
            <v>0.5894140032479176</v>
          </cell>
          <cell r="J348">
            <v>0.68333253940366689</v>
          </cell>
          <cell r="K348">
            <v>0.79194062394233389</v>
          </cell>
          <cell r="L348">
            <v>0.91678719115055818</v>
          </cell>
          <cell r="M348">
            <v>1.0652201162922512</v>
          </cell>
          <cell r="N348">
            <v>1.2002058860862748</v>
          </cell>
          <cell r="O348">
            <v>0.93436243079050929</v>
          </cell>
        </row>
        <row r="349">
          <cell r="A349" t="str">
            <v>RHNM-SHDEM</v>
          </cell>
          <cell r="B349" t="str">
            <v>VAR_fin</v>
          </cell>
          <cell r="C349" t="str">
            <v>RHNM-SHCON</v>
          </cell>
          <cell r="D349"/>
          <cell r="F349">
            <v>3.4083469614841642E-5</v>
          </cell>
          <cell r="G349">
            <v>2.6581410720437534E-5</v>
          </cell>
          <cell r="H349">
            <v>4.3199277106125817E-5</v>
          </cell>
          <cell r="I349">
            <v>4.8225556374904149E-5</v>
          </cell>
          <cell r="J349">
            <v>4.9723564412951101E-5</v>
          </cell>
          <cell r="K349">
            <v>5.8938777120974719E-5</v>
          </cell>
          <cell r="L349">
            <v>5.3276323321637261E-5</v>
          </cell>
          <cell r="M349">
            <v>8.6743056628212054E-5</v>
          </cell>
          <cell r="N349">
            <v>4.8041161075695535E-4</v>
          </cell>
          <cell r="O349">
            <v>1.322357118288102</v>
          </cell>
        </row>
        <row r="350">
          <cell r="A350" t="str">
            <v>RHNM-SHDEM</v>
          </cell>
          <cell r="B350" t="str">
            <v>VAR_fin</v>
          </cell>
          <cell r="C350" t="str">
            <v>RHNM-SHELCB</v>
          </cell>
          <cell r="D350"/>
          <cell r="E350">
            <v>0.15435272519269574</v>
          </cell>
          <cell r="F350">
            <v>0.15066029915764595</v>
          </cell>
          <cell r="G350">
            <v>2.9083294930005985E-3</v>
          </cell>
          <cell r="H350">
            <v>6.5376581030891225E-4</v>
          </cell>
          <cell r="I350">
            <v>7.1485126451077035E-4</v>
          </cell>
          <cell r="J350">
            <v>7.9504508795869835E-4</v>
          </cell>
          <cell r="K350">
            <v>1.0192927173028326E-3</v>
          </cell>
          <cell r="L350">
            <v>1.3013142973883906E-3</v>
          </cell>
          <cell r="M350">
            <v>8.6018784879676208E-2</v>
          </cell>
          <cell r="N350">
            <v>1.1435490583064423E-2</v>
          </cell>
          <cell r="O350">
            <v>0.22095566307393955</v>
          </cell>
        </row>
        <row r="351">
          <cell r="A351" t="str">
            <v>RHNM-SHDEM</v>
          </cell>
          <cell r="B351" t="str">
            <v>VAR_fin</v>
          </cell>
          <cell r="C351" t="str">
            <v>RHNM-SHWOD</v>
          </cell>
          <cell r="D351"/>
          <cell r="E351">
            <v>8.1110940403909898E-2</v>
          </cell>
          <cell r="F351">
            <v>8.0920204861580775E-2</v>
          </cell>
          <cell r="G351">
            <v>8.0857899061742108E-2</v>
          </cell>
          <cell r="H351">
            <v>8.0853587464984125E-2</v>
          </cell>
          <cell r="I351">
            <v>8.0735210152888745E-2</v>
          </cell>
          <cell r="J351">
            <v>8.0712801090513056E-2</v>
          </cell>
          <cell r="K351">
            <v>8.047885662336042E-2</v>
          </cell>
          <cell r="L351">
            <v>7.9730080219152649E-2</v>
          </cell>
          <cell r="M351">
            <v>8.0919382375490775E-2</v>
          </cell>
          <cell r="N351">
            <v>7.3669473376385866E-2</v>
          </cell>
          <cell r="O351">
            <v>0.22190863044263345</v>
          </cell>
        </row>
        <row r="352">
          <cell r="A352" t="str">
            <v>RHNM-SHDEM</v>
          </cell>
          <cell r="B352" t="str">
            <v>VAR_fin</v>
          </cell>
          <cell r="C352" t="str">
            <v>RHNM-SHELCH</v>
          </cell>
          <cell r="D352"/>
          <cell r="E352">
            <v>0.52843860075791482</v>
          </cell>
          <cell r="F352">
            <v>2.0889411066620083</v>
          </cell>
          <cell r="G352">
            <v>4.3465269341598392</v>
          </cell>
          <cell r="H352">
            <v>4.3465431879966898</v>
          </cell>
          <cell r="I352">
            <v>4.3463646492310701</v>
          </cell>
          <cell r="J352">
            <v>5.5757365923583331</v>
          </cell>
          <cell r="K352">
            <v>8.6123791134421079</v>
          </cell>
          <cell r="L352">
            <v>10.887749732182218</v>
          </cell>
          <cell r="M352">
            <v>11.652732732214815</v>
          </cell>
          <cell r="N352">
            <v>11.602081977214372</v>
          </cell>
          <cell r="O352">
            <v>9.3734798901069087</v>
          </cell>
        </row>
        <row r="353">
          <cell r="A353" t="str">
            <v>RHNM-SHDEM</v>
          </cell>
          <cell r="B353" t="str">
            <v>VAR_fin</v>
          </cell>
          <cell r="C353" t="str">
            <v>RHNM-SHNST</v>
          </cell>
          <cell r="D353"/>
          <cell r="F353">
            <v>7.5406685155536286E-5</v>
          </cell>
          <cell r="G353">
            <v>1.5164638982332744E-4</v>
          </cell>
          <cell r="H353">
            <v>2.4026035695896372E-4</v>
          </cell>
          <cell r="I353">
            <v>1.6573384276304744E-4</v>
          </cell>
          <cell r="J353">
            <v>2.1742724949566457E-4</v>
          </cell>
          <cell r="K353"/>
          <cell r="L353">
            <v>6.7134973847686171E-4</v>
          </cell>
          <cell r="M353">
            <v>5.9291741365556725E-5</v>
          </cell>
          <cell r="N353">
            <v>7.0184847841876586E-3</v>
          </cell>
          <cell r="O353">
            <v>2.2446266557845262E-2</v>
          </cell>
        </row>
        <row r="354">
          <cell r="A354" t="str">
            <v>RHNM-SHDEM</v>
          </cell>
          <cell r="B354" t="str">
            <v>VAR_fin</v>
          </cell>
          <cell r="C354" t="str">
            <v>RHNM-SHPLT</v>
          </cell>
          <cell r="D354"/>
          <cell r="E354">
            <v>7.3509912404749356E-2</v>
          </cell>
          <cell r="F354">
            <v>7.6354961012297301E-2</v>
          </cell>
          <cell r="G354">
            <v>0.20574064266073144</v>
          </cell>
          <cell r="H354">
            <v>0.32325331661682449</v>
          </cell>
          <cell r="I354">
            <v>0.41894922475697927</v>
          </cell>
          <cell r="J354">
            <v>0.49699926245093906</v>
          </cell>
          <cell r="K354">
            <v>0.56891836939388984</v>
          </cell>
          <cell r="L354">
            <v>0.6208699987064431</v>
          </cell>
          <cell r="M354">
            <v>0.68334507022667346</v>
          </cell>
          <cell r="N354">
            <v>0.65447201823474777</v>
          </cell>
          <cell r="O354">
            <v>0.49086370040224764</v>
          </cell>
        </row>
        <row r="355">
          <cell r="A355" t="str">
            <v>RHNM-SHDEM</v>
          </cell>
          <cell r="B355" t="str">
            <v>VAR_fin</v>
          </cell>
          <cell r="C355" t="str">
            <v>RHNM-SHLTHC-NGA</v>
          </cell>
          <cell r="D355"/>
          <cell r="E355">
            <v>2.5540622769436804E-3</v>
          </cell>
          <cell r="F355">
            <v>4.7413995095812282E-3</v>
          </cell>
          <cell r="G355">
            <v>4.9564700936582636E-3</v>
          </cell>
          <cell r="H355">
            <v>5.3641930909308164E-3</v>
          </cell>
          <cell r="I355">
            <v>3.1220147437427724E-3</v>
          </cell>
          <cell r="J355">
            <v>4.7418326279995419E-5</v>
          </cell>
          <cell r="K355">
            <v>3.9948585688880529E-4</v>
          </cell>
          <cell r="L355">
            <v>1.5427219369862661E-3</v>
          </cell>
          <cell r="M355">
            <v>2.6405600442119016E-3</v>
          </cell>
          <cell r="N355">
            <v>1.1592250543168609E-2</v>
          </cell>
          <cell r="O355">
            <v>0.22151411823975889</v>
          </cell>
        </row>
        <row r="356">
          <cell r="A356" t="str">
            <v>RHNM-SHDEM</v>
          </cell>
          <cell r="B356" t="str">
            <v>VAR_fin</v>
          </cell>
          <cell r="C356" t="str">
            <v>RHNM-SHSOL</v>
          </cell>
          <cell r="D356"/>
          <cell r="E356">
            <v>2.1543924721595012E-2</v>
          </cell>
          <cell r="F356">
            <v>2.0495725853112001E-2</v>
          </cell>
          <cell r="G356">
            <v>2.2034989762267285E-2</v>
          </cell>
          <cell r="H356">
            <v>1.2403504516070252E-2</v>
          </cell>
          <cell r="I356">
            <v>1.7468732169510313E-3</v>
          </cell>
          <cell r="J356">
            <v>1.263683393824104E-3</v>
          </cell>
          <cell r="K356">
            <v>1.0618898268208916E-3</v>
          </cell>
          <cell r="L356">
            <v>1.3039150036450609E-3</v>
          </cell>
          <cell r="M356">
            <v>1.6807227330464428E-2</v>
          </cell>
          <cell r="N356">
            <v>1.1516781088031116E-2</v>
          </cell>
          <cell r="O356">
            <v>0.22110698274904333</v>
          </cell>
        </row>
        <row r="357">
          <cell r="A357" t="str">
            <v>RHNM-SHDEM</v>
          </cell>
          <cell r="B357" t="str">
            <v>VAR_fin</v>
          </cell>
          <cell r="C357" t="str">
            <v>RHNM-SHLTHC-WOD</v>
          </cell>
          <cell r="D357"/>
          <cell r="E357">
            <v>8.4674492332786505E-7</v>
          </cell>
          <cell r="F357">
            <v>9.5869526810971352E-5</v>
          </cell>
          <cell r="G357">
            <v>5.7204657782105066E-4</v>
          </cell>
          <cell r="H357">
            <v>8.3229554900490505E-4</v>
          </cell>
          <cell r="I357">
            <v>2.8308317538784421E-3</v>
          </cell>
          <cell r="J357">
            <v>2.95300397021123E-3</v>
          </cell>
          <cell r="K357">
            <v>1.8844169965114121E-3</v>
          </cell>
          <cell r="L357">
            <v>1.6200933753732446E-3</v>
          </cell>
          <cell r="M357">
            <v>2.4107437766269705E-3</v>
          </cell>
          <cell r="N357">
            <v>1.1667805731319163E-2</v>
          </cell>
          <cell r="O357">
            <v>0.22142177089563936</v>
          </cell>
        </row>
        <row r="358">
          <cell r="A358" t="str">
            <v>RHNM-SHDEM</v>
          </cell>
          <cell r="B358" t="str">
            <v>VAR_fin</v>
          </cell>
          <cell r="C358" t="str">
            <v>RHNM-SHNGAH</v>
          </cell>
          <cell r="F358">
            <v>1.7440650463184026E-3</v>
          </cell>
          <cell r="G358">
            <v>1.7693886108924701E-3</v>
          </cell>
          <cell r="H358">
            <v>1.914736603971837</v>
          </cell>
          <cell r="I358">
            <v>3.4526999379587968</v>
          </cell>
          <cell r="J358">
            <v>3.442607229541963</v>
          </cell>
          <cell r="K358">
            <v>1.5102899998803452</v>
          </cell>
          <cell r="L358">
            <v>3.9364495200339359E-3</v>
          </cell>
          <cell r="M358">
            <v>1.3262521940676554E-3</v>
          </cell>
          <cell r="N358">
            <v>1.1848085516116097E-2</v>
          </cell>
          <cell r="O358">
            <v>0.22157270656054071</v>
          </cell>
        </row>
        <row r="359">
          <cell r="A359" t="str">
            <v>RHNM-SHDEM</v>
          </cell>
          <cell r="B359" t="str">
            <v>VAR_fin</v>
          </cell>
          <cell r="C359" t="str">
            <v>RHNM-SHNGA</v>
          </cell>
          <cell r="D359"/>
          <cell r="E359">
            <v>3.6673644894823889E-5</v>
          </cell>
          <cell r="F359">
            <v>7.103593813863607E-5</v>
          </cell>
          <cell r="G359">
            <v>8.2707555853236235E-5</v>
          </cell>
          <cell r="H359">
            <v>7.599991003047993E-5</v>
          </cell>
          <cell r="I359">
            <v>1.1650119632217742E-4</v>
          </cell>
          <cell r="J359">
            <v>7.67351334131745E-5</v>
          </cell>
          <cell r="K359">
            <v>1.153001775279968E-4</v>
          </cell>
          <cell r="M359">
            <v>1.0840333502632051E-4</v>
          </cell>
          <cell r="N359">
            <v>2.5790540261532701E-5</v>
          </cell>
          <cell r="O359">
            <v>9.0678675072358494E-2</v>
          </cell>
        </row>
        <row r="360">
          <cell r="A360" t="str">
            <v>SCOM-STG-ELCSPEC</v>
          </cell>
          <cell r="B360" t="str">
            <v>VAR_fout</v>
          </cell>
          <cell r="C360" t="str">
            <v>SCOM-ELS</v>
          </cell>
          <cell r="D360"/>
          <cell r="E360">
            <v>3.7570674096868138E-3</v>
          </cell>
          <cell r="F360">
            <v>3.8203060445446946E-3</v>
          </cell>
          <cell r="G360">
            <v>3.9180916318609588E-3</v>
          </cell>
          <cell r="H360">
            <v>5.8160094459101305E-3</v>
          </cell>
          <cell r="I360">
            <v>7.0436727699085622E-3</v>
          </cell>
          <cell r="J360">
            <v>8.4026279296873264E-3</v>
          </cell>
          <cell r="K360">
            <v>1.0543632016426573E-2</v>
          </cell>
          <cell r="L360">
            <v>1.0718307438809582E-2</v>
          </cell>
          <cell r="M360">
            <v>1.3682024390853611E-2</v>
          </cell>
          <cell r="N360">
            <v>1.3764177394836565E-2</v>
          </cell>
          <cell r="O360">
            <v>3.2798360241968895E-2</v>
          </cell>
        </row>
        <row r="361">
          <cell r="A361" t="str">
            <v>SCOM-STG-ELCSPEC</v>
          </cell>
          <cell r="B361" t="str">
            <v>VAR_fin</v>
          </cell>
          <cell r="C361" t="str">
            <v>SCOM-ELS</v>
          </cell>
          <cell r="D361"/>
          <cell r="E361">
            <v>3.7571874586321999E-3</v>
          </cell>
          <cell r="F361">
            <v>3.8204280615055735E-3</v>
          </cell>
          <cell r="G361">
            <v>3.9182107571153462E-3</v>
          </cell>
          <cell r="H361">
            <v>5.8161285365939432E-3</v>
          </cell>
          <cell r="I361">
            <v>7.043768095659245E-3</v>
          </cell>
          <cell r="J361">
            <v>8.4026883802700934E-3</v>
          </cell>
          <cell r="K361">
            <v>1.0543872073317015E-2</v>
          </cell>
          <cell r="L361">
            <v>1.0718427487754971E-2</v>
          </cell>
          <cell r="M361">
            <v>1.3682402249829235E-2</v>
          </cell>
          <cell r="N361">
            <v>1.3764412900691185E-2</v>
          </cell>
          <cell r="O361">
            <v>3.2798801077440466E-2</v>
          </cell>
        </row>
        <row r="362">
          <cell r="A362" t="str">
            <v>SCOM-STG-ELCSPEC</v>
          </cell>
          <cell r="B362" t="str">
            <v>VAR_ncap</v>
          </cell>
          <cell r="C362" t="str">
            <v>-</v>
          </cell>
          <cell r="D362"/>
          <cell r="E362">
            <v>1.4198907339110599E-4</v>
          </cell>
          <cell r="F362">
            <v>1.86145198070524E-6</v>
          </cell>
          <cell r="G362">
            <v>7.4789390174124295E-7</v>
          </cell>
          <cell r="H362">
            <v>6.8699806007571003E-5</v>
          </cell>
          <cell r="I362">
            <v>9.7521320348930194E-5</v>
          </cell>
          <cell r="J362">
            <v>1.33054080853211E-4</v>
          </cell>
          <cell r="K362">
            <v>8.7590098994207004E-5</v>
          </cell>
          <cell r="L362">
            <v>6.1879368304357303E-5</v>
          </cell>
          <cell r="M362">
            <v>2.1295520169239E-4</v>
          </cell>
          <cell r="N362">
            <v>1.3576056964187901E-4</v>
          </cell>
          <cell r="O362">
            <v>7.6632901961044299E-4</v>
          </cell>
        </row>
        <row r="363">
          <cell r="A363" t="str">
            <v>SCOM-STG-ELCSPEC</v>
          </cell>
          <cell r="B363" t="str">
            <v>VAR_cap</v>
          </cell>
          <cell r="C363" t="str">
            <v>-</v>
          </cell>
          <cell r="D363"/>
          <cell r="E363">
            <v>1.4198907339110599E-4</v>
          </cell>
          <cell r="F363">
            <v>1.4378311501413076E-4</v>
          </cell>
          <cell r="G363">
            <v>1.4438163977421918E-4</v>
          </cell>
          <cell r="H363">
            <v>2.1273686709415428E-4</v>
          </cell>
          <cell r="I363">
            <v>2.5524725398807976E-4</v>
          </cell>
          <cell r="J363">
            <v>2.9951586039656994E-4</v>
          </cell>
          <cell r="K363">
            <v>3.8610592435316365E-4</v>
          </cell>
          <cell r="L363">
            <v>3.869930184483928E-4</v>
          </cell>
          <cell r="M363">
            <v>4.9445771934678571E-4</v>
          </cell>
          <cell r="N363">
            <v>4.9719354170888125E-4</v>
          </cell>
          <cell r="O363">
            <v>1.1755775975593504E-3</v>
          </cell>
        </row>
        <row r="364">
          <cell r="A364" t="str">
            <v>SCOM-SHCONBR7</v>
          </cell>
          <cell r="B364" t="str">
            <v>VAR_fout</v>
          </cell>
          <cell r="C364" t="str">
            <v>SCOM-SHCON</v>
          </cell>
          <cell r="D364"/>
          <cell r="G364"/>
          <cell r="H364"/>
          <cell r="I364"/>
          <cell r="J364">
            <v>9.0322615698678734E-5</v>
          </cell>
          <cell r="K364">
            <v>4.697071155439586E-4</v>
          </cell>
          <cell r="L364">
            <v>4.6390522900351138E-4</v>
          </cell>
          <cell r="M364">
            <v>4.7483898004071736E-4</v>
          </cell>
          <cell r="N364">
            <v>4.7237567078776071E-4</v>
          </cell>
          <cell r="O364">
            <v>4.8219689391675377E-4</v>
          </cell>
        </row>
        <row r="365">
          <cell r="A365" t="str">
            <v>SCOM-SHCONBR7</v>
          </cell>
          <cell r="B365" t="str">
            <v>VAR_fin</v>
          </cell>
          <cell r="C365" t="str">
            <v>CON</v>
          </cell>
          <cell r="D365"/>
          <cell r="G365"/>
          <cell r="H365"/>
          <cell r="I365"/>
          <cell r="J365">
            <v>9.0322615698678734E-5</v>
          </cell>
          <cell r="K365">
            <v>4.697071155439586E-4</v>
          </cell>
          <cell r="L365">
            <v>4.6390522900351138E-4</v>
          </cell>
          <cell r="M365">
            <v>4.7483898004071736E-4</v>
          </cell>
          <cell r="N365">
            <v>4.7237567078776071E-4</v>
          </cell>
          <cell r="O365">
            <v>4.8219689391675377E-4</v>
          </cell>
        </row>
        <row r="366">
          <cell r="A366" t="str">
            <v>SCOM-SHCONBR7</v>
          </cell>
          <cell r="B366" t="str">
            <v>VAR_ncap</v>
          </cell>
          <cell r="C366" t="str">
            <v>-</v>
          </cell>
          <cell r="D366"/>
          <cell r="G366"/>
          <cell r="H366"/>
          <cell r="I366"/>
          <cell r="J366">
            <v>6.57392951099104E-6</v>
          </cell>
          <cell r="K366">
            <v>2.9056480294701899E-5</v>
          </cell>
          <cell r="L366">
            <v>7.8798630871731605E-8</v>
          </cell>
          <cell r="M366">
            <v>4.0433719830870903E-7</v>
          </cell>
          <cell r="N366">
            <v>3.1480358744914698E-7</v>
          </cell>
          <cell r="O366">
            <v>2.0468691064664301E-7</v>
          </cell>
        </row>
        <row r="367">
          <cell r="A367" t="str">
            <v>SCOM-SHCONBR7</v>
          </cell>
          <cell r="B367" t="str">
            <v>VAR_cap</v>
          </cell>
          <cell r="C367" t="str">
            <v>-</v>
          </cell>
          <cell r="D367"/>
          <cell r="G367"/>
          <cell r="H367"/>
          <cell r="I367"/>
          <cell r="J367">
            <v>6.57392951099104E-6</v>
          </cell>
          <cell r="K367">
            <v>3.5615748750047847E-5</v>
          </cell>
          <cell r="L367">
            <v>3.5699048797693511E-5</v>
          </cell>
          <cell r="M367">
            <v>3.6053024192780634E-5</v>
          </cell>
          <cell r="N367">
            <v>3.6364547875408242E-5</v>
          </cell>
          <cell r="O367">
            <v>3.6570775311529472E-5</v>
          </cell>
        </row>
        <row r="368">
          <cell r="A368" t="str">
            <v>SCOM-SHCONBR8</v>
          </cell>
          <cell r="B368" t="str">
            <v>VAR_fout</v>
          </cell>
          <cell r="C368" t="str">
            <v>SCOM-SHCON</v>
          </cell>
          <cell r="D368"/>
          <cell r="G368"/>
          <cell r="H368"/>
          <cell r="I368"/>
          <cell r="J368">
            <v>2.5857732465489039E-5</v>
          </cell>
          <cell r="K368">
            <v>5.7545295954389432E-5</v>
          </cell>
          <cell r="L368">
            <v>5.0625232538509042E-5</v>
          </cell>
          <cell r="M368">
            <v>6.5359106453349671E-5</v>
          </cell>
          <cell r="N368">
            <v>6.1324137002993461E-5</v>
          </cell>
          <cell r="O368">
            <v>8.220511964580401E-5</v>
          </cell>
        </row>
        <row r="369">
          <cell r="A369" t="str">
            <v>SCOM-SHCONBR8</v>
          </cell>
          <cell r="B369" t="str">
            <v>VAR_fin</v>
          </cell>
          <cell r="C369" t="str">
            <v>CON</v>
          </cell>
          <cell r="G369"/>
          <cell r="H369"/>
          <cell r="I369"/>
          <cell r="J369">
            <v>2.5857732465489039E-5</v>
          </cell>
          <cell r="K369">
            <v>5.7545295954389432E-5</v>
          </cell>
          <cell r="L369">
            <v>5.0625232538509042E-5</v>
          </cell>
          <cell r="M369">
            <v>6.5359106453349671E-5</v>
          </cell>
          <cell r="N369">
            <v>6.1324137002993461E-5</v>
          </cell>
          <cell r="O369">
            <v>8.220511964580401E-5</v>
          </cell>
        </row>
        <row r="370">
          <cell r="A370" t="str">
            <v>SCOM-SHCONBR8</v>
          </cell>
          <cell r="B370" t="str">
            <v>VAR_ncap</v>
          </cell>
          <cell r="C370" t="str">
            <v>-</v>
          </cell>
          <cell r="G370"/>
          <cell r="H370"/>
          <cell r="I370"/>
          <cell r="J370">
            <v>1.5597720865104799E-6</v>
          </cell>
          <cell r="K370">
            <v>2.12519535578712E-6</v>
          </cell>
          <cell r="L370">
            <v>4.1823889306509498E-8</v>
          </cell>
          <cell r="M370">
            <v>6.3121488806588402E-7</v>
          </cell>
          <cell r="N370">
            <v>2.20498919094823E-7</v>
          </cell>
          <cell r="O370">
            <v>9.9961831876606304E-7</v>
          </cell>
        </row>
        <row r="371">
          <cell r="A371" t="str">
            <v>SCOM-SHCONBR8</v>
          </cell>
          <cell r="B371" t="str">
            <v>VAR_cap</v>
          </cell>
          <cell r="C371" t="str">
            <v>-</v>
          </cell>
          <cell r="G371"/>
          <cell r="H371"/>
          <cell r="I371"/>
          <cell r="J371">
            <v>1.5597720865104799E-6</v>
          </cell>
          <cell r="K371">
            <v>3.6849674422976001E-6</v>
          </cell>
          <cell r="L371">
            <v>3.7267913316041099E-6</v>
          </cell>
          <cell r="M371">
            <v>4.3247742015319346E-6</v>
          </cell>
          <cell r="N371">
            <v>4.5785051387648099E-6</v>
          </cell>
          <cell r="O371">
            <v>5.5616565015655386E-6</v>
          </cell>
        </row>
        <row r="372">
          <cell r="A372" t="str">
            <v>ITOT-ELCSPEC</v>
          </cell>
          <cell r="B372" t="str">
            <v>VAR_fout</v>
          </cell>
          <cell r="C372" t="str">
            <v>ITOT-ELS</v>
          </cell>
          <cell r="D372">
            <v>48.063397652170998</v>
          </cell>
          <cell r="E372">
            <v>49.86637576776544</v>
          </cell>
          <cell r="F372">
            <v>51.516130614924101</v>
          </cell>
          <cell r="G372">
            <v>52.866461088177864</v>
          </cell>
          <cell r="H372">
            <v>52.950561985451444</v>
          </cell>
          <cell r="I372">
            <v>53.379128207871837</v>
          </cell>
          <cell r="J372">
            <v>53.69811198983615</v>
          </cell>
          <cell r="K372">
            <v>54.266974885472635</v>
          </cell>
          <cell r="L372">
            <v>55.054685101128349</v>
          </cell>
          <cell r="M372">
            <v>56.689467817645657</v>
          </cell>
          <cell r="N372">
            <v>55.265012965259515</v>
          </cell>
          <cell r="O372">
            <v>55.641935140729061</v>
          </cell>
        </row>
        <row r="373">
          <cell r="A373" t="str">
            <v>ITOT-ELCSPEC</v>
          </cell>
          <cell r="B373" t="str">
            <v>VAR_fin</v>
          </cell>
          <cell r="C373" t="str">
            <v>ITOT_ELC</v>
          </cell>
          <cell r="D373">
            <v>48.063397652170998</v>
          </cell>
          <cell r="E373">
            <v>49.86637576776544</v>
          </cell>
          <cell r="F373">
            <v>51.516130614924101</v>
          </cell>
          <cell r="G373">
            <v>52.866461088177864</v>
          </cell>
          <cell r="H373">
            <v>52.950561985451444</v>
          </cell>
          <cell r="I373">
            <v>53.379128207871837</v>
          </cell>
          <cell r="J373">
            <v>53.69811198983615</v>
          </cell>
          <cell r="K373">
            <v>54.266974885472635</v>
          </cell>
          <cell r="L373">
            <v>55.054685101128349</v>
          </cell>
          <cell r="M373">
            <v>56.689467817645657</v>
          </cell>
          <cell r="N373">
            <v>55.265012965259515</v>
          </cell>
          <cell r="O373">
            <v>55.641935140729061</v>
          </cell>
        </row>
        <row r="374">
          <cell r="A374" t="str">
            <v>ITOT-ELCSPEC</v>
          </cell>
          <cell r="B374" t="str">
            <v>VAR_ncap</v>
          </cell>
          <cell r="C374" t="str">
            <v>-</v>
          </cell>
          <cell r="D374">
            <v>8.34973656849088E-2</v>
          </cell>
          <cell r="E374">
            <v>9.8050882328019298E-2</v>
          </cell>
          <cell r="F374">
            <v>8.9718638799388406E-2</v>
          </cell>
          <cell r="G374">
            <v>7.3435298294895895E-2</v>
          </cell>
          <cell r="H374">
            <v>4.5766674339956202E-3</v>
          </cell>
          <cell r="I374">
            <v>2.3307495201818601E-2</v>
          </cell>
          <cell r="J374">
            <v>1.7637427008451301</v>
          </cell>
          <cell r="K374">
            <v>1.08613377518253</v>
          </cell>
          <cell r="L374">
            <v>0.116272363695922</v>
          </cell>
          <cell r="M374">
            <v>9.3482205730162804E-2</v>
          </cell>
          <cell r="N374">
            <v>0.22195511802368401</v>
          </cell>
          <cell r="O374">
            <v>1.50812793972277</v>
          </cell>
        </row>
        <row r="375">
          <cell r="A375" t="str">
            <v>ITOT-ELCSPEC</v>
          </cell>
          <cell r="B375" t="str">
            <v>VAR_cap</v>
          </cell>
          <cell r="C375" t="str">
            <v>-</v>
          </cell>
          <cell r="D375">
            <v>2.6138245977176191</v>
          </cell>
          <cell r="E375">
            <v>2.7118753687069206</v>
          </cell>
          <cell r="F375">
            <v>2.8015937380671354</v>
          </cell>
          <cell r="G375">
            <v>2.8750284116625133</v>
          </cell>
          <cell r="H375">
            <v>2.8796026828862162</v>
          </cell>
          <cell r="I375">
            <v>2.9029088168985622</v>
          </cell>
          <cell r="J375">
            <v>2.9202559996319857</v>
          </cell>
          <cell r="K375">
            <v>2.9511926810654305</v>
          </cell>
          <cell r="L375">
            <v>2.994030373802421</v>
          </cell>
          <cell r="M375">
            <v>3.0829348671003172</v>
          </cell>
          <cell r="N375">
            <v>3.005468771056691</v>
          </cell>
          <cell r="O375">
            <v>3.0259675872787208</v>
          </cell>
        </row>
        <row r="376">
          <cell r="A376" t="str">
            <v>RHNM-SHLTHDH</v>
          </cell>
          <cell r="B376" t="str">
            <v>VAR_fout</v>
          </cell>
          <cell r="C376" t="str">
            <v>RHNM-SHLTHD</v>
          </cell>
          <cell r="E376">
            <v>0.34658070218302678</v>
          </cell>
          <cell r="F376">
            <v>0.37871797596428786</v>
          </cell>
          <cell r="G376">
            <v>0.43903769454142888</v>
          </cell>
          <cell r="H376">
            <v>0.50896507295595617</v>
          </cell>
          <cell r="I376">
            <v>0.59003009896818259</v>
          </cell>
          <cell r="J376">
            <v>0.68400587809675062</v>
          </cell>
          <cell r="K376">
            <v>0.79294911255743483</v>
          </cell>
          <cell r="L376">
            <v>0.91924431291530773</v>
          </cell>
          <cell r="M376">
            <v>1.0656560564697126</v>
          </cell>
          <cell r="N376">
            <v>1.2353872227190232</v>
          </cell>
          <cell r="O376">
            <v>1.4321538350273331</v>
          </cell>
        </row>
        <row r="377">
          <cell r="A377" t="str">
            <v>RHNM-SHLTHDH</v>
          </cell>
          <cell r="B377" t="str">
            <v>VAR_fin</v>
          </cell>
          <cell r="C377" t="str">
            <v>RHNMLTHDHC</v>
          </cell>
          <cell r="D377"/>
          <cell r="E377">
            <v>0.34658070218302678</v>
          </cell>
          <cell r="F377">
            <v>0.37871797596428786</v>
          </cell>
          <cell r="G377">
            <v>0.43903769454142888</v>
          </cell>
          <cell r="H377">
            <v>0.50896507295595617</v>
          </cell>
          <cell r="I377">
            <v>0.59003009896818259</v>
          </cell>
          <cell r="J377">
            <v>0.68400587809675062</v>
          </cell>
          <cell r="K377">
            <v>0.79294911255743483</v>
          </cell>
          <cell r="L377">
            <v>0.91924431291530773</v>
          </cell>
          <cell r="M377">
            <v>1.0656560564697126</v>
          </cell>
          <cell r="N377">
            <v>1.2353872227190232</v>
          </cell>
          <cell r="O377">
            <v>1.4321538350273331</v>
          </cell>
        </row>
        <row r="378">
          <cell r="A378" t="str">
            <v>RHNM-SHLTHDH</v>
          </cell>
          <cell r="B378" t="str">
            <v>VAR_fin</v>
          </cell>
          <cell r="C378" t="str">
            <v>RHNM_LTH_DH</v>
          </cell>
          <cell r="E378">
            <v>0.3500815173565926</v>
          </cell>
          <cell r="F378">
            <v>0.38254341006493703</v>
          </cell>
          <cell r="G378">
            <v>0.44347241872871568</v>
          </cell>
          <cell r="H378">
            <v>0.51410613429894592</v>
          </cell>
          <cell r="I378">
            <v>0.59598999895775995</v>
          </cell>
          <cell r="J378">
            <v>0.69091502838055641</v>
          </cell>
          <cell r="K378">
            <v>0.80095869955296484</v>
          </cell>
          <cell r="L378">
            <v>0.92852960900536119</v>
          </cell>
          <cell r="M378">
            <v>1.0764202590603158</v>
          </cell>
          <cell r="N378">
            <v>1.2478658815343673</v>
          </cell>
          <cell r="O378">
            <v>1.4466200353811447</v>
          </cell>
        </row>
        <row r="379">
          <cell r="A379" t="str">
            <v>RHNM-SHLTHDH</v>
          </cell>
          <cell r="B379" t="str">
            <v>VAR_ncap</v>
          </cell>
          <cell r="C379" t="str">
            <v>-</v>
          </cell>
          <cell r="D379"/>
          <cell r="E379">
            <v>2.84391573637514E-2</v>
          </cell>
          <cell r="F379">
            <v>2.50703229293097E-3</v>
          </cell>
          <cell r="G379">
            <v>3.24060308856546E-3</v>
          </cell>
          <cell r="H379">
            <v>8.1431625282776705E-3</v>
          </cell>
          <cell r="I379">
            <v>7.1983937773072298E-3</v>
          </cell>
          <cell r="J379">
            <v>6.38046340684286E-3</v>
          </cell>
          <cell r="K379">
            <v>8.3357750620350907E-3</v>
          </cell>
          <cell r="L379">
            <v>1.04584893490431E-2</v>
          </cell>
          <cell r="M379">
            <v>1.40137977986879E-2</v>
          </cell>
          <cell r="N379">
            <v>7.6978728271436397E-3</v>
          </cell>
          <cell r="O379">
            <v>1.4838078586656801E-2</v>
          </cell>
        </row>
        <row r="380">
          <cell r="A380" t="str">
            <v>RHNM-SHLTHDH</v>
          </cell>
          <cell r="B380" t="str">
            <v>VAR_cap</v>
          </cell>
          <cell r="C380" t="str">
            <v>-</v>
          </cell>
          <cell r="E380">
            <v>2.84391573637514E-2</v>
          </cell>
          <cell r="F380">
            <v>3.0946189656682301E-2</v>
          </cell>
          <cell r="G380">
            <v>3.4186792745247802E-2</v>
          </cell>
          <cell r="H380">
            <v>4.2329955273525503E-2</v>
          </cell>
          <cell r="I380">
            <v>4.9528349050832698E-2</v>
          </cell>
          <cell r="J380">
            <v>5.5908812457675601E-2</v>
          </cell>
          <cell r="K380">
            <v>6.4244587519710697E-2</v>
          </cell>
          <cell r="L380">
            <v>7.4703076868753798E-2</v>
          </cell>
          <cell r="M380">
            <v>8.8716874667441603E-2</v>
          </cell>
          <cell r="N380">
            <v>9.6414747494585298E-2</v>
          </cell>
          <cell r="O380">
            <v>0.111252826081242</v>
          </cell>
        </row>
        <row r="381">
          <cell r="A381" t="str">
            <v>SCOM-SHCONBR9</v>
          </cell>
          <cell r="B381" t="str">
            <v>VAR_fout</v>
          </cell>
          <cell r="C381" t="str">
            <v>SCOM-SHCON</v>
          </cell>
          <cell r="G381"/>
          <cell r="H381"/>
          <cell r="I381"/>
          <cell r="J381">
            <v>9.1684158131719204E-6</v>
          </cell>
          <cell r="K381">
            <v>1.8449882071724634E-5</v>
          </cell>
          <cell r="L381">
            <v>1.3235744133319796E-5</v>
          </cell>
          <cell r="M381">
            <v>2.1835561794429909E-5</v>
          </cell>
          <cell r="N381">
            <v>1.7510300062521989E-5</v>
          </cell>
          <cell r="O381">
            <v>3.1932113846382569E-5</v>
          </cell>
        </row>
        <row r="382">
          <cell r="A382" t="str">
            <v>SCOM-SHCONBR9</v>
          </cell>
          <cell r="B382" t="str">
            <v>VAR_fin</v>
          </cell>
          <cell r="C382" t="str">
            <v>CON</v>
          </cell>
          <cell r="D382"/>
          <cell r="G382"/>
          <cell r="H382"/>
          <cell r="I382"/>
          <cell r="J382">
            <v>9.1684158131719204E-6</v>
          </cell>
          <cell r="K382">
            <v>1.8449882071724634E-5</v>
          </cell>
          <cell r="L382">
            <v>1.3235744133319796E-5</v>
          </cell>
          <cell r="M382">
            <v>2.1835561794429909E-5</v>
          </cell>
          <cell r="N382">
            <v>1.7510300062521989E-5</v>
          </cell>
          <cell r="O382">
            <v>3.1932113846382569E-5</v>
          </cell>
        </row>
        <row r="383">
          <cell r="A383" t="str">
            <v>SCOM-SHCONBR9</v>
          </cell>
          <cell r="B383" t="str">
            <v>VAR_ncap</v>
          </cell>
          <cell r="C383" t="str">
            <v>-</v>
          </cell>
          <cell r="H383"/>
          <cell r="I383"/>
          <cell r="J383">
            <v>3.7368232359392802E-7</v>
          </cell>
          <cell r="K383">
            <v>4.1899604065902098E-7</v>
          </cell>
          <cell r="L383">
            <v>2.1514076080891499E-8</v>
          </cell>
          <cell r="M383">
            <v>2.0437827084869499E-7</v>
          </cell>
          <cell r="N383">
            <v>1.10302078450145E-7</v>
          </cell>
          <cell r="O383">
            <v>4.65777687913736E-7</v>
          </cell>
        </row>
        <row r="384">
          <cell r="A384" t="str">
            <v>SCOM-SHCONBR9</v>
          </cell>
          <cell r="B384" t="str">
            <v>VAR_cap</v>
          </cell>
          <cell r="C384" t="str">
            <v>-</v>
          </cell>
          <cell r="H384"/>
          <cell r="I384"/>
          <cell r="J384">
            <v>3.7368232359392802E-7</v>
          </cell>
          <cell r="K384">
            <v>7.9267836425294905E-7</v>
          </cell>
          <cell r="L384">
            <v>8.1419244033384001E-7</v>
          </cell>
          <cell r="M384">
            <v>1.0185707111825401E-6</v>
          </cell>
          <cell r="N384">
            <v>1.12887278963268E-6</v>
          </cell>
          <cell r="O384">
            <v>1.5946504775464201E-6</v>
          </cell>
        </row>
        <row r="385">
          <cell r="A385" t="str">
            <v>ITOT-SWHCOABR</v>
          </cell>
          <cell r="B385" t="str">
            <v>VAR_fout</v>
          </cell>
          <cell r="C385" t="str">
            <v>ITOT-SWH</v>
          </cell>
          <cell r="D385">
            <v>2.3674015107311077</v>
          </cell>
          <cell r="E385">
            <v>2.3075015032167929</v>
          </cell>
          <cell r="F385">
            <v>0.28001926873163996</v>
          </cell>
          <cell r="G385">
            <v>6.9550947818404772E-5</v>
          </cell>
          <cell r="H385">
            <v>4.1283559953692989E-5</v>
          </cell>
          <cell r="I385">
            <v>3.0210426265670534E-4</v>
          </cell>
          <cell r="J385">
            <v>1.6824676809643228E-4</v>
          </cell>
          <cell r="K385">
            <v>9.2068918914032418E-5</v>
          </cell>
          <cell r="L385">
            <v>1.1872273950169186E-4</v>
          </cell>
          <cell r="M385">
            <v>7.3524674648340973E-5</v>
          </cell>
          <cell r="N385">
            <v>8.2156927760400681E-5</v>
          </cell>
          <cell r="O385">
            <v>3.6990119729627142E-5</v>
          </cell>
        </row>
        <row r="386">
          <cell r="A386" t="str">
            <v>ITOT-SWHCOABR</v>
          </cell>
          <cell r="B386" t="str">
            <v>VAR_fout</v>
          </cell>
          <cell r="C386" t="str">
            <v>CO2_I</v>
          </cell>
          <cell r="D386">
            <v>330.01221059364502</v>
          </cell>
          <cell r="E386">
            <v>321.17926328558099</v>
          </cell>
          <cell r="F386">
            <v>38.888069230596301</v>
          </cell>
          <cell r="G386">
            <v>9.6229445712927193E-3</v>
          </cell>
          <cell r="H386">
            <v>5.6906855133194599E-3</v>
          </cell>
          <cell r="I386">
            <v>4.1488985404854198E-2</v>
          </cell>
          <cell r="J386">
            <v>2.3020627900426999E-2</v>
          </cell>
          <cell r="K386">
            <v>1.25511599754865E-2</v>
          </cell>
          <cell r="L386">
            <v>1.6184702870304199E-2</v>
          </cell>
          <cell r="M386">
            <v>1.00231431469135E-2</v>
          </cell>
          <cell r="N386">
            <v>1.1199922357925199E-2</v>
          </cell>
          <cell r="O386">
            <v>5.04262367490652E-3</v>
          </cell>
        </row>
        <row r="387">
          <cell r="A387" t="str">
            <v>ITOT-SWHCOABR</v>
          </cell>
          <cell r="B387" t="str">
            <v>VAR_fin</v>
          </cell>
          <cell r="C387" t="str">
            <v>ICOA</v>
          </cell>
          <cell r="D387">
            <v>3.560002271776098</v>
          </cell>
          <cell r="E387">
            <v>3.4647169717969843</v>
          </cell>
          <cell r="F387">
            <v>0.41950452244440467</v>
          </cell>
          <cell r="G387">
            <v>1.038073848035891E-4</v>
          </cell>
          <cell r="H387">
            <v>6.1388193239692167E-5</v>
          </cell>
          <cell r="I387">
            <v>4.4756187060252667E-4</v>
          </cell>
          <cell r="J387">
            <v>2.4833471305746454E-4</v>
          </cell>
          <cell r="K387">
            <v>1.3539546899122407E-4</v>
          </cell>
          <cell r="L387">
            <v>1.7459226397307631E-4</v>
          </cell>
          <cell r="M387">
            <v>1.0812452154167788E-4</v>
          </cell>
          <cell r="N387">
            <v>1.2081901141235386E-4</v>
          </cell>
          <cell r="O387">
            <v>5.439723489651046E-5</v>
          </cell>
        </row>
        <row r="388">
          <cell r="A388" t="str">
            <v>ITOT-SWHCOABR</v>
          </cell>
          <cell r="B388" t="str">
            <v>VAR_ncap</v>
          </cell>
          <cell r="C388" t="str">
            <v>-</v>
          </cell>
          <cell r="E388">
            <v>2.0057804294424599E-6</v>
          </cell>
          <cell r="F388">
            <v>1.6652512227214599E-6</v>
          </cell>
          <cell r="G388">
            <v>1.5732926622918701E-6</v>
          </cell>
          <cell r="H388">
            <v>2.97172101451421E-6</v>
          </cell>
          <cell r="I388">
            <v>2.5552328847985801E-5</v>
          </cell>
          <cell r="J388">
            <v>2.72601664127759E-6</v>
          </cell>
          <cell r="K388">
            <v>4.2725418624346996E-6</v>
          </cell>
          <cell r="L388">
            <v>7.1175235369285199E-6</v>
          </cell>
          <cell r="M388">
            <v>3.65122322944034E-6</v>
          </cell>
          <cell r="N388">
            <v>4.3014707497778201E-6</v>
          </cell>
          <cell r="O388">
            <v>1.3856628544804399E-6</v>
          </cell>
        </row>
        <row r="389">
          <cell r="A389" t="str">
            <v>ITOT-SWHCOABR</v>
          </cell>
          <cell r="B389" t="str">
            <v>VAR_cap</v>
          </cell>
          <cell r="C389" t="str">
            <v>-</v>
          </cell>
          <cell r="D389">
            <v>0.26172155007150499</v>
          </cell>
          <cell r="E389">
            <v>0.1339024934567844</v>
          </cell>
          <cell r="F389">
            <v>2.9967653482057155E-2</v>
          </cell>
          <cell r="G389">
            <v>6.6065767894696314E-6</v>
          </cell>
          <cell r="H389">
            <v>3.8966371151832879E-6</v>
          </cell>
          <cell r="I389">
            <v>2.8370549155403779E-5</v>
          </cell>
          <cell r="J389">
            <v>1.5936352176662298E-5</v>
          </cell>
          <cell r="K389">
            <v>8.7056730812285994E-6</v>
          </cell>
          <cell r="L389">
            <v>1.1220890955941739E-5</v>
          </cell>
          <cell r="M389">
            <v>6.9640550618175811E-6</v>
          </cell>
          <cell r="N389">
            <v>7.7487483564827814E-6</v>
          </cell>
          <cell r="O389">
            <v>3.3936373674066001E-6</v>
          </cell>
        </row>
        <row r="390">
          <cell r="A390" t="str">
            <v>RHSA-WHDEM</v>
          </cell>
          <cell r="B390" t="str">
            <v>VAR_fout</v>
          </cell>
          <cell r="C390" t="str">
            <v>RHSA-WHD</v>
          </cell>
          <cell r="D390">
            <v>26.438654975424289</v>
          </cell>
          <cell r="E390">
            <v>25.92879146371218</v>
          </cell>
          <cell r="F390">
            <v>25.418927951999976</v>
          </cell>
          <cell r="G390">
            <v>25.509072923999994</v>
          </cell>
          <cell r="H390">
            <v>25.499829726000012</v>
          </cell>
          <cell r="I390">
            <v>25.33969431720001</v>
          </cell>
          <cell r="J390">
            <v>25.129286488799984</v>
          </cell>
          <cell r="K390">
            <v>24.930159425999989</v>
          </cell>
          <cell r="L390">
            <v>25.250286988188904</v>
          </cell>
          <cell r="M390">
            <v>24.785394604187807</v>
          </cell>
          <cell r="N390">
            <v>24.326761510807483</v>
          </cell>
          <cell r="O390">
            <v>23.897883426756486</v>
          </cell>
        </row>
        <row r="391">
          <cell r="A391" t="str">
            <v>RHSA-WHDEM</v>
          </cell>
          <cell r="B391" t="str">
            <v>VAR_fin</v>
          </cell>
          <cell r="C391" t="str">
            <v>RHSA-WHNGA</v>
          </cell>
          <cell r="D391">
            <v>6.1938565891030413</v>
          </cell>
          <cell r="E391">
            <v>5.1133051891464785</v>
          </cell>
          <cell r="F391">
            <v>6.2012795347936729</v>
          </cell>
          <cell r="G391">
            <v>9.7219739661464164</v>
          </cell>
          <cell r="H391">
            <v>7.3490986959745497</v>
          </cell>
          <cell r="I391">
            <v>6.5056531256739181</v>
          </cell>
          <cell r="J391">
            <v>3.252239222840974</v>
          </cell>
          <cell r="K391">
            <v>0.95785860653249477</v>
          </cell>
          <cell r="L391">
            <v>0.53744431378049717</v>
          </cell>
          <cell r="M391">
            <v>0.43127714595615219</v>
          </cell>
          <cell r="N391">
            <v>0.48734231397155447</v>
          </cell>
          <cell r="O391">
            <v>0.40566232949031983</v>
          </cell>
        </row>
        <row r="392">
          <cell r="A392" t="str">
            <v>RHSA-WHDEM</v>
          </cell>
          <cell r="B392" t="str">
            <v>VAR_fin</v>
          </cell>
          <cell r="C392" t="str">
            <v>RHSA-WHLFO</v>
          </cell>
          <cell r="D392">
            <v>6.8076373196424766</v>
          </cell>
          <cell r="E392">
            <v>5.9698771505927173</v>
          </cell>
          <cell r="F392">
            <v>3.785133905598987</v>
          </cell>
          <cell r="G392">
            <v>1.0373214593719562</v>
          </cell>
          <cell r="H392">
            <v>0.51145784654479254</v>
          </cell>
          <cell r="I392">
            <v>7.3344084555524047E-2</v>
          </cell>
          <cell r="J392">
            <v>6.9934725910488257E-2</v>
          </cell>
          <cell r="K392">
            <v>0.17266504644856964</v>
          </cell>
          <cell r="L392">
            <v>0.18555208484507918</v>
          </cell>
          <cell r="M392">
            <v>0.18322136057161875</v>
          </cell>
          <cell r="N392">
            <v>0.25343821253689719</v>
          </cell>
          <cell r="O392">
            <v>0.23785563816646688</v>
          </cell>
        </row>
        <row r="393">
          <cell r="A393" t="str">
            <v>RHSA-WHDEM</v>
          </cell>
          <cell r="B393" t="str">
            <v>VAR_fin</v>
          </cell>
          <cell r="C393" t="str">
            <v>RHSA-WHWOD</v>
          </cell>
          <cell r="D393">
            <v>0.5614380948701555</v>
          </cell>
          <cell r="E393">
            <v>0.59702149157133966</v>
          </cell>
          <cell r="F393">
            <v>0.36779314458414619</v>
          </cell>
          <cell r="G393">
            <v>0.30112597110122435</v>
          </cell>
          <cell r="H393">
            <v>0.28139044601343222</v>
          </cell>
          <cell r="I393">
            <v>0.22775210578157629</v>
          </cell>
          <cell r="J393">
            <v>0.2077034245619121</v>
          </cell>
          <cell r="K393">
            <v>0.26173302394418946</v>
          </cell>
          <cell r="L393">
            <v>0.25474673392755104</v>
          </cell>
          <cell r="M393">
            <v>0.24515815297107429</v>
          </cell>
          <cell r="N393">
            <v>0.31417417471645481</v>
          </cell>
          <cell r="O393">
            <v>0.28504752161132063</v>
          </cell>
        </row>
        <row r="394">
          <cell r="A394" t="str">
            <v>RHSA-WHDEM</v>
          </cell>
          <cell r="B394" t="str">
            <v>VAR_fin</v>
          </cell>
          <cell r="C394" t="str">
            <v>RHSA-WHNGAH</v>
          </cell>
          <cell r="D394">
            <v>3.8856322505782678E-2</v>
          </cell>
          <cell r="E394">
            <v>1.9596504947440759E-6</v>
          </cell>
          <cell r="F394">
            <v>0.14553102233657353</v>
          </cell>
          <cell r="G394">
            <v>5.831391651000515E-2</v>
          </cell>
          <cell r="H394">
            <v>1.3820348116179171</v>
          </cell>
          <cell r="I394">
            <v>3.1417958362647131</v>
          </cell>
          <cell r="J394">
            <v>3.4906836897529336</v>
          </cell>
          <cell r="K394">
            <v>1.9717894094449222</v>
          </cell>
          <cell r="L394">
            <v>0.99663326383384876</v>
          </cell>
          <cell r="M394">
            <v>0.88553319117754492</v>
          </cell>
          <cell r="N394">
            <v>0.91178643181850216</v>
          </cell>
          <cell r="O394">
            <v>0.91310900299249309</v>
          </cell>
        </row>
        <row r="395">
          <cell r="A395" t="str">
            <v>RHSA-WHDEM</v>
          </cell>
          <cell r="B395" t="str">
            <v>VAR_fin</v>
          </cell>
          <cell r="C395" t="str">
            <v>RHSA-WHNST</v>
          </cell>
          <cell r="D395">
            <v>5.6689121803205997E-2</v>
          </cell>
          <cell r="E395">
            <v>2.7433817492418722E-4</v>
          </cell>
          <cell r="F395">
            <v>8.5951664995087829E-2</v>
          </cell>
          <cell r="G395">
            <v>2.8918420121176829E-2</v>
          </cell>
          <cell r="H395">
            <v>3.8203162629645876E-2</v>
          </cell>
          <cell r="I395">
            <v>4.1697015421863909E-2</v>
          </cell>
          <cell r="J395">
            <v>3.9028513418173018E-2</v>
          </cell>
          <cell r="K395">
            <v>0.10392455763134988</v>
          </cell>
          <cell r="L395">
            <v>0.11131907452611674</v>
          </cell>
          <cell r="M395">
            <v>0.10957889571175117</v>
          </cell>
          <cell r="N395">
            <v>0.15532841491120344</v>
          </cell>
          <cell r="O395">
            <v>0.14630149147114649</v>
          </cell>
        </row>
        <row r="396">
          <cell r="A396" t="str">
            <v>RHSA-WHDEM</v>
          </cell>
          <cell r="B396" t="str">
            <v>VAR_fin</v>
          </cell>
          <cell r="C396" t="str">
            <v>RHSA-WHPLT</v>
          </cell>
          <cell r="D396">
            <v>0.27628594443819671</v>
          </cell>
          <cell r="E396">
            <v>0.19462589704515701</v>
          </cell>
          <cell r="F396">
            <v>0.22032823513315672</v>
          </cell>
          <cell r="G396">
            <v>0.16541369831579641</v>
          </cell>
          <cell r="H396">
            <v>0.1787268226045354</v>
          </cell>
          <cell r="I396">
            <v>0.18608565105968713</v>
          </cell>
          <cell r="J396">
            <v>0.18913792147652925</v>
          </cell>
          <cell r="K396">
            <v>0.25499711934052161</v>
          </cell>
          <cell r="L396">
            <v>0.26725968358079877</v>
          </cell>
          <cell r="M396">
            <v>0.26585185414574686</v>
          </cell>
          <cell r="N396">
            <v>0.33364285728418136</v>
          </cell>
          <cell r="O396">
            <v>0.32004823747018407</v>
          </cell>
        </row>
        <row r="397">
          <cell r="A397" t="str">
            <v>RHSA-WHDEM</v>
          </cell>
          <cell r="B397" t="str">
            <v>VAR_fin</v>
          </cell>
          <cell r="C397" t="str">
            <v>RHSA-WHLTHRD</v>
          </cell>
          <cell r="D397">
            <v>1.2823402351768267</v>
          </cell>
          <cell r="E397">
            <v>1.463152291794894</v>
          </cell>
          <cell r="F397">
            <v>1.3632717044684828</v>
          </cell>
          <cell r="G397">
            <v>0.97598047524962739</v>
          </cell>
          <cell r="H397">
            <v>0.99723379325939365</v>
          </cell>
          <cell r="I397">
            <v>1.3065977715463577</v>
          </cell>
          <cell r="J397">
            <v>0.9961025819469882</v>
          </cell>
          <cell r="K397">
            <v>1.2364395950329174</v>
          </cell>
          <cell r="L397">
            <v>1.2000498191414404</v>
          </cell>
          <cell r="M397">
            <v>1.1860355222083176</v>
          </cell>
          <cell r="N397">
            <v>1.2177278596615861</v>
          </cell>
          <cell r="O397">
            <v>1.1457248076270281</v>
          </cell>
        </row>
        <row r="398">
          <cell r="A398" t="str">
            <v>RHSA-WHDEM</v>
          </cell>
          <cell r="B398" t="str">
            <v>VAR_fin</v>
          </cell>
          <cell r="C398" t="str">
            <v>RHSA-WHELCB</v>
          </cell>
          <cell r="D398">
            <v>6.4485512213317051</v>
          </cell>
          <cell r="E398">
            <v>6.9684840717597556</v>
          </cell>
          <cell r="F398">
            <v>6.6487667688809688</v>
          </cell>
          <cell r="G398">
            <v>4.3701918532509305</v>
          </cell>
          <cell r="H398">
            <v>2.1160416532114228</v>
          </cell>
          <cell r="I398">
            <v>1.3125436608591963</v>
          </cell>
          <cell r="J398">
            <v>0.87661718561260027</v>
          </cell>
          <cell r="K398">
            <v>1.6800921550387851</v>
          </cell>
          <cell r="L398">
            <v>1.4115870132819892</v>
          </cell>
          <cell r="M398">
            <v>0.94051337091423337</v>
          </cell>
          <cell r="N398">
            <v>1.8154666823810599</v>
          </cell>
          <cell r="O398">
            <v>0.7776307910181981</v>
          </cell>
        </row>
        <row r="399">
          <cell r="A399" t="str">
            <v>RHSA-WHDEM</v>
          </cell>
          <cell r="B399" t="str">
            <v>VAR_fin</v>
          </cell>
          <cell r="C399" t="str">
            <v>RHSA-WHSOL</v>
          </cell>
          <cell r="D399">
            <v>1.6619474528817</v>
          </cell>
          <cell r="E399">
            <v>1.9868554675844199</v>
          </cell>
          <cell r="F399">
            <v>1.8018263324639285</v>
          </cell>
          <cell r="G399">
            <v>1.5225269480807564</v>
          </cell>
          <cell r="H399">
            <v>1.2146108719487043</v>
          </cell>
          <cell r="I399">
            <v>1.006529384179172</v>
          </cell>
          <cell r="J399">
            <v>0.99769664366883337</v>
          </cell>
          <cell r="K399">
            <v>2.7877682475913517</v>
          </cell>
          <cell r="L399">
            <v>2.7166262141881168</v>
          </cell>
          <cell r="M399">
            <v>2.6892482093898491</v>
          </cell>
          <cell r="N399">
            <v>2.496876559853729</v>
          </cell>
          <cell r="O399">
            <v>2.0994576358460253</v>
          </cell>
        </row>
        <row r="400">
          <cell r="A400" t="str">
            <v>RHSA-WHDEM</v>
          </cell>
          <cell r="B400" t="str">
            <v>VAR_fin</v>
          </cell>
          <cell r="C400" t="str">
            <v>RHSA-WHELCH</v>
          </cell>
          <cell r="D400">
            <v>3.1110848254110994</v>
          </cell>
          <cell r="E400">
            <v>3.6352321522168598</v>
          </cell>
          <cell r="F400">
            <v>4.7990894658731946</v>
          </cell>
          <cell r="G400">
            <v>7.3273428843383046</v>
          </cell>
          <cell r="H400">
            <v>11.43107025348106</v>
          </cell>
          <cell r="I400">
            <v>11.537729915842453</v>
          </cell>
          <cell r="J400">
            <v>15.010186517883449</v>
          </cell>
          <cell r="K400">
            <v>15.502939188445605</v>
          </cell>
          <cell r="L400">
            <v>17.569100911667018</v>
          </cell>
          <cell r="M400">
            <v>17.849021717106972</v>
          </cell>
          <cell r="N400">
            <v>16.341003606234203</v>
          </cell>
          <cell r="O400">
            <v>17.567084859831294</v>
          </cell>
        </row>
        <row r="401">
          <cell r="A401" t="str">
            <v>RHSA-WHNGAHP</v>
          </cell>
          <cell r="B401" t="str">
            <v>VAR_fout</v>
          </cell>
          <cell r="C401" t="str">
            <v>RHSA-WHANGAH</v>
          </cell>
          <cell r="F401">
            <v>7.0314875705451663E-4</v>
          </cell>
          <cell r="G401">
            <v>8.7855633579621078E-4</v>
          </cell>
          <cell r="H401">
            <v>1.4213114421927004</v>
          </cell>
          <cell r="I401">
            <v>3.2164858378982335</v>
          </cell>
          <cell r="J401">
            <v>3.5737638023122855</v>
          </cell>
          <cell r="K401">
            <v>2.1360895060392457</v>
          </cell>
          <cell r="L401">
            <v>1.0814142230784569</v>
          </cell>
          <cell r="M401">
            <v>0.96482006846937185</v>
          </cell>
          <cell r="N401">
            <v>0.96481420294182374</v>
          </cell>
          <cell r="O401">
            <v>0.96481278019882422</v>
          </cell>
        </row>
        <row r="402">
          <cell r="A402" t="str">
            <v>RHSA-WHNGAHP</v>
          </cell>
          <cell r="B402" t="str">
            <v>VAR_fout</v>
          </cell>
          <cell r="C402" t="str">
            <v>CO2_R</v>
          </cell>
          <cell r="F402">
            <v>2.3314279775352598E-2</v>
          </cell>
          <cell r="G402">
            <v>2.8976945812225902E-2</v>
          </cell>
          <cell r="H402">
            <v>45.598387565226503</v>
          </cell>
          <cell r="I402">
            <v>100.448394937686</v>
          </cell>
          <cell r="J402">
            <v>109.60319654726101</v>
          </cell>
          <cell r="K402">
            <v>64.356542810156796</v>
          </cell>
          <cell r="L402">
            <v>32.581069541466299</v>
          </cell>
          <cell r="M402">
            <v>29.0682969346541</v>
          </cell>
          <cell r="N402">
            <v>29.068120216836999</v>
          </cell>
          <cell r="O402">
            <v>29.068077352144002</v>
          </cell>
        </row>
        <row r="403">
          <cell r="A403" t="str">
            <v>RHSA-WHNGAHP</v>
          </cell>
          <cell r="B403" t="str">
            <v>VAR_fin</v>
          </cell>
          <cell r="C403" t="str">
            <v>RNGA</v>
          </cell>
          <cell r="F403">
            <v>4.1337375488213789E-4</v>
          </cell>
          <cell r="G403">
            <v>5.1377563496854449E-4</v>
          </cell>
          <cell r="H403">
            <v>0.80848204902884024</v>
          </cell>
          <cell r="I403">
            <v>1.7809999102426533</v>
          </cell>
          <cell r="J403">
            <v>1.9433190877173925</v>
          </cell>
          <cell r="K403">
            <v>1.141073454080795</v>
          </cell>
          <cell r="L403">
            <v>0.5776785379692615</v>
          </cell>
          <cell r="M403">
            <v>0.51539533572081797</v>
          </cell>
          <cell r="N403">
            <v>0.51539220242618766</v>
          </cell>
          <cell r="O403">
            <v>0.515391442413902</v>
          </cell>
        </row>
        <row r="404">
          <cell r="A404" t="str">
            <v>RHSA-WHNGAHP</v>
          </cell>
          <cell r="B404" t="str">
            <v>VAR_ncap</v>
          </cell>
          <cell r="C404" t="str">
            <v>-</v>
          </cell>
          <cell r="E404">
            <v>1.94508164474623E-7</v>
          </cell>
          <cell r="F404">
            <v>6.0764952736575101E-5</v>
          </cell>
          <cell r="G404">
            <v>2.5236348111322299E-6</v>
          </cell>
          <cell r="H404">
            <v>9.7085808697701101E-2</v>
          </cell>
          <cell r="I404">
            <v>0.122747408501597</v>
          </cell>
          <cell r="J404">
            <v>2.4436713294611102E-2</v>
          </cell>
          <cell r="K404">
            <v>9.9927224531138998E-7</v>
          </cell>
          <cell r="L404">
            <v>3.38575163570939E-2</v>
          </cell>
          <cell r="M404">
            <v>3.2094945799819398E-2</v>
          </cell>
          <cell r="N404">
            <v>1.0731320797066001E-2</v>
          </cell>
          <cell r="O404">
            <v>2.3132056948654899E-2</v>
          </cell>
        </row>
        <row r="405">
          <cell r="A405" t="str">
            <v>RHSA-WHNGAHP</v>
          </cell>
          <cell r="B405" t="str">
            <v>VAR_cap</v>
          </cell>
          <cell r="C405" t="str">
            <v>-</v>
          </cell>
          <cell r="D405">
            <v>4.7729432218241499E-11</v>
          </cell>
          <cell r="E405">
            <v>1.4584090941417646E-7</v>
          </cell>
          <cell r="F405">
            <v>6.0907420241866457E-5</v>
          </cell>
          <cell r="G405">
            <v>6.3430205983089778E-5</v>
          </cell>
          <cell r="H405">
            <v>9.7149068526027088E-2</v>
          </cell>
          <cell r="I405">
            <v>0.21984789772099872</v>
          </cell>
          <cell r="J405">
            <v>0.2442698661907465</v>
          </cell>
          <cell r="K405">
            <v>0.14718492379750164</v>
          </cell>
          <cell r="L405">
            <v>7.3917972974320442E-2</v>
          </cell>
          <cell r="M405">
            <v>6.59533187523028E-2</v>
          </cell>
          <cell r="N405">
            <v>6.5950483339896046E-2</v>
          </cell>
          <cell r="O405">
            <v>6.5958168729088731E-2</v>
          </cell>
        </row>
        <row r="406">
          <cell r="A406" t="str">
            <v>SCOM-SHSTG-ELCHP</v>
          </cell>
          <cell r="B406" t="str">
            <v>VAR_fout</v>
          </cell>
          <cell r="C406" t="str">
            <v>SCOM-SHAELCH</v>
          </cell>
          <cell r="D406">
            <v>4.4602011275312299E-6</v>
          </cell>
          <cell r="E406">
            <v>4.4673500611665155E-6</v>
          </cell>
          <cell r="F406">
            <v>1.4116349009878472E-3</v>
          </cell>
          <cell r="G406">
            <v>1.4971632902408938E-2</v>
          </cell>
          <cell r="H406">
            <v>0.17874556931839122</v>
          </cell>
          <cell r="I406">
            <v>0.16058867056939971</v>
          </cell>
          <cell r="J406">
            <v>0.69298770635829832</v>
          </cell>
          <cell r="K406">
            <v>0.6414895246636545</v>
          </cell>
          <cell r="L406">
            <v>5.9000013803138539E-2</v>
          </cell>
          <cell r="M406">
            <v>4.4848069249507128E-2</v>
          </cell>
          <cell r="N406">
            <v>0.55868466425154706</v>
          </cell>
          <cell r="O406">
            <v>1.8695166988323513</v>
          </cell>
        </row>
        <row r="407">
          <cell r="A407" t="str">
            <v>SCOM-SHSTG-ELCHP</v>
          </cell>
          <cell r="B407" t="str">
            <v>VAR_fin</v>
          </cell>
          <cell r="C407" t="str">
            <v>SCOM-SHAELCH</v>
          </cell>
          <cell r="D407">
            <v>4.4026073932323886E-6</v>
          </cell>
          <cell r="E407">
            <v>3.9072625805992665E-6</v>
          </cell>
          <cell r="F407">
            <v>1.8527569299465166E-3</v>
          </cell>
          <cell r="G407">
            <v>1.8737897957834541E-2</v>
          </cell>
          <cell r="H407">
            <v>0.2166960958953234</v>
          </cell>
          <cell r="I407">
            <v>0.18896322165896984</v>
          </cell>
          <cell r="J407">
            <v>0.79201588381676002</v>
          </cell>
          <cell r="K407">
            <v>0.71280351175328927</v>
          </cell>
          <cell r="L407">
            <v>6.558565355178303E-2</v>
          </cell>
          <cell r="M407">
            <v>4.9874422804175124E-2</v>
          </cell>
          <cell r="N407">
            <v>0.62082306360673578</v>
          </cell>
          <cell r="O407">
            <v>2.077315119970256</v>
          </cell>
        </row>
        <row r="408">
          <cell r="A408" t="str">
            <v>SCOM-SHSTG-ELCHP</v>
          </cell>
          <cell r="B408" t="str">
            <v>VAR_ncap</v>
          </cell>
          <cell r="C408" t="str">
            <v>-</v>
          </cell>
          <cell r="D408">
            <v>2.9042443248664201E-3</v>
          </cell>
          <cell r="E408">
            <v>9.84227750373904E-2</v>
          </cell>
          <cell r="F408">
            <v>1.3585605396869901E-5</v>
          </cell>
          <cell r="G408">
            <v>1.5673399564709001E-5</v>
          </cell>
          <cell r="H408">
            <v>5.1973054649487899E-2</v>
          </cell>
          <cell r="I408">
            <v>5.9059033985430699E-2</v>
          </cell>
          <cell r="J408">
            <v>4.2788535325029E-5</v>
          </cell>
          <cell r="K408">
            <v>0.114292159098854</v>
          </cell>
          <cell r="L408">
            <v>5.0008885807773497E-2</v>
          </cell>
          <cell r="M408">
            <v>8.93228388091513E-3</v>
          </cell>
          <cell r="N408">
            <v>0.108872281710451</v>
          </cell>
          <cell r="O408">
            <v>8.5168585505551495E-2</v>
          </cell>
        </row>
        <row r="409">
          <cell r="A409" t="str">
            <v>SCOM-SHSTG-ELCHP</v>
          </cell>
          <cell r="B409" t="str">
            <v>VAR_cap</v>
          </cell>
          <cell r="C409" t="str">
            <v>-</v>
          </cell>
          <cell r="D409">
            <v>2.9042443248664201E-3</v>
          </cell>
          <cell r="E409">
            <v>0.10132174026919265</v>
          </cell>
          <cell r="F409">
            <v>0.1013214223454531</v>
          </cell>
          <cell r="G409">
            <v>0.10132171589348682</v>
          </cell>
          <cell r="H409">
            <v>0.10313897238705748</v>
          </cell>
          <cell r="I409">
            <v>0.11103494523508148</v>
          </cell>
          <cell r="J409">
            <v>0.11103967939815412</v>
          </cell>
          <cell r="K409">
            <v>0.17333951093629499</v>
          </cell>
          <cell r="L409">
            <v>0.17334160850889826</v>
          </cell>
          <cell r="M409">
            <v>0.17312367766942127</v>
          </cell>
          <cell r="N409">
            <v>0.1720631272660684</v>
          </cell>
          <cell r="O409">
            <v>0.20287102975966181</v>
          </cell>
        </row>
        <row r="410">
          <cell r="A410" t="str">
            <v>RHEM-SHLFOBR</v>
          </cell>
          <cell r="B410" t="str">
            <v>VAR_fout</v>
          </cell>
          <cell r="C410" t="str">
            <v>CO2_R</v>
          </cell>
          <cell r="D410">
            <v>1928.71050765364</v>
          </cell>
          <cell r="E410">
            <v>1525.5761600772701</v>
          </cell>
          <cell r="F410">
            <v>1550.9079592161199</v>
          </cell>
          <cell r="G410">
            <v>1329.02663505395</v>
          </cell>
          <cell r="H410">
            <v>765.45470242559304</v>
          </cell>
          <cell r="I410">
            <v>576.82021394695005</v>
          </cell>
          <cell r="J410">
            <v>387.34632788712202</v>
          </cell>
          <cell r="K410">
            <v>387.34627159940698</v>
          </cell>
          <cell r="L410">
            <v>387.34612144685502</v>
          </cell>
          <cell r="M410">
            <v>260.56796069605099</v>
          </cell>
          <cell r="N410">
            <v>201.46063278671099</v>
          </cell>
          <cell r="O410">
            <v>1.8322762218784501</v>
          </cell>
        </row>
        <row r="411">
          <cell r="A411" t="str">
            <v>RHEM-SHLFOBR</v>
          </cell>
          <cell r="B411" t="str">
            <v>VAR_fout</v>
          </cell>
          <cell r="C411" t="str">
            <v>RHEM-SHLFO</v>
          </cell>
          <cell r="D411">
            <v>23.443733556396001</v>
          </cell>
          <cell r="E411">
            <v>18.543581773892672</v>
          </cell>
          <cell r="F411">
            <v>18.851493172289985</v>
          </cell>
          <cell r="G411">
            <v>16.154496072851561</v>
          </cell>
          <cell r="H411">
            <v>9.3042040378506687</v>
          </cell>
          <cell r="I411">
            <v>7.0113266620643495</v>
          </cell>
          <cell r="J411">
            <v>4.7082462966831313</v>
          </cell>
          <cell r="K411">
            <v>4.7082456124984455</v>
          </cell>
          <cell r="L411">
            <v>4.7082437873741529</v>
          </cell>
          <cell r="M411">
            <v>3.1672383282253986</v>
          </cell>
          <cell r="N411">
            <v>2.4487808711636627</v>
          </cell>
          <cell r="O411">
            <v>2.2271561946170693E-2</v>
          </cell>
        </row>
        <row r="412">
          <cell r="A412" t="str">
            <v>RHEM-SHLFOBR</v>
          </cell>
          <cell r="B412" t="str">
            <v>VAR_fin</v>
          </cell>
          <cell r="C412" t="str">
            <v>RLFO</v>
          </cell>
          <cell r="D412">
            <v>26.169749086209492</v>
          </cell>
          <cell r="E412">
            <v>20.69981221271739</v>
          </cell>
          <cell r="F412">
            <v>21.043527262091121</v>
          </cell>
          <cell r="G412">
            <v>18.03292584876451</v>
          </cell>
          <cell r="H412">
            <v>10.386088228298403</v>
          </cell>
          <cell r="I412">
            <v>7.8265972041648553</v>
          </cell>
          <cell r="J412">
            <v>5.2557167962974418</v>
          </cell>
          <cell r="K412">
            <v>5.2557160325564034</v>
          </cell>
          <cell r="L412">
            <v>5.2557139952083531</v>
          </cell>
          <cell r="M412">
            <v>3.5355218547632323</v>
          </cell>
          <cell r="N412">
            <v>2.7335228329268766</v>
          </cell>
          <cell r="O412">
            <v>2.4861278451539348E-2</v>
          </cell>
        </row>
        <row r="413">
          <cell r="A413" t="str">
            <v>RHEM-SHLFOBR</v>
          </cell>
          <cell r="B413" t="str">
            <v>VAR_ncap</v>
          </cell>
          <cell r="C413" t="str">
            <v>-</v>
          </cell>
          <cell r="E413">
            <v>4.41050568818428E-8</v>
          </cell>
          <cell r="F413">
            <v>5.2717332769243097E-8</v>
          </cell>
          <cell r="G413">
            <v>1.3785625455119E-7</v>
          </cell>
          <cell r="H413">
            <v>0.22906125750253001</v>
          </cell>
          <cell r="I413">
            <v>0.266925568690353</v>
          </cell>
          <cell r="J413">
            <v>2.27074058436321E-7</v>
          </cell>
          <cell r="K413">
            <v>6.8383572128561207E-2</v>
          </cell>
          <cell r="L413">
            <v>0.23256345155563701</v>
          </cell>
          <cell r="M413">
            <v>9.30010579004147E-7</v>
          </cell>
          <cell r="N413">
            <v>3.44698041090613E-3</v>
          </cell>
          <cell r="O413">
            <v>3.2461306742999898E-7</v>
          </cell>
        </row>
        <row r="414">
          <cell r="A414" t="str">
            <v>RHEM-SHLFOBR</v>
          </cell>
          <cell r="B414" t="str">
            <v>VAR_cap</v>
          </cell>
          <cell r="C414" t="str">
            <v>-</v>
          </cell>
          <cell r="D414">
            <v>1.65587464377338</v>
          </cell>
          <cell r="E414">
            <v>1.6558741467173042</v>
          </cell>
          <cell r="F414">
            <v>1.6558736527467208</v>
          </cell>
          <cell r="G414">
            <v>1.6558732820318927</v>
          </cell>
          <cell r="H414">
            <v>0.65848638160634954</v>
          </cell>
          <cell r="I414">
            <v>0.495986810855579</v>
          </cell>
          <cell r="J414">
            <v>0.38064402666861996</v>
          </cell>
          <cell r="K414">
            <v>0.33530915039492415</v>
          </cell>
          <cell r="L414">
            <v>0.34196116135376942</v>
          </cell>
          <cell r="M414">
            <v>0.30094701666797724</v>
          </cell>
          <cell r="N414">
            <v>0.17439745071821564</v>
          </cell>
          <cell r="O414">
            <v>3.447191760696629E-3</v>
          </cell>
        </row>
        <row r="415">
          <cell r="A415" t="str">
            <v>RHES-SHNGAHP</v>
          </cell>
          <cell r="B415" t="str">
            <v>VAR_fout</v>
          </cell>
          <cell r="C415" t="str">
            <v>RHES-SHANGAH</v>
          </cell>
          <cell r="F415">
            <v>6.4793745887919139E-4</v>
          </cell>
          <cell r="G415">
            <v>7.1920916110660912E-4</v>
          </cell>
          <cell r="H415">
            <v>3.0011324786788527</v>
          </cell>
          <cell r="I415">
            <v>6.5651444446094001</v>
          </cell>
          <cell r="J415">
            <v>6.5535597796934217</v>
          </cell>
          <cell r="K415">
            <v>3.5531268775089284</v>
          </cell>
          <cell r="L415">
            <v>0.50294528782350556</v>
          </cell>
          <cell r="M415">
            <v>1.2324813361813038E-3</v>
          </cell>
          <cell r="N415">
            <v>1.2265541378839791E-3</v>
          </cell>
          <cell r="O415">
            <v>1.228623360774243E-3</v>
          </cell>
        </row>
        <row r="416">
          <cell r="A416" t="str">
            <v>RHES-SHNGAHP</v>
          </cell>
          <cell r="B416" t="str">
            <v>VAR_fout</v>
          </cell>
          <cell r="C416" t="str">
            <v>CO2_R</v>
          </cell>
          <cell r="F416">
            <v>1.8271836340393199E-2</v>
          </cell>
          <cell r="G416">
            <v>1.9501633022313801E-2</v>
          </cell>
          <cell r="H416">
            <v>78.727382231389399</v>
          </cell>
          <cell r="I416">
            <v>166.79015616034701</v>
          </cell>
          <cell r="J416">
            <v>162.114373497679</v>
          </cell>
          <cell r="K416">
            <v>85.639468329702396</v>
          </cell>
          <cell r="L416">
            <v>12.1222710398486</v>
          </cell>
          <cell r="M416">
            <v>2.9705960410523698E-2</v>
          </cell>
          <cell r="N416">
            <v>2.9563099733613801E-2</v>
          </cell>
          <cell r="O416">
            <v>2.9612973310969001E-2</v>
          </cell>
        </row>
        <row r="417">
          <cell r="A417" t="str">
            <v>RHES-SHNGAHP</v>
          </cell>
          <cell r="B417" t="str">
            <v>VAR_fin</v>
          </cell>
          <cell r="C417" t="str">
            <v>RHESELCHPC</v>
          </cell>
          <cell r="F417">
            <v>6.4793745887919139E-4</v>
          </cell>
          <cell r="G417">
            <v>7.1920916110660912E-4</v>
          </cell>
          <cell r="H417">
            <v>3.0011324786788527</v>
          </cell>
          <cell r="I417">
            <v>6.5651444446094001</v>
          </cell>
          <cell r="J417">
            <v>6.5535597796934217</v>
          </cell>
          <cell r="K417">
            <v>3.5531268775089284</v>
          </cell>
          <cell r="L417">
            <v>0.50294528782350556</v>
          </cell>
          <cell r="M417">
            <v>1.2324813361813038E-3</v>
          </cell>
          <cell r="N417">
            <v>1.2265541378839791E-3</v>
          </cell>
          <cell r="O417">
            <v>1.228623360774243E-3</v>
          </cell>
        </row>
        <row r="418">
          <cell r="A418" t="str">
            <v>RHES-SHNGAHP</v>
          </cell>
          <cell r="B418" t="str">
            <v>VAR_fin</v>
          </cell>
          <cell r="C418" t="str">
            <v>RNGA</v>
          </cell>
          <cell r="F418">
            <v>3.2396872943959564E-4</v>
          </cell>
          <cell r="G418">
            <v>3.4577363514740847E-4</v>
          </cell>
          <cell r="H418">
            <v>1.3958755714785358</v>
          </cell>
          <cell r="I418">
            <v>2.9572722723465779</v>
          </cell>
          <cell r="J418">
            <v>2.8743683244269373</v>
          </cell>
          <cell r="K418">
            <v>1.5184302895337316</v>
          </cell>
          <cell r="L418">
            <v>0.21493388368525859</v>
          </cell>
          <cell r="M418">
            <v>5.2670142571850567E-4</v>
          </cell>
          <cell r="N418">
            <v>5.2416843499315325E-4</v>
          </cell>
          <cell r="O418">
            <v>5.2505271827959089E-4</v>
          </cell>
        </row>
        <row r="419">
          <cell r="A419" t="str">
            <v>RHES-SHNGAHP</v>
          </cell>
          <cell r="B419" t="str">
            <v>VAR_ncap</v>
          </cell>
          <cell r="C419" t="str">
            <v>-</v>
          </cell>
          <cell r="E419">
            <v>4.4243997045203301E-8</v>
          </cell>
          <cell r="F419">
            <v>5.7670472693617099E-5</v>
          </cell>
          <cell r="G419">
            <v>3.7885941595563898E-6</v>
          </cell>
          <cell r="H419">
            <v>0.24282306063261699</v>
          </cell>
          <cell r="I419">
            <v>0.287558566053361</v>
          </cell>
          <cell r="J419">
            <v>1.2105500016998201E-7</v>
          </cell>
          <cell r="K419">
            <v>3.5557600516890501E-7</v>
          </cell>
          <cell r="L419">
            <v>1.31642116378828E-7</v>
          </cell>
          <cell r="M419">
            <v>1.11736625453604E-4</v>
          </cell>
          <cell r="N419">
            <v>1.35049378776213E-6</v>
          </cell>
          <cell r="O419">
            <v>2.0318856523748199E-5</v>
          </cell>
        </row>
        <row r="420">
          <cell r="A420" t="str">
            <v>RHES-SHNGAHP</v>
          </cell>
          <cell r="B420" t="str">
            <v>VAR_cap</v>
          </cell>
          <cell r="C420" t="str">
            <v>-</v>
          </cell>
          <cell r="E420">
            <v>4.4243997045203301E-8</v>
          </cell>
          <cell r="F420">
            <v>5.7696256809501451E-5</v>
          </cell>
          <cell r="G420">
            <v>6.1477150189178769E-5</v>
          </cell>
          <cell r="H420">
            <v>0.24288448288242956</v>
          </cell>
          <cell r="I420">
            <v>0.53039674001792225</v>
          </cell>
          <cell r="J420">
            <v>0.5303816725221373</v>
          </cell>
          <cell r="K420">
            <v>0.28755898182926976</v>
          </cell>
          <cell r="L420">
            <v>4.4184951822855173E-2</v>
          </cell>
          <cell r="M420">
            <v>1.121329120088498E-4</v>
          </cell>
          <cell r="N420">
            <v>1.1313811143565022E-4</v>
          </cell>
          <cell r="O420">
            <v>1.3331726909415501E-4</v>
          </cell>
        </row>
        <row r="421">
          <cell r="A421" t="str">
            <v>D-RHES_LTH_CHPWOD</v>
          </cell>
          <cell r="B421" t="str">
            <v>VAR_fout</v>
          </cell>
          <cell r="C421" t="str">
            <v>RHES_LTH_CHPWOD_ON</v>
          </cell>
          <cell r="D421">
            <v>4.121116854465247E-6</v>
          </cell>
          <cell r="E421">
            <v>9.0689134478281601E-6</v>
          </cell>
          <cell r="F421">
            <v>2.920894262415371E-6</v>
          </cell>
          <cell r="G421">
            <v>1.8085847382289687E-4</v>
          </cell>
          <cell r="H421">
            <v>2.9164493305895305E-4</v>
          </cell>
          <cell r="I421">
            <v>9.5717245194325512E-4</v>
          </cell>
          <cell r="J421">
            <v>4.2729457236685611E-3</v>
          </cell>
          <cell r="K421">
            <v>4.3317039548515044E-3</v>
          </cell>
          <cell r="L421">
            <v>3.2331918026541292E-3</v>
          </cell>
          <cell r="M421">
            <v>1.896846212592242E-3</v>
          </cell>
          <cell r="N421">
            <v>1.8779502113569759E-3</v>
          </cell>
          <cell r="O421">
            <v>2.2318851102938182E-3</v>
          </cell>
        </row>
        <row r="422">
          <cell r="A422" t="str">
            <v>D-RHES_LTH_CHPWOD</v>
          </cell>
          <cell r="B422" t="str">
            <v>VAR_fout</v>
          </cell>
          <cell r="C422" t="str">
            <v>RHSA_LTH</v>
          </cell>
          <cell r="D422">
            <v>2.6929436489885379E-6</v>
          </cell>
          <cell r="E422">
            <v>4.2839516021703269E-6</v>
          </cell>
          <cell r="F422">
            <v>5.5177422026558958E-6</v>
          </cell>
          <cell r="G422">
            <v>2.6762488846675866E-5</v>
          </cell>
          <cell r="H422">
            <v>6.0345762188165764E-5</v>
          </cell>
          <cell r="I422">
            <v>1.225997845894258E-4</v>
          </cell>
          <cell r="J422">
            <v>3.6581636834100198E-5</v>
          </cell>
          <cell r="K422">
            <v>4.5595258259410486E-5</v>
          </cell>
          <cell r="L422">
            <v>3.0798290998297723E-5</v>
          </cell>
          <cell r="M422">
            <v>9.7038807154245905E-6</v>
          </cell>
          <cell r="N422">
            <v>2.7778603083281618E-5</v>
          </cell>
          <cell r="O422">
            <v>1.4699116374617546E-4</v>
          </cell>
        </row>
        <row r="423">
          <cell r="A423" t="str">
            <v>D-RHES_LTH_CHPWOD</v>
          </cell>
          <cell r="B423" t="str">
            <v>VAR_fout</v>
          </cell>
          <cell r="C423" t="str">
            <v>LTH</v>
          </cell>
          <cell r="G423"/>
          <cell r="H423"/>
          <cell r="I423">
            <v>1.2134857930698054E-6</v>
          </cell>
          <cell r="J423">
            <v>4.8316223878107253E-6</v>
          </cell>
          <cell r="K423">
            <v>5.4402698254795565E-6</v>
          </cell>
          <cell r="L423">
            <v>5.1222599796558863E-6</v>
          </cell>
          <cell r="M423">
            <v>4.2078164945547817E-6</v>
          </cell>
          <cell r="N423">
            <v>4.2631487432940104E-6</v>
          </cell>
          <cell r="O423">
            <v>7.0136873444043E-6</v>
          </cell>
        </row>
        <row r="424">
          <cell r="A424" t="str">
            <v>D-RHES_LTH_CHPWOD</v>
          </cell>
          <cell r="B424" t="str">
            <v>VAR_fin</v>
          </cell>
          <cell r="C424" t="str">
            <v>RHES_LTH_CHPWOD</v>
          </cell>
          <cell r="D424">
            <v>6.8140605034537794E-6</v>
          </cell>
          <cell r="E424">
            <v>1.3549522346375552E-5</v>
          </cell>
          <cell r="F424">
            <v>8.7160675012633654E-6</v>
          </cell>
          <cell r="G424">
            <v>2.0779060656524355E-4</v>
          </cell>
          <cell r="H424">
            <v>3.5237398502514837E-4</v>
          </cell>
          <cell r="I424">
            <v>1.0819820520068186E-3</v>
          </cell>
          <cell r="J424">
            <v>4.3149809159405191E-3</v>
          </cell>
          <cell r="K424">
            <v>4.3831057256383497E-3</v>
          </cell>
          <cell r="L424">
            <v>3.2696842515744463E-3</v>
          </cell>
          <cell r="M424">
            <v>1.9114528125797052E-3</v>
          </cell>
          <cell r="N424">
            <v>1.9106709748338742E-3</v>
          </cell>
          <cell r="O424">
            <v>2.386356845455153E-3</v>
          </cell>
        </row>
        <row r="425">
          <cell r="A425" t="str">
            <v>ITOT-SWHSOLBR</v>
          </cell>
          <cell r="B425" t="str">
            <v>VAR_fout</v>
          </cell>
          <cell r="C425" t="str">
            <v>ITOT-SWHASOL</v>
          </cell>
          <cell r="D425">
            <v>6.763102136338818E-2</v>
          </cell>
          <cell r="E425">
            <v>8.5489922092106485E-2</v>
          </cell>
          <cell r="F425">
            <v>8.5039318044007689E-2</v>
          </cell>
          <cell r="G425">
            <v>8.5631529493535793E-2</v>
          </cell>
          <cell r="H425">
            <v>8.5635101547188536E-2</v>
          </cell>
          <cell r="I425">
            <v>5.5212067788736593E-2</v>
          </cell>
          <cell r="J425">
            <v>5.4127912501083578E-2</v>
          </cell>
          <cell r="K425">
            <v>5.3374174123445597E-2</v>
          </cell>
          <cell r="L425">
            <v>5.3231676925598694E-2</v>
          </cell>
          <cell r="M425">
            <v>5.3102599365798697E-2</v>
          </cell>
          <cell r="N425">
            <v>9.55974943051883E-3</v>
          </cell>
          <cell r="O425">
            <v>3.7563599263686683E-4</v>
          </cell>
        </row>
        <row r="426">
          <cell r="A426" t="str">
            <v>ITOT-SWHSOLBR</v>
          </cell>
          <cell r="B426" t="str">
            <v>VAR_fin</v>
          </cell>
          <cell r="C426" t="str">
            <v>SOL</v>
          </cell>
          <cell r="D426">
            <v>6.763102136338818E-2</v>
          </cell>
          <cell r="E426">
            <v>8.5489922092106485E-2</v>
          </cell>
          <cell r="F426">
            <v>8.5039318044007689E-2</v>
          </cell>
          <cell r="G426">
            <v>8.5631529493535793E-2</v>
          </cell>
          <cell r="H426">
            <v>8.5635101547188536E-2</v>
          </cell>
          <cell r="I426">
            <v>5.5212067788736593E-2</v>
          </cell>
          <cell r="J426">
            <v>5.4127912501083578E-2</v>
          </cell>
          <cell r="K426">
            <v>5.3374174123445597E-2</v>
          </cell>
          <cell r="L426">
            <v>5.3231676925598694E-2</v>
          </cell>
          <cell r="M426">
            <v>5.3102599365798697E-2</v>
          </cell>
          <cell r="N426">
            <v>9.55974943051883E-3</v>
          </cell>
          <cell r="O426">
            <v>3.7563599263686683E-4</v>
          </cell>
        </row>
        <row r="427">
          <cell r="A427" t="str">
            <v>ITOT-SWHSOLBR</v>
          </cell>
          <cell r="B427" t="str">
            <v>VAR_ncap</v>
          </cell>
          <cell r="C427" t="str">
            <v>-</v>
          </cell>
          <cell r="E427">
            <v>2.6199316678414799E-3</v>
          </cell>
          <cell r="F427">
            <v>1.4902222959055299E-8</v>
          </cell>
          <cell r="G427">
            <v>4.3785492360943598E-8</v>
          </cell>
          <cell r="H427">
            <v>8.5518301904652701E-3</v>
          </cell>
          <cell r="I427">
            <v>3.88923191846063E-3</v>
          </cell>
          <cell r="J427">
            <v>8.5828635962345094E-8</v>
          </cell>
          <cell r="K427">
            <v>8.5518690414753892E-3</v>
          </cell>
          <cell r="L427">
            <v>3.29153176004769E-3</v>
          </cell>
          <cell r="M427">
            <v>5.9812802833241201E-4</v>
          </cell>
          <cell r="N427">
            <v>8.0803790430205406E-3</v>
          </cell>
          <cell r="O427">
            <v>3.7825202447981298E-3</v>
          </cell>
        </row>
        <row r="428">
          <cell r="A428" t="str">
            <v>ITOT-SWHSOLBR</v>
          </cell>
          <cell r="B428" t="str">
            <v>VAR_cap</v>
          </cell>
          <cell r="C428" t="str">
            <v>-</v>
          </cell>
          <cell r="D428">
            <v>9.8214799778629808E-3</v>
          </cell>
          <cell r="E428">
            <v>1.2441411645704462E-2</v>
          </cell>
          <cell r="F428">
            <v>1.2441426547927421E-2</v>
          </cell>
          <cell r="G428">
            <v>1.2441470333419781E-2</v>
          </cell>
          <cell r="H428">
            <v>1.244124337277475E-2</v>
          </cell>
          <cell r="I428">
            <v>1.2441100693787E-2</v>
          </cell>
          <cell r="J428">
            <v>1.2441147937561899E-2</v>
          </cell>
          <cell r="K428">
            <v>1.2441186788571999E-2</v>
          </cell>
          <cell r="L428">
            <v>1.24410716024379E-2</v>
          </cell>
          <cell r="M428">
            <v>1.2441528829855501E-2</v>
          </cell>
          <cell r="N428">
            <v>1.2441301693365599E-2</v>
          </cell>
          <cell r="O428">
            <v>1.24610273161511E-2</v>
          </cell>
        </row>
        <row r="429">
          <cell r="A429" t="str">
            <v>SCOM-SHNGAHP</v>
          </cell>
          <cell r="B429" t="str">
            <v>VAR_fout</v>
          </cell>
          <cell r="C429" t="str">
            <v>SCOM-SHANGAH</v>
          </cell>
          <cell r="F429">
            <v>6.0373793065958642E-4</v>
          </cell>
          <cell r="G429">
            <v>5.6090173319630243E-4</v>
          </cell>
          <cell r="H429">
            <v>8.6661415225843825E-3</v>
          </cell>
          <cell r="I429">
            <v>1.3618530212916565E-2</v>
          </cell>
          <cell r="J429">
            <v>0.48012911879752346</v>
          </cell>
          <cell r="K429">
            <v>1.239903610166559</v>
          </cell>
          <cell r="L429">
            <v>2.0623805412341052</v>
          </cell>
          <cell r="M429">
            <v>2.9484286556983905</v>
          </cell>
          <cell r="N429">
            <v>3.9029431168564845</v>
          </cell>
          <cell r="O429">
            <v>4.2045867898011533</v>
          </cell>
        </row>
        <row r="430">
          <cell r="A430" t="str">
            <v>SCOM-SHNGAHP</v>
          </cell>
          <cell r="B430" t="str">
            <v>VAR_fout</v>
          </cell>
          <cell r="C430" t="str">
            <v>CO2_S</v>
          </cell>
          <cell r="F430">
            <v>1.7197383479394299E-2</v>
          </cell>
          <cell r="G430">
            <v>1.55072832118978E-2</v>
          </cell>
          <cell r="H430">
            <v>0.23274780089226599</v>
          </cell>
          <cell r="I430">
            <v>0.355594955559488</v>
          </cell>
          <cell r="J430">
            <v>12.1978749099911</v>
          </cell>
          <cell r="K430">
            <v>30.671299830435899</v>
          </cell>
          <cell r="L430">
            <v>51.016781809475297</v>
          </cell>
          <cell r="M430">
            <v>72.934814114644297</v>
          </cell>
          <cell r="N430">
            <v>96.546487627502501</v>
          </cell>
          <cell r="O430">
            <v>104.008199537187</v>
          </cell>
        </row>
        <row r="431">
          <cell r="A431" t="str">
            <v>SCOM-SHNGAHP</v>
          </cell>
          <cell r="B431" t="str">
            <v>VAR_fin</v>
          </cell>
          <cell r="C431" t="str">
            <v>SCOMELCHPC</v>
          </cell>
          <cell r="F431">
            <v>6.0373793065958642E-4</v>
          </cell>
          <cell r="G431">
            <v>5.6090173319630243E-4</v>
          </cell>
          <cell r="H431">
            <v>8.6661415225843825E-3</v>
          </cell>
          <cell r="I431">
            <v>1.3618530212916565E-2</v>
          </cell>
          <cell r="J431">
            <v>0.48012911879752346</v>
          </cell>
          <cell r="K431">
            <v>1.239903610166559</v>
          </cell>
          <cell r="L431">
            <v>2.0623805412341052</v>
          </cell>
          <cell r="M431">
            <v>2.9484286556983905</v>
          </cell>
          <cell r="N431">
            <v>3.9029431168564845</v>
          </cell>
          <cell r="O431">
            <v>4.2045867898011533</v>
          </cell>
        </row>
        <row r="432">
          <cell r="A432" t="str">
            <v>SCOM-SHNGAHP</v>
          </cell>
          <cell r="B432" t="str">
            <v>VAR_fin</v>
          </cell>
          <cell r="C432" t="str">
            <v>SNGA</v>
          </cell>
          <cell r="F432">
            <v>3.0491814679777098E-4</v>
          </cell>
          <cell r="G432">
            <v>2.7495182999818715E-4</v>
          </cell>
          <cell r="H432">
            <v>4.1267340583735152E-3</v>
          </cell>
          <cell r="I432">
            <v>6.3048750985724832E-3</v>
          </cell>
          <cell r="J432">
            <v>0.21627437783672201</v>
          </cell>
          <cell r="K432">
            <v>0.54381737288006937</v>
          </cell>
          <cell r="L432">
            <v>0.90455286896232734</v>
          </cell>
          <cell r="M432">
            <v>1.2931704630256093</v>
          </cell>
          <cell r="N432">
            <v>1.711817156516003</v>
          </cell>
          <cell r="O432">
            <v>1.844117013070683</v>
          </cell>
        </row>
        <row r="433">
          <cell r="A433" t="str">
            <v>SCOM-SHNGAHP</v>
          </cell>
          <cell r="B433" t="str">
            <v>VAR_ncap</v>
          </cell>
          <cell r="C433" t="str">
            <v>-</v>
          </cell>
          <cell r="D433">
            <v>1.47370900743578E-7</v>
          </cell>
          <cell r="E433">
            <v>1.14687582253117E-5</v>
          </cell>
          <cell r="F433">
            <v>3.6488698377868502E-5</v>
          </cell>
          <cell r="G433">
            <v>4.4369683689466197E-7</v>
          </cell>
          <cell r="H433">
            <v>6.2763990031345003E-4</v>
          </cell>
          <cell r="I433">
            <v>4.21952283265269E-4</v>
          </cell>
          <cell r="J433">
            <v>3.6066257142984698E-2</v>
          </cell>
          <cell r="K433">
            <v>5.9779672176458298E-2</v>
          </cell>
          <cell r="L433">
            <v>6.8984993171221601E-2</v>
          </cell>
          <cell r="M433">
            <v>0.10013130233145</v>
          </cell>
          <cell r="N433">
            <v>0.14514718764142301</v>
          </cell>
          <cell r="O433">
            <v>8.3988012502543299E-2</v>
          </cell>
        </row>
        <row r="434">
          <cell r="A434" t="str">
            <v>SCOM-SHNGAHP</v>
          </cell>
          <cell r="B434" t="str">
            <v>VAR_cap</v>
          </cell>
          <cell r="C434" t="str">
            <v>-</v>
          </cell>
          <cell r="D434">
            <v>1.47370900743578E-7</v>
          </cell>
          <cell r="E434">
            <v>1.1575099562228467E-5</v>
          </cell>
          <cell r="F434">
            <v>4.8012169986114445E-5</v>
          </cell>
          <cell r="G434">
            <v>4.8434764674681977E-5</v>
          </cell>
          <cell r="H434">
            <v>6.7025174189908943E-4</v>
          </cell>
          <cell r="I434">
            <v>1.0574186185581824E-3</v>
          </cell>
          <cell r="J434">
            <v>3.7115750866703885E-2</v>
          </cell>
          <cell r="K434">
            <v>9.6267687761240714E-2</v>
          </cell>
          <cell r="L434">
            <v>0.16011678437859653</v>
          </cell>
          <cell r="M434">
            <v>0.22889573489839724</v>
          </cell>
          <cell r="N434">
            <v>0.3029822050821509</v>
          </cell>
          <cell r="O434">
            <v>0.32926615866503761</v>
          </cell>
        </row>
        <row r="435">
          <cell r="A435" t="str">
            <v>D-RHNM_LTH_CHPNGA</v>
          </cell>
          <cell r="B435" t="str">
            <v>VAR_fout</v>
          </cell>
          <cell r="C435" t="str">
            <v>RHSA_LTH</v>
          </cell>
          <cell r="D435">
            <v>5.5451389657707909E-6</v>
          </cell>
          <cell r="E435">
            <v>3.0286094414237622E-4</v>
          </cell>
          <cell r="F435">
            <v>8.73824701854071E-6</v>
          </cell>
          <cell r="G435">
            <v>4.2748352971702713E-5</v>
          </cell>
          <cell r="H435">
            <v>1.3268287400692799E-6</v>
          </cell>
          <cell r="I435">
            <v>4.1880060421205701E-6</v>
          </cell>
          <cell r="J435">
            <v>7.0664542469569112E-6</v>
          </cell>
          <cell r="K435">
            <v>8.6389150921951002E-6</v>
          </cell>
          <cell r="L435">
            <v>6.5203374325216025E-5</v>
          </cell>
          <cell r="M435">
            <v>1.1057135134048885E-5</v>
          </cell>
          <cell r="N435">
            <v>4.54359199314343E-5</v>
          </cell>
          <cell r="O435">
            <v>3.9352058807718403E-6</v>
          </cell>
        </row>
        <row r="436">
          <cell r="A436" t="str">
            <v>D-RHNM_LTH_CHPNGA</v>
          </cell>
          <cell r="B436" t="str">
            <v>VAR_fout</v>
          </cell>
          <cell r="C436" t="str">
            <v>LTH</v>
          </cell>
          <cell r="F436">
            <v>1.0433440779312218E-6</v>
          </cell>
          <cell r="G436">
            <v>2.7253746357559932E-6</v>
          </cell>
          <cell r="H436">
            <v>5.3760032779954117E-6</v>
          </cell>
          <cell r="I436">
            <v>3.9614253320501095E-6</v>
          </cell>
          <cell r="J436">
            <v>5.4149437637631691E-6</v>
          </cell>
          <cell r="K436">
            <v>6.4828510057071262E-6</v>
          </cell>
          <cell r="L436">
            <v>7.7720746307648233E-7</v>
          </cell>
          <cell r="M436">
            <v>6.5657507012262185E-6</v>
          </cell>
          <cell r="N436">
            <v>1.7988070199078435E-6</v>
          </cell>
          <cell r="O436">
            <v>4.607899436470534E-6</v>
          </cell>
        </row>
        <row r="437">
          <cell r="A437" t="str">
            <v>D-RHNM_LTH_CHPNGA</v>
          </cell>
          <cell r="B437" t="str">
            <v>VAR_fout</v>
          </cell>
          <cell r="C437" t="str">
            <v>RHNM_LTH_CHPNGA_ON</v>
          </cell>
          <cell r="D437">
            <v>3.7437893268841513E-6</v>
          </cell>
          <cell r="E437">
            <v>2.723783159465548E-3</v>
          </cell>
          <cell r="F437">
            <v>5.8068316567931781E-3</v>
          </cell>
          <cell r="G437">
            <v>5.1942463926122843E-3</v>
          </cell>
          <cell r="H437">
            <v>5.628426387636813E-3</v>
          </cell>
          <cell r="I437">
            <v>3.3397031371472478E-3</v>
          </cell>
          <cell r="J437">
            <v>1.7859320856369056E-6</v>
          </cell>
          <cell r="K437">
            <v>2.2220598331452235E-6</v>
          </cell>
          <cell r="L437">
            <v>6.8079307022398262E-4</v>
          </cell>
          <cell r="M437">
            <v>2.7142644694122201E-3</v>
          </cell>
          <cell r="N437">
            <v>8.7719508794325662E-4</v>
          </cell>
          <cell r="O437">
            <v>1.5234867815757688E-3</v>
          </cell>
        </row>
        <row r="438">
          <cell r="A438" t="str">
            <v>D-RHNM_LTH_CHPNGA</v>
          </cell>
          <cell r="B438" t="str">
            <v>VAR_fin</v>
          </cell>
          <cell r="C438" t="str">
            <v>RHNM_LTH_CHPNGA</v>
          </cell>
          <cell r="D438">
            <v>9.2889282926549452E-6</v>
          </cell>
          <cell r="E438">
            <v>3.0270058059868434E-3</v>
          </cell>
          <cell r="F438">
            <v>5.8174387308868973E-3</v>
          </cell>
          <cell r="G438">
            <v>5.240673182640313E-3</v>
          </cell>
          <cell r="H438">
            <v>5.6358629092669405E-3</v>
          </cell>
          <cell r="I438">
            <v>3.3489441948248177E-3</v>
          </cell>
          <cell r="J438">
            <v>1.4267330096356986E-5</v>
          </cell>
          <cell r="K438">
            <v>1.7343825931047448E-5</v>
          </cell>
          <cell r="L438">
            <v>7.4768761801202754E-4</v>
          </cell>
          <cell r="M438">
            <v>2.7322854659800758E-3</v>
          </cell>
          <cell r="N438">
            <v>9.2544740599581447E-4</v>
          </cell>
          <cell r="O438">
            <v>1.5325897193437963E-3</v>
          </cell>
        </row>
        <row r="439">
          <cell r="A439" t="str">
            <v>RHNM-SHELCHP</v>
          </cell>
          <cell r="B439" t="str">
            <v>VAR_fout</v>
          </cell>
          <cell r="C439" t="str">
            <v>RHNM-SHAELCH</v>
          </cell>
          <cell r="E439">
            <v>0.52848598194549345</v>
          </cell>
          <cell r="F439">
            <v>2.0895198597352946</v>
          </cell>
          <cell r="G439">
            <v>4.3472498703638589</v>
          </cell>
          <cell r="H439">
            <v>4.3472512637530141</v>
          </cell>
          <cell r="I439">
            <v>4.3472532135435529</v>
          </cell>
          <cell r="J439">
            <v>5.5766517165482119</v>
          </cell>
          <cell r="K439">
            <v>8.6138003909326315</v>
          </cell>
          <cell r="L439">
            <v>10.891138356119782</v>
          </cell>
          <cell r="M439">
            <v>11.653611430367674</v>
          </cell>
          <cell r="N439">
            <v>11.653621095585772</v>
          </cell>
          <cell r="O439">
            <v>11.653630383453359</v>
          </cell>
        </row>
        <row r="440">
          <cell r="A440" t="str">
            <v>RHNM-SHELCHP</v>
          </cell>
          <cell r="B440" t="str">
            <v>VAR_fin</v>
          </cell>
          <cell r="C440" t="str">
            <v>RHNM_ELC</v>
          </cell>
          <cell r="E440">
            <v>0.16244446166357387</v>
          </cell>
          <cell r="F440">
            <v>0.62685595792058835</v>
          </cell>
          <cell r="G440">
            <v>1.2540143856818802</v>
          </cell>
          <cell r="H440">
            <v>1.2131863991868865</v>
          </cell>
          <cell r="I440">
            <v>1.1749333009577168</v>
          </cell>
          <cell r="J440">
            <v>1.4675399254074228</v>
          </cell>
          <cell r="K440">
            <v>2.2086667669058042</v>
          </cell>
          <cell r="L440">
            <v>2.7925995784922515</v>
          </cell>
          <cell r="M440">
            <v>2.9881054949660708</v>
          </cell>
          <cell r="N440">
            <v>2.9881079732271232</v>
          </cell>
          <cell r="O440">
            <v>2.9881103547316306</v>
          </cell>
        </row>
        <row r="441">
          <cell r="A441" t="str">
            <v>RHNM-SHELCHP</v>
          </cell>
          <cell r="B441" t="str">
            <v>VAR_fin</v>
          </cell>
          <cell r="C441" t="str">
            <v>RHNMELCHPC</v>
          </cell>
          <cell r="E441">
            <v>0.52848598194549345</v>
          </cell>
          <cell r="F441">
            <v>2.0895198597352946</v>
          </cell>
          <cell r="G441">
            <v>4.3472498703638589</v>
          </cell>
          <cell r="H441">
            <v>4.3472512637530141</v>
          </cell>
          <cell r="I441">
            <v>4.3472532135435529</v>
          </cell>
          <cell r="J441">
            <v>5.5766517165482119</v>
          </cell>
          <cell r="K441">
            <v>8.6138003909326315</v>
          </cell>
          <cell r="L441">
            <v>10.891138356119782</v>
          </cell>
          <cell r="M441">
            <v>11.653611430367674</v>
          </cell>
          <cell r="N441">
            <v>11.653621095585772</v>
          </cell>
          <cell r="O441">
            <v>11.653630383453359</v>
          </cell>
        </row>
        <row r="442">
          <cell r="A442" t="str">
            <v>RHNM-SHELCHP</v>
          </cell>
          <cell r="B442" t="str">
            <v>VAR_ncap</v>
          </cell>
          <cell r="C442" t="str">
            <v>-</v>
          </cell>
          <cell r="E442">
            <v>4.11470130741209E-2</v>
          </cell>
          <cell r="F442">
            <v>0.121158097953253</v>
          </cell>
          <cell r="G442">
            <v>0.17815924815342099</v>
          </cell>
          <cell r="H442">
            <v>1.70453609766936E-2</v>
          </cell>
          <cell r="I442">
            <v>0.150958231208323</v>
          </cell>
          <cell r="J442">
            <v>0.26486599702784802</v>
          </cell>
          <cell r="K442">
            <v>0.25322796949116899</v>
          </cell>
          <cell r="L442">
            <v>0.33987785588206998</v>
          </cell>
          <cell r="M442">
            <v>0.31178129145980399</v>
          </cell>
          <cell r="N442">
            <v>0.31579521840311697</v>
          </cell>
          <cell r="O442">
            <v>0.277025055099198</v>
          </cell>
        </row>
        <row r="443">
          <cell r="A443" t="str">
            <v>RHNM-SHELCHP</v>
          </cell>
          <cell r="B443" t="str">
            <v>VAR_cap</v>
          </cell>
          <cell r="C443" t="str">
            <v>-</v>
          </cell>
          <cell r="E443">
            <v>4.11470130741209E-2</v>
          </cell>
          <cell r="F443">
            <v>0.1623050740734106</v>
          </cell>
          <cell r="G443">
            <v>0.34046420923836856</v>
          </cell>
          <cell r="H443">
            <v>0.3374438759433927</v>
          </cell>
          <cell r="I443">
            <v>0.33771124465249586</v>
          </cell>
          <cell r="J443">
            <v>0.43286948585400498</v>
          </cell>
          <cell r="K443">
            <v>0.66905202833807609</v>
          </cell>
          <cell r="L443">
            <v>0.84607345811660906</v>
          </cell>
          <cell r="M443">
            <v>0.90488694923632929</v>
          </cell>
          <cell r="N443">
            <v>0.90456038912799763</v>
          </cell>
          <cell r="O443">
            <v>0.90460123198962239</v>
          </cell>
        </row>
        <row r="444">
          <cell r="A444" t="str">
            <v>D-IH2R</v>
          </cell>
          <cell r="B444" t="str">
            <v>VAR_fout</v>
          </cell>
          <cell r="C444" t="str">
            <v>IH2</v>
          </cell>
          <cell r="G444">
            <v>5.6489882804796026E-4</v>
          </cell>
          <cell r="H444">
            <v>8.877009226379263</v>
          </cell>
          <cell r="I444">
            <v>10.179043720325721</v>
          </cell>
          <cell r="J444">
            <v>4.4342893903875389</v>
          </cell>
          <cell r="K444">
            <v>4.4342796343267175</v>
          </cell>
          <cell r="L444">
            <v>0.95481888843133189</v>
          </cell>
          <cell r="M444">
            <v>0.23154596873035857</v>
          </cell>
          <cell r="N444">
            <v>0.13802807875572243</v>
          </cell>
          <cell r="O444">
            <v>0.22892987090650993</v>
          </cell>
        </row>
        <row r="445">
          <cell r="A445" t="str">
            <v>D-IH2R</v>
          </cell>
          <cell r="B445" t="str">
            <v>VAR_fin</v>
          </cell>
          <cell r="C445" t="str">
            <v>H2</v>
          </cell>
          <cell r="G445">
            <v>5.6489882804796026E-4</v>
          </cell>
          <cell r="H445">
            <v>8.877009226379263</v>
          </cell>
          <cell r="I445">
            <v>10.179043720325721</v>
          </cell>
          <cell r="J445">
            <v>4.4342893903875389</v>
          </cell>
          <cell r="K445">
            <v>4.4342796343267175</v>
          </cell>
          <cell r="L445">
            <v>0.95481888843133189</v>
          </cell>
          <cell r="M445">
            <v>0.23154596873035857</v>
          </cell>
          <cell r="N445">
            <v>0.13802807875572243</v>
          </cell>
          <cell r="O445">
            <v>0.22892987090650993</v>
          </cell>
        </row>
        <row r="446">
          <cell r="A446" t="str">
            <v>D-IH2R</v>
          </cell>
          <cell r="B446" t="str">
            <v>VAR_ncap</v>
          </cell>
          <cell r="C446" t="str">
            <v>-</v>
          </cell>
          <cell r="G446">
            <v>6.1644131416883297E-5</v>
          </cell>
          <cell r="H446">
            <v>0.36139266574600598</v>
          </cell>
          <cell r="I446">
            <v>0.28274824624080303</v>
          </cell>
          <cell r="J446">
            <v>0.15623402062738201</v>
          </cell>
          <cell r="K446">
            <v>5.4938208465174897E-7</v>
          </cell>
          <cell r="L446">
            <v>9.6358903098304107E-3</v>
          </cell>
          <cell r="M446">
            <v>8.4404009285821602E-4</v>
          </cell>
          <cell r="N446">
            <v>4.7144901719423302E-3</v>
          </cell>
          <cell r="O446">
            <v>3.3539739974198799E-3</v>
          </cell>
        </row>
        <row r="447">
          <cell r="A447" t="str">
            <v>D-IH2R</v>
          </cell>
          <cell r="B447" t="str">
            <v>VAR_cap</v>
          </cell>
          <cell r="C447" t="str">
            <v>-</v>
          </cell>
          <cell r="G447">
            <v>6.1644131416883297E-5</v>
          </cell>
          <cell r="H447">
            <v>0.36143946486863299</v>
          </cell>
          <cell r="I447">
            <v>0.35863959941470602</v>
          </cell>
          <cell r="J447">
            <v>0.15623402062738201</v>
          </cell>
          <cell r="K447">
            <v>0.156234570009467</v>
          </cell>
          <cell r="L447">
            <v>3.3642051457058501E-2</v>
          </cell>
          <cell r="M447">
            <v>8.1594357657597399E-3</v>
          </cell>
          <cell r="N447">
            <v>4.86398817649883E-3</v>
          </cell>
          <cell r="O447">
            <v>8.0684641693622092E-3</v>
          </cell>
        </row>
        <row r="448">
          <cell r="A448" t="str">
            <v>RHEM-SHSTG-ELC</v>
          </cell>
          <cell r="B448" t="str">
            <v>VAR_fout</v>
          </cell>
          <cell r="C448" t="str">
            <v>RHEM-SHAELCB</v>
          </cell>
          <cell r="E448">
            <v>0.81293326408117794</v>
          </cell>
          <cell r="F448">
            <v>0.74955145792630518</v>
          </cell>
          <cell r="G448">
            <v>0.6010908373574928</v>
          </cell>
          <cell r="H448">
            <v>0.40087538086424995</v>
          </cell>
          <cell r="I448">
            <v>0.3051497356039678</v>
          </cell>
          <cell r="J448">
            <v>0.20850690865749433</v>
          </cell>
          <cell r="K448">
            <v>0.1223450439023228</v>
          </cell>
          <cell r="L448">
            <v>9.2134881051773518E-2</v>
          </cell>
          <cell r="M448">
            <v>9.5355810940622718E-2</v>
          </cell>
          <cell r="N448">
            <v>0.23034969100574831</v>
          </cell>
          <cell r="O448">
            <v>7.0764187833949097E-2</v>
          </cell>
        </row>
        <row r="449">
          <cell r="A449" t="str">
            <v>RHEM-SHSTG-ELC</v>
          </cell>
          <cell r="B449" t="str">
            <v>VAR_fin</v>
          </cell>
          <cell r="C449" t="str">
            <v>RHEM-SHAELCB</v>
          </cell>
          <cell r="D449">
            <v>1.1459219964420101E-8</v>
          </cell>
          <cell r="E449">
            <v>0.81296400206064401</v>
          </cell>
          <cell r="F449">
            <v>0.74958465401868224</v>
          </cell>
          <cell r="G449">
            <v>0.60111707598484165</v>
          </cell>
          <cell r="H449">
            <v>0.40089028774049135</v>
          </cell>
          <cell r="I449">
            <v>0.30516068488965686</v>
          </cell>
          <cell r="J449">
            <v>0.2085149821087306</v>
          </cell>
          <cell r="K449">
            <v>0.12235011512067233</v>
          </cell>
          <cell r="L449">
            <v>9.2139295809273145E-2</v>
          </cell>
          <cell r="M449">
            <v>9.5360149724410259E-2</v>
          </cell>
          <cell r="N449">
            <v>0.23035946704568533</v>
          </cell>
          <cell r="O449">
            <v>7.0768063912981155E-2</v>
          </cell>
        </row>
        <row r="450">
          <cell r="A450" t="str">
            <v>RHEM-SHSTG-ELC</v>
          </cell>
          <cell r="B450" t="str">
            <v>VAR_ncap</v>
          </cell>
          <cell r="C450" t="str">
            <v>-</v>
          </cell>
          <cell r="D450">
            <v>2.8496326967708701E-3</v>
          </cell>
          <cell r="E450">
            <v>7.4049115079115505E-2</v>
          </cell>
          <cell r="F450">
            <v>1.19159179903447E-5</v>
          </cell>
          <cell r="G450">
            <v>8.8290623706765197E-6</v>
          </cell>
          <cell r="H450">
            <v>2.5464172401084E-4</v>
          </cell>
          <cell r="I450">
            <v>2.9779129542759901E-2</v>
          </cell>
          <cell r="J450">
            <v>2.1210851826210699E-5</v>
          </cell>
          <cell r="K450">
            <v>9.4977129357254504E-5</v>
          </cell>
          <cell r="L450">
            <v>8.0845094355919706E-3</v>
          </cell>
          <cell r="M450">
            <v>2.0861773334712101E-3</v>
          </cell>
          <cell r="N450">
            <v>1.51034556912234E-2</v>
          </cell>
          <cell r="O450">
            <v>2.38677435789366E-5</v>
          </cell>
        </row>
        <row r="451">
          <cell r="A451" t="str">
            <v>RHEM-SHSTG-ELC</v>
          </cell>
          <cell r="B451" t="str">
            <v>VAR_cap</v>
          </cell>
          <cell r="C451" t="str">
            <v>-</v>
          </cell>
          <cell r="D451">
            <v>2.8496326967708701E-3</v>
          </cell>
          <cell r="E451">
            <v>7.6894314564847924E-2</v>
          </cell>
          <cell r="F451">
            <v>7.6894023941246448E-2</v>
          </cell>
          <cell r="G451">
            <v>7.2846131101783854E-2</v>
          </cell>
          <cell r="H451">
            <v>3.666342070446317E-2</v>
          </cell>
          <cell r="I451">
            <v>3.0033687972755484E-2</v>
          </cell>
          <cell r="J451">
            <v>2.0948524542553498E-2</v>
          </cell>
          <cell r="K451">
            <v>1.2273423471983999E-2</v>
          </cell>
          <cell r="L451">
            <v>1.001844027835753E-2</v>
          </cell>
          <cell r="M451">
            <v>1.0185645509529542E-2</v>
          </cell>
          <cell r="N451">
            <v>2.2668725216250119E-2</v>
          </cell>
          <cell r="O451">
            <v>9.1545560708179308E-3</v>
          </cell>
        </row>
        <row r="452">
          <cell r="A452" t="str">
            <v>RHNM-SHLTHCHPWOD</v>
          </cell>
          <cell r="B452" t="str">
            <v>VAR_fout</v>
          </cell>
          <cell r="C452" t="str">
            <v>RHNM-SHLTHC-WOD</v>
          </cell>
          <cell r="G452">
            <v>2.6363030732951643E-4</v>
          </cell>
          <cell r="H452">
            <v>5.5661608527424764E-4</v>
          </cell>
          <cell r="I452">
            <v>2.8264247210552313E-3</v>
          </cell>
          <cell r="J452">
            <v>2.9107021663848562E-3</v>
          </cell>
          <cell r="K452">
            <v>1.5388595607383588E-3</v>
          </cell>
          <cell r="L452">
            <v>7.791652935934646E-4</v>
          </cell>
          <cell r="M452">
            <v>2.3643637714646794E-3</v>
          </cell>
          <cell r="N452">
            <v>7.8620792725584364E-4</v>
          </cell>
          <cell r="O452">
            <v>1.254378985817288E-3</v>
          </cell>
        </row>
        <row r="453">
          <cell r="A453" t="str">
            <v>RHNM-SHLTHCHPWOD</v>
          </cell>
          <cell r="B453" t="str">
            <v>VAR_fin</v>
          </cell>
          <cell r="C453" t="str">
            <v>RHNM_LTH_CHPWOD_ON</v>
          </cell>
          <cell r="G453">
            <v>2.6629323972678456E-4</v>
          </cell>
          <cell r="H453">
            <v>5.6223846997398687E-4</v>
          </cell>
          <cell r="I453">
            <v>2.8549744657123568E-3</v>
          </cell>
          <cell r="J453">
            <v>2.9401031983685415E-3</v>
          </cell>
          <cell r="K453">
            <v>1.5544035967054142E-3</v>
          </cell>
          <cell r="L453">
            <v>7.8703565009440881E-4</v>
          </cell>
          <cell r="M453">
            <v>2.3882462338027091E-3</v>
          </cell>
          <cell r="N453">
            <v>7.9414942147054842E-4</v>
          </cell>
          <cell r="O453">
            <v>1.2670494806235235E-3</v>
          </cell>
        </row>
        <row r="454">
          <cell r="A454" t="str">
            <v>RHNM-SHLTHCHPWOD</v>
          </cell>
          <cell r="B454" t="str">
            <v>VAR_fin</v>
          </cell>
          <cell r="C454" t="str">
            <v>RHNMLTHCHPC</v>
          </cell>
          <cell r="G454">
            <v>2.6363030732951643E-4</v>
          </cell>
          <cell r="H454">
            <v>5.5661608527424764E-4</v>
          </cell>
          <cell r="I454">
            <v>2.8264247210552313E-3</v>
          </cell>
          <cell r="J454">
            <v>2.9107021663848562E-3</v>
          </cell>
          <cell r="K454">
            <v>1.5388595607383588E-3</v>
          </cell>
          <cell r="L454">
            <v>7.791652935934646E-4</v>
          </cell>
          <cell r="M454">
            <v>2.3643637714646794E-3</v>
          </cell>
          <cell r="N454">
            <v>7.8620792725584364E-4</v>
          </cell>
          <cell r="O454">
            <v>1.254378985817288E-3</v>
          </cell>
        </row>
        <row r="455">
          <cell r="A455" t="str">
            <v>RHNM-SHLTHCHPWOD</v>
          </cell>
          <cell r="B455" t="str">
            <v>VAR_ncap</v>
          </cell>
          <cell r="C455" t="str">
            <v>-</v>
          </cell>
          <cell r="G455">
            <v>3.2536148825297099E-5</v>
          </cell>
          <cell r="H455">
            <v>5.9767760662557402E-5</v>
          </cell>
          <cell r="I455">
            <v>2.1696698875235801E-4</v>
          </cell>
          <cell r="J455">
            <v>1.6169492219425801E-4</v>
          </cell>
          <cell r="K455">
            <v>1.3117263058479999E-4</v>
          </cell>
          <cell r="L455">
            <v>5.13193076454618E-5</v>
          </cell>
          <cell r="M455">
            <v>1.5936194077381601E-4</v>
          </cell>
          <cell r="N455">
            <v>6.4307947925006806E-5</v>
          </cell>
          <cell r="O455">
            <v>1.2621793093857899E-4</v>
          </cell>
        </row>
        <row r="456">
          <cell r="A456" t="str">
            <v>RHNM-SHLTHCHPWOD</v>
          </cell>
          <cell r="B456" t="str">
            <v>VAR_cap</v>
          </cell>
          <cell r="C456" t="str">
            <v>-</v>
          </cell>
          <cell r="G456">
            <v>3.2536148825297099E-5</v>
          </cell>
          <cell r="H456">
            <v>7.2882111130652299E-5</v>
          </cell>
          <cell r="I456">
            <v>2.4989088039450779E-4</v>
          </cell>
          <cell r="J456">
            <v>2.3612303272947102E-4</v>
          </cell>
          <cell r="K456">
            <v>1.90476057027587E-4</v>
          </cell>
          <cell r="L456">
            <v>8.6296529232165011E-5</v>
          </cell>
          <cell r="M456">
            <v>1.9912921868282099E-4</v>
          </cell>
          <cell r="N456">
            <v>1.03656815985381E-4</v>
          </cell>
          <cell r="O456">
            <v>1.664478287306E-4</v>
          </cell>
        </row>
        <row r="457">
          <cell r="A457" t="str">
            <v>ITOT-SWHDEM</v>
          </cell>
          <cell r="B457" t="str">
            <v>VAR_fout</v>
          </cell>
          <cell r="C457" t="str">
            <v>ITOT-SWHD</v>
          </cell>
          <cell r="D457">
            <v>72.708169056255471</v>
          </cell>
          <cell r="E457">
            <v>74.35269248141455</v>
          </cell>
          <cell r="F457">
            <v>76.093376262787288</v>
          </cell>
          <cell r="G457">
            <v>77.130034444764803</v>
          </cell>
          <cell r="H457">
            <v>77.659568671916603</v>
          </cell>
          <cell r="I457">
            <v>78.127545789073338</v>
          </cell>
          <cell r="J457">
            <v>78.429892796661278</v>
          </cell>
          <cell r="K457">
            <v>78.732239804249261</v>
          </cell>
          <cell r="L457">
            <v>78.176111803446162</v>
          </cell>
          <cell r="M457">
            <v>80.407440059609044</v>
          </cell>
          <cell r="N457">
            <v>77.870207574025486</v>
          </cell>
          <cell r="O457">
            <v>77.650484572634625</v>
          </cell>
        </row>
        <row r="458">
          <cell r="A458" t="str">
            <v>ITOT-SWHDEM</v>
          </cell>
          <cell r="B458" t="str">
            <v>VAR_fin</v>
          </cell>
          <cell r="C458" t="str">
            <v>ITOT-SWHNGAH</v>
          </cell>
          <cell r="F458">
            <v>2.4966489330707532E-3</v>
          </cell>
          <cell r="G458">
            <v>1.0971519749258909E-3</v>
          </cell>
          <cell r="H458">
            <v>8.984358293270086E-4</v>
          </cell>
          <cell r="I458">
            <v>0.85206673948504086</v>
          </cell>
          <cell r="J458">
            <v>0.84065491283475713</v>
          </cell>
          <cell r="K458">
            <v>0.75652537967831246</v>
          </cell>
          <cell r="L458">
            <v>0.12034174682067582</v>
          </cell>
          <cell r="M458">
            <v>1.7062482656180274E-2</v>
          </cell>
          <cell r="N458">
            <v>1.6902262713507234E-2</v>
          </cell>
          <cell r="O458">
            <v>1.682501589747399E-2</v>
          </cell>
        </row>
        <row r="459">
          <cell r="A459" t="str">
            <v>ITOT-SWHDEM</v>
          </cell>
          <cell r="B459" t="str">
            <v>VAR_fin</v>
          </cell>
          <cell r="C459" t="str">
            <v>ITOT-SWH</v>
          </cell>
          <cell r="D459">
            <v>61.718509704408035</v>
          </cell>
          <cell r="E459">
            <v>58.487743680104948</v>
          </cell>
          <cell r="F459">
            <v>58.050293535135573</v>
          </cell>
          <cell r="G459">
            <v>54.871308307054136</v>
          </cell>
          <cell r="H459">
            <v>51.803991218852687</v>
          </cell>
          <cell r="I459">
            <v>51.621609182947807</v>
          </cell>
          <cell r="J459">
            <v>48.00891925155014</v>
          </cell>
          <cell r="K459">
            <v>47.933480132207201</v>
          </cell>
          <cell r="L459">
            <v>47.288536161735905</v>
          </cell>
          <cell r="M459">
            <v>49.372210304326472</v>
          </cell>
          <cell r="N459">
            <v>47.149889666805997</v>
          </cell>
          <cell r="O459">
            <v>47.092745781382241</v>
          </cell>
        </row>
        <row r="460">
          <cell r="A460" t="str">
            <v>ITOT-SWHDEM</v>
          </cell>
          <cell r="B460" t="str">
            <v>VAR_fin</v>
          </cell>
          <cell r="C460" t="str">
            <v>ITOT-SWHELCH</v>
          </cell>
          <cell r="D460">
            <v>1.1081275654045448</v>
          </cell>
          <cell r="E460">
            <v>1.4007906218797408</v>
          </cell>
          <cell r="F460">
            <v>3.599549989953819</v>
          </cell>
          <cell r="G460">
            <v>5.9453271951325322</v>
          </cell>
          <cell r="H460">
            <v>8.1700906780371287</v>
          </cell>
          <cell r="I460">
            <v>8.1589721016334646</v>
          </cell>
          <cell r="J460">
            <v>12.047561440649453</v>
          </cell>
          <cell r="K460">
            <v>12.472025235737538</v>
          </cell>
          <cell r="L460">
            <v>13.109245529602692</v>
          </cell>
          <cell r="M460">
            <v>13.212733672703465</v>
          </cell>
          <cell r="N460">
            <v>13.098238525120214</v>
          </cell>
          <cell r="O460">
            <v>12.996023276101019</v>
          </cell>
        </row>
        <row r="461">
          <cell r="A461" t="str">
            <v>ITOT-SWHDEM</v>
          </cell>
          <cell r="B461" t="str">
            <v>VAR_fin</v>
          </cell>
          <cell r="C461" t="str">
            <v>ITOT-SWHC</v>
          </cell>
          <cell r="E461">
            <v>4.0435967931799954</v>
          </cell>
          <cell r="F461">
            <v>4.043598556578222</v>
          </cell>
          <cell r="G461">
            <v>4.6117768296707364</v>
          </cell>
          <cell r="H461">
            <v>5.9836315961629811</v>
          </cell>
          <cell r="I461">
            <v>5.9836431130137724</v>
          </cell>
          <cell r="J461">
            <v>5.9836686600379059</v>
          </cell>
          <cell r="K461">
            <v>6.0105157035204426</v>
          </cell>
          <cell r="L461">
            <v>6.1098904637638354</v>
          </cell>
          <cell r="M461">
            <v>6.1796818291588771</v>
          </cell>
          <cell r="N461">
            <v>6.1796182577860268</v>
          </cell>
          <cell r="O461">
            <v>6.1796823870823356</v>
          </cell>
        </row>
        <row r="462">
          <cell r="A462" t="str">
            <v>ITOT-SWHDEM</v>
          </cell>
          <cell r="B462" t="str">
            <v>VAR_fin</v>
          </cell>
          <cell r="C462" t="str">
            <v>ITOT-SWHELC</v>
          </cell>
          <cell r="D462">
            <v>9.8138932498836127</v>
          </cell>
          <cell r="E462">
            <v>10.335083264136188</v>
          </cell>
          <cell r="F462">
            <v>10.312440707476195</v>
          </cell>
          <cell r="G462">
            <v>11.614928859002848</v>
          </cell>
          <cell r="H462">
            <v>11.615370976857598</v>
          </cell>
          <cell r="I462">
            <v>11.456152654343661</v>
          </cell>
          <cell r="J462">
            <v>11.495065518323317</v>
          </cell>
          <cell r="K462">
            <v>11.50646245781364</v>
          </cell>
          <cell r="L462">
            <v>11.494950727246838</v>
          </cell>
          <cell r="M462">
            <v>11.572801925337847</v>
          </cell>
          <cell r="N462">
            <v>11.416127387176431</v>
          </cell>
          <cell r="O462">
            <v>11.365005624571463</v>
          </cell>
        </row>
        <row r="463">
          <cell r="A463" t="str">
            <v>ITOT-SWHDEM</v>
          </cell>
          <cell r="B463" t="str">
            <v>VAR_fin</v>
          </cell>
          <cell r="C463" t="str">
            <v>ITOT-SWHSOL</v>
          </cell>
          <cell r="D463">
            <v>6.7638536559306559E-2</v>
          </cell>
          <cell r="E463">
            <v>8.5500101980295312E-2</v>
          </cell>
          <cell r="F463">
            <v>8.5025916195378762E-2</v>
          </cell>
          <cell r="G463">
            <v>8.5623285093434448E-2</v>
          </cell>
          <cell r="H463">
            <v>8.5622932753491823E-2</v>
          </cell>
          <cell r="I463">
            <v>5.515159241215746E-2</v>
          </cell>
          <cell r="J463">
            <v>5.4097125596321689E-2</v>
          </cell>
          <cell r="K463">
            <v>5.336695375128335E-2</v>
          </cell>
          <cell r="L463">
            <v>5.3207049422681889E-2</v>
          </cell>
          <cell r="M463">
            <v>5.3087615745515238E-2</v>
          </cell>
          <cell r="N463">
            <v>9.4936890250532178E-3</v>
          </cell>
          <cell r="O463">
            <v>3.489678172777638E-4</v>
          </cell>
        </row>
        <row r="464">
          <cell r="A464" t="str">
            <v>D-RHNS_NKEV_GAS_ELC_CHP</v>
          </cell>
          <cell r="B464" t="str">
            <v>VAR_fout</v>
          </cell>
          <cell r="C464" t="str">
            <v>RHNS_ELC</v>
          </cell>
          <cell r="E464">
            <v>2.1813678846201769E-4</v>
          </cell>
          <cell r="F464">
            <v>2.5834458061322555E-4</v>
          </cell>
          <cell r="G464">
            <v>2.5799202169630357E-4</v>
          </cell>
          <cell r="H464">
            <v>2.5832461889065616E-4</v>
          </cell>
          <cell r="I464">
            <v>1.6034166419063564E-4</v>
          </cell>
          <cell r="L464">
            <v>2.2797525048869993E-4</v>
          </cell>
          <cell r="M464">
            <v>2.6161992248065885E-4</v>
          </cell>
          <cell r="N464">
            <v>2.4059021755289605E-4</v>
          </cell>
          <cell r="O464">
            <v>4.9077987915535507E-4</v>
          </cell>
        </row>
        <row r="465">
          <cell r="A465" t="str">
            <v>D-RHNS_NKEV_GAS_ELC_CHP</v>
          </cell>
          <cell r="B465" t="str">
            <v>VAR_fout</v>
          </cell>
          <cell r="C465" t="str">
            <v>ELC5</v>
          </cell>
          <cell r="E465">
            <v>2.1814811019233712E-4</v>
          </cell>
          <cell r="F465">
            <v>2.5845967349589989E-4</v>
          </cell>
          <cell r="G465">
            <v>2.5807010899471939E-4</v>
          </cell>
          <cell r="H465">
            <v>2.5840084075593215E-4</v>
          </cell>
          <cell r="I465">
            <v>1.6035781284371727E-4</v>
          </cell>
          <cell r="L465">
            <v>2.2786799692441298E-4</v>
          </cell>
          <cell r="M465">
            <v>2.6140272204334801E-4</v>
          </cell>
          <cell r="N465">
            <v>2.4040216288121824E-4</v>
          </cell>
          <cell r="O465">
            <v>4.9025348848016448E-4</v>
          </cell>
        </row>
        <row r="466">
          <cell r="A466" t="str">
            <v>D-RHNS_NKEV_GAS_ELC_CHP</v>
          </cell>
          <cell r="B466" t="str">
            <v>VAR_fin</v>
          </cell>
          <cell r="C466" t="str">
            <v>RHNS_NKEV_GAS_ELC_CHP</v>
          </cell>
          <cell r="E466">
            <v>4.3628489865435492E-4</v>
          </cell>
          <cell r="F466">
            <v>5.1531167835510772E-4</v>
          </cell>
          <cell r="G466">
            <v>5.1514261872086849E-4</v>
          </cell>
          <cell r="H466">
            <v>5.1532758679478257E-4</v>
          </cell>
          <cell r="I466">
            <v>3.1781022134446882E-4</v>
          </cell>
          <cell r="L466">
            <v>4.5584324741311299E-4</v>
          </cell>
          <cell r="M466">
            <v>5.230226445240067E-4</v>
          </cell>
          <cell r="N466">
            <v>4.8099238043411403E-4</v>
          </cell>
          <cell r="O466">
            <v>9.8103336763551998E-4</v>
          </cell>
        </row>
        <row r="467">
          <cell r="A467" t="str">
            <v>RHNM-SHSTG-NGAHP</v>
          </cell>
          <cell r="B467" t="str">
            <v>VAR_fout</v>
          </cell>
          <cell r="C467" t="str">
            <v>RHNM-SHANGAH</v>
          </cell>
          <cell r="F467">
            <v>1.0474819847121184E-4</v>
          </cell>
          <cell r="G467">
            <v>1.1350751268783436E-4</v>
          </cell>
          <cell r="H467">
            <v>0.26829311665595063</v>
          </cell>
          <cell r="I467">
            <v>0.41130042394127586</v>
          </cell>
          <cell r="J467">
            <v>0.44040471126922448</v>
          </cell>
          <cell r="K467">
            <v>0.19410594954421737</v>
          </cell>
          <cell r="L467">
            <v>3.5772314347573916E-4</v>
          </cell>
          <cell r="M467">
            <v>6.6356083399162603E-5</v>
          </cell>
          <cell r="N467">
            <v>6.0523315039207012E-5</v>
          </cell>
          <cell r="O467">
            <v>5.4278722698209536E-5</v>
          </cell>
        </row>
        <row r="468">
          <cell r="A468" t="str">
            <v>RHNM-SHSTG-NGAHP</v>
          </cell>
          <cell r="B468" t="str">
            <v>VAR_fin</v>
          </cell>
          <cell r="C468" t="str">
            <v>RHNM-SHANGAH</v>
          </cell>
          <cell r="F468">
            <v>1.0652284824080281E-4</v>
          </cell>
          <cell r="G468">
            <v>1.1273295805396617E-4</v>
          </cell>
          <cell r="H468">
            <v>0.26830879927138812</v>
          </cell>
          <cell r="I468">
            <v>0.41132675836732652</v>
          </cell>
          <cell r="J468">
            <v>0.44043162723951823</v>
          </cell>
          <cell r="K468">
            <v>0.19411872566787472</v>
          </cell>
          <cell r="L468">
            <v>3.5891418374063436E-4</v>
          </cell>
          <cell r="M468">
            <v>6.8558150463305799E-5</v>
          </cell>
          <cell r="N468">
            <v>6.1734166441415787E-5</v>
          </cell>
          <cell r="O468">
            <v>5.9570428404197215E-5</v>
          </cell>
        </row>
        <row r="469">
          <cell r="A469" t="str">
            <v>RHNM-SHSTG-NGAHP</v>
          </cell>
          <cell r="B469" t="str">
            <v>VAR_ncap</v>
          </cell>
          <cell r="C469" t="str">
            <v>-</v>
          </cell>
          <cell r="D469">
            <v>3.9117124460600197E-6</v>
          </cell>
          <cell r="E469">
            <v>1.5574007100461101E-6</v>
          </cell>
          <cell r="F469">
            <v>3.3446524841712901E-5</v>
          </cell>
          <cell r="G469">
            <v>7.9511196777826806E-6</v>
          </cell>
          <cell r="H469">
            <v>3.4988060005974903E-2</v>
          </cell>
          <cell r="I469">
            <v>2.8091628027699399E-2</v>
          </cell>
          <cell r="J469">
            <v>3.1011148507554498E-5</v>
          </cell>
          <cell r="K469">
            <v>4.9485746243411999E-5</v>
          </cell>
          <cell r="L469">
            <v>2.8156374060461699E-5</v>
          </cell>
          <cell r="M469">
            <v>1.7975155043138301E-5</v>
          </cell>
          <cell r="N469">
            <v>1.98950258332436E-5</v>
          </cell>
          <cell r="O469">
            <v>2.4491175568917599E-5</v>
          </cell>
        </row>
        <row r="470">
          <cell r="A470" t="str">
            <v>RHNM-SHSTG-NGAHP</v>
          </cell>
          <cell r="B470" t="str">
            <v>VAR_cap</v>
          </cell>
          <cell r="C470" t="str">
            <v>-</v>
          </cell>
          <cell r="D470">
            <v>3.9117124460600197E-6</v>
          </cell>
          <cell r="E470">
            <v>3.1755560695870602E-8</v>
          </cell>
          <cell r="F470">
            <v>3.2832212026127693E-5</v>
          </cell>
          <cell r="G470">
            <v>3.3335306707107796E-5</v>
          </cell>
          <cell r="H470">
            <v>3.5014117020824916E-2</v>
          </cell>
          <cell r="I470">
            <v>6.3080657024970704E-2</v>
          </cell>
          <cell r="J470">
            <v>6.3073849030917215E-2</v>
          </cell>
          <cell r="K470">
            <v>2.8092348258316979E-2</v>
          </cell>
          <cell r="L470">
            <v>1.0822226234986042E-4</v>
          </cell>
          <cell r="M470">
            <v>2.9309828141618391E-5</v>
          </cell>
          <cell r="N470">
            <v>2.95961889130423E-5</v>
          </cell>
          <cell r="O470">
            <v>3.6295001239615904E-5</v>
          </cell>
        </row>
        <row r="471">
          <cell r="A471" t="str">
            <v>D-IBIO</v>
          </cell>
          <cell r="B471" t="str">
            <v>VAR_fout</v>
          </cell>
          <cell r="C471" t="str">
            <v>IBIO</v>
          </cell>
          <cell r="D471">
            <v>0.43672583991544323</v>
          </cell>
          <cell r="E471">
            <v>0.55206524256937328</v>
          </cell>
          <cell r="F471">
            <v>2.7640127060525521</v>
          </cell>
          <cell r="G471">
            <v>6.1732572179567686</v>
          </cell>
          <cell r="H471">
            <v>6.1732662663738918</v>
          </cell>
          <cell r="I471">
            <v>6.173266820329661</v>
          </cell>
          <cell r="J471">
            <v>6.1732671991427885</v>
          </cell>
          <cell r="K471">
            <v>6.1732682072818728</v>
          </cell>
          <cell r="L471">
            <v>6.1732706600514353</v>
          </cell>
          <cell r="M471">
            <v>6.1732966688306687</v>
          </cell>
          <cell r="N471">
            <v>6.1732982669099972</v>
          </cell>
          <cell r="O471">
            <v>6.1733133709152055</v>
          </cell>
        </row>
        <row r="472">
          <cell r="A472" t="str">
            <v>D-IBIO</v>
          </cell>
          <cell r="B472" t="str">
            <v>VAR_fin</v>
          </cell>
          <cell r="C472" t="str">
            <v>BIO</v>
          </cell>
          <cell r="D472">
            <v>0.43672583991544323</v>
          </cell>
          <cell r="E472">
            <v>0.55206524256937328</v>
          </cell>
          <cell r="F472">
            <v>2.7640127060525521</v>
          </cell>
          <cell r="G472">
            <v>6.1732572179567686</v>
          </cell>
          <cell r="H472">
            <v>6.1732662663738918</v>
          </cell>
          <cell r="I472">
            <v>6.173266820329661</v>
          </cell>
          <cell r="J472">
            <v>6.1732671991427885</v>
          </cell>
          <cell r="K472">
            <v>6.1732682072818728</v>
          </cell>
          <cell r="L472">
            <v>6.1732706600514353</v>
          </cell>
          <cell r="M472">
            <v>6.1732966688306687</v>
          </cell>
          <cell r="N472">
            <v>6.1732982669099972</v>
          </cell>
          <cell r="O472">
            <v>6.1733133709152055</v>
          </cell>
        </row>
        <row r="473">
          <cell r="A473" t="str">
            <v>D-RHES_KEV_WOD_ELC_CHP</v>
          </cell>
          <cell r="B473" t="str">
            <v>VAR_fout</v>
          </cell>
          <cell r="C473" t="str">
            <v>RHES_ELC</v>
          </cell>
          <cell r="G473">
            <v>3.6971588283150786E-5</v>
          </cell>
          <cell r="H473">
            <v>7.7258664534232395E-5</v>
          </cell>
          <cell r="I473">
            <v>2.3094802111332436E-4</v>
          </cell>
          <cell r="J473">
            <v>8.6515686148101679E-4</v>
          </cell>
          <cell r="K473">
            <v>8.9639738356851739E-4</v>
          </cell>
          <cell r="L473">
            <v>6.701017617781141E-4</v>
          </cell>
          <cell r="M473">
            <v>4.0208982982902186E-4</v>
          </cell>
          <cell r="N473">
            <v>3.9988256729617543E-4</v>
          </cell>
          <cell r="O473">
            <v>5.1722580580525993E-4</v>
          </cell>
        </row>
        <row r="474">
          <cell r="A474" t="str">
            <v>D-RHES_KEV_WOD_ELC_CHP</v>
          </cell>
          <cell r="B474" t="str">
            <v>VAR_fout</v>
          </cell>
          <cell r="C474" t="str">
            <v>ELC5</v>
          </cell>
          <cell r="G474">
            <v>5.7339100899204893E-5</v>
          </cell>
          <cell r="H474">
            <v>7.7317376370208903E-5</v>
          </cell>
          <cell r="I474">
            <v>2.3101155235743427E-4</v>
          </cell>
          <cell r="J474">
            <v>8.6527877755246624E-4</v>
          </cell>
          <cell r="K474">
            <v>8.9619375938421284E-4</v>
          </cell>
          <cell r="L474">
            <v>6.7003433535812768E-4</v>
          </cell>
          <cell r="M474">
            <v>4.0202938525568427E-4</v>
          </cell>
          <cell r="N474">
            <v>3.9982519982736313E-4</v>
          </cell>
          <cell r="O474">
            <v>5.1710592471096743E-4</v>
          </cell>
        </row>
        <row r="475">
          <cell r="A475" t="str">
            <v>D-RHES_KEV_WOD_ELC_CHP</v>
          </cell>
          <cell r="B475" t="str">
            <v>VAR_fin</v>
          </cell>
          <cell r="C475" t="str">
            <v>RHES_KEV_WOD_ELC_CHP</v>
          </cell>
          <cell r="G475">
            <v>9.3713350604045703E-5</v>
          </cell>
          <cell r="H475">
            <v>1.5359645796529989E-4</v>
          </cell>
          <cell r="I475">
            <v>4.6052361044173271E-4</v>
          </cell>
          <cell r="J475">
            <v>1.7284901351664163E-3</v>
          </cell>
          <cell r="K475">
            <v>1.7897985014857642E-3</v>
          </cell>
          <cell r="L475">
            <v>1.3388611074249513E-3</v>
          </cell>
          <cell r="M475">
            <v>8.0161291128123596E-4</v>
          </cell>
          <cell r="N475">
            <v>7.9785081569926596E-4</v>
          </cell>
          <cell r="O475">
            <v>1.0315588756910534E-3</v>
          </cell>
        </row>
        <row r="476">
          <cell r="A476" t="str">
            <v>D-SNGA</v>
          </cell>
          <cell r="B476" t="str">
            <v>VAR_fout</v>
          </cell>
          <cell r="C476" t="str">
            <v>CO2</v>
          </cell>
          <cell r="D476">
            <v>1521.77060594061</v>
          </cell>
          <cell r="E476">
            <v>1422.9640368031801</v>
          </cell>
          <cell r="F476">
            <v>1619.4407883530901</v>
          </cell>
          <cell r="G476">
            <v>1599.96306332112</v>
          </cell>
          <cell r="H476">
            <v>1608.60869711536</v>
          </cell>
          <cell r="I476">
            <v>1591.2147565514399</v>
          </cell>
          <cell r="J476">
            <v>1383.51737814842</v>
          </cell>
          <cell r="K476">
            <v>224.95407853914901</v>
          </cell>
          <cell r="L476">
            <v>268.78647696070499</v>
          </cell>
          <cell r="M476">
            <v>163.12466847347</v>
          </cell>
          <cell r="N476">
            <v>129.789505356104</v>
          </cell>
          <cell r="O476">
            <v>119.444373764487</v>
          </cell>
        </row>
        <row r="477">
          <cell r="A477" t="str">
            <v>D-SNGA</v>
          </cell>
          <cell r="B477" t="str">
            <v>VAR_fout</v>
          </cell>
          <cell r="C477" t="str">
            <v>SNGA</v>
          </cell>
          <cell r="D477">
            <v>27.20338299287258</v>
          </cell>
          <cell r="E477">
            <v>28.488308608602583</v>
          </cell>
          <cell r="F477">
            <v>28.630682527790441</v>
          </cell>
          <cell r="G477">
            <v>28.277858350792254</v>
          </cell>
          <cell r="H477">
            <v>28.430601345434177</v>
          </cell>
          <cell r="I477">
            <v>28.266747325802797</v>
          </cell>
          <cell r="J477">
            <v>24.595873103000837</v>
          </cell>
          <cell r="K477">
            <v>4.2571944483165511</v>
          </cell>
          <cell r="L477">
            <v>5.0318269046009911</v>
          </cell>
          <cell r="M477">
            <v>3.1645377890869328</v>
          </cell>
          <cell r="N477">
            <v>2.5755999050487177</v>
          </cell>
          <cell r="O477">
            <v>2.3927799197626411</v>
          </cell>
        </row>
        <row r="478">
          <cell r="A478" t="str">
            <v>D-SNGA</v>
          </cell>
          <cell r="B478" t="str">
            <v>VAR_fout</v>
          </cell>
          <cell r="C478" t="str">
            <v>RSH2</v>
          </cell>
          <cell r="G478">
            <v>4.9980395498319446E-4</v>
          </cell>
          <cell r="H478">
            <v>3.323495234701599E-2</v>
          </cell>
          <cell r="I478">
            <v>0.16975685237559823</v>
          </cell>
          <cell r="J478">
            <v>0.17330327549848779</v>
          </cell>
          <cell r="K478">
            <v>0.13144567732585882</v>
          </cell>
          <cell r="L478">
            <v>0.15533389848030801</v>
          </cell>
          <cell r="M478">
            <v>9.7202647245742888E-2</v>
          </cell>
          <cell r="N478">
            <v>2.7575325323224348E-2</v>
          </cell>
          <cell r="O478">
            <v>2.4802151028306869E-2</v>
          </cell>
        </row>
        <row r="479">
          <cell r="A479" t="str">
            <v>D-SNGA</v>
          </cell>
          <cell r="B479" t="str">
            <v>VAR_fin</v>
          </cell>
          <cell r="C479" t="str">
            <v>NGA</v>
          </cell>
          <cell r="D479">
            <v>26.981748332280379</v>
          </cell>
          <cell r="E479">
            <v>25.229858808567002</v>
          </cell>
          <cell r="F479">
            <v>28.713489155196676</v>
          </cell>
          <cell r="G479">
            <v>28.368139420587301</v>
          </cell>
          <cell r="H479">
            <v>28.521430799917784</v>
          </cell>
          <cell r="I479">
            <v>28.2130275984298</v>
          </cell>
          <cell r="J479">
            <v>24.53044996717049</v>
          </cell>
          <cell r="K479">
            <v>3.9885474918288821</v>
          </cell>
          <cell r="L479">
            <v>4.7657176766082427</v>
          </cell>
          <cell r="M479">
            <v>2.8922813559125888</v>
          </cell>
          <cell r="N479">
            <v>2.3012323644699233</v>
          </cell>
          <cell r="O479">
            <v>2.1178080454696278</v>
          </cell>
        </row>
        <row r="480">
          <cell r="A480" t="str">
            <v>D-SNGA</v>
          </cell>
          <cell r="B480" t="str">
            <v>VAR_fin</v>
          </cell>
          <cell r="C480" t="str">
            <v>BNGA</v>
          </cell>
          <cell r="D480">
            <v>0.30853912076279888</v>
          </cell>
          <cell r="E480">
            <v>3.3494591087473848</v>
          </cell>
          <cell r="F480">
            <v>8.657511816634246E-3</v>
          </cell>
          <cell r="G480">
            <v>7.7469824242587797E-5</v>
          </cell>
          <cell r="H480">
            <v>1.2168989806827261E-4</v>
          </cell>
          <cell r="I480">
            <v>0.1445964339466628</v>
          </cell>
          <cell r="J480">
            <v>0.14459720764845896</v>
          </cell>
          <cell r="K480">
            <v>0.2827100321388788</v>
          </cell>
          <cell r="L480">
            <v>0.28270696098761244</v>
          </cell>
          <cell r="M480">
            <v>0.2827082349033937</v>
          </cell>
          <cell r="N480">
            <v>0.28271175858792025</v>
          </cell>
          <cell r="O480">
            <v>0.28272543824910834</v>
          </cell>
        </row>
        <row r="481">
          <cell r="A481" t="str">
            <v>D-SNGA</v>
          </cell>
          <cell r="B481" t="str">
            <v>VAR_fin</v>
          </cell>
          <cell r="C481" t="str">
            <v>H2</v>
          </cell>
          <cell r="G481">
            <v>4.9950469981455137E-4</v>
          </cell>
          <cell r="H481">
            <v>3.3234741425875083E-2</v>
          </cell>
          <cell r="I481">
            <v>0.1697568523756055</v>
          </cell>
          <cell r="J481">
            <v>0.17330307246946258</v>
          </cell>
          <cell r="K481">
            <v>0.13144509713332833</v>
          </cell>
          <cell r="L481">
            <v>0.15533382937018525</v>
          </cell>
          <cell r="M481">
            <v>9.7202510098978706E-2</v>
          </cell>
          <cell r="N481">
            <v>2.7574958029455133E-2</v>
          </cell>
          <cell r="O481">
            <v>2.4800923091945769E-2</v>
          </cell>
        </row>
        <row r="482">
          <cell r="A482" t="str">
            <v>D-SNGA</v>
          </cell>
          <cell r="B482" t="str">
            <v>VAR_ncap</v>
          </cell>
          <cell r="C482" t="str">
            <v>-</v>
          </cell>
          <cell r="D482">
            <v>7.5222644944573798E-8</v>
          </cell>
          <cell r="E482">
            <v>3.5007128677971701E-8</v>
          </cell>
          <cell r="F482">
            <v>5.64693450065887E-8</v>
          </cell>
          <cell r="G482">
            <v>6.5452306170614704E-8</v>
          </cell>
          <cell r="H482">
            <v>1.04030353426468E-7</v>
          </cell>
          <cell r="I482">
            <v>1.5295375993665301E-7</v>
          </cell>
          <cell r="J482">
            <v>2.7724420686700601E-7</v>
          </cell>
          <cell r="K482">
            <v>0.59009541001733601</v>
          </cell>
          <cell r="L482">
            <v>1.5188766365580399E-7</v>
          </cell>
          <cell r="M482">
            <v>3.67931432129056E-7</v>
          </cell>
          <cell r="N482">
            <v>4.6604863760564502E-7</v>
          </cell>
          <cell r="O482">
            <v>2.1654712840767199E-6</v>
          </cell>
        </row>
        <row r="483">
          <cell r="A483" t="str">
            <v>D-SNGA</v>
          </cell>
          <cell r="B483" t="str">
            <v>VAR_cap</v>
          </cell>
          <cell r="C483" t="str">
            <v>-</v>
          </cell>
          <cell r="D483">
            <v>2.2350522768477852</v>
          </cell>
          <cell r="E483">
            <v>2.2350523118549139</v>
          </cell>
          <cell r="F483">
            <v>2.2350523683242587</v>
          </cell>
          <cell r="G483">
            <v>2.2350524337765649</v>
          </cell>
          <cell r="H483">
            <v>2.2350525378069186</v>
          </cell>
          <cell r="I483">
            <v>2.2350526907606785</v>
          </cell>
          <cell r="J483">
            <v>2.2350529680048852</v>
          </cell>
          <cell r="K483">
            <v>1.353583833986487</v>
          </cell>
          <cell r="L483">
            <v>0.59009632828474501</v>
          </cell>
          <cell r="M483">
            <v>0.59009662342991698</v>
          </cell>
          <cell r="N483">
            <v>0.59009698481837802</v>
          </cell>
          <cell r="O483">
            <v>0.59009909558467399</v>
          </cell>
        </row>
        <row r="484">
          <cell r="A484" t="str">
            <v>D-IPLT</v>
          </cell>
          <cell r="B484" t="str">
            <v>VAR_fout</v>
          </cell>
          <cell r="C484" t="str">
            <v>IPLT</v>
          </cell>
          <cell r="D484">
            <v>0.62578762930497855</v>
          </cell>
          <cell r="E484">
            <v>0.73757344867069707</v>
          </cell>
          <cell r="F484">
            <v>0.73632722485362367</v>
          </cell>
          <cell r="G484">
            <v>0.73429121913613005</v>
          </cell>
          <cell r="H484">
            <v>0.73223719902474138</v>
          </cell>
          <cell r="I484">
            <v>0.73019433768610664</v>
          </cell>
          <cell r="J484">
            <v>0.72816472330071602</v>
          </cell>
          <cell r="K484">
            <v>0.72615948197839031</v>
          </cell>
          <cell r="L484">
            <v>0.72616557604025178</v>
          </cell>
          <cell r="M484">
            <v>0.72617400379080688</v>
          </cell>
          <cell r="N484">
            <v>0.72618300090279464</v>
          </cell>
          <cell r="O484">
            <v>0.72619298035320479</v>
          </cell>
        </row>
        <row r="485">
          <cell r="A485" t="str">
            <v>D-IPLT</v>
          </cell>
          <cell r="B485" t="str">
            <v>VAR_fin</v>
          </cell>
          <cell r="C485" t="str">
            <v>PLT</v>
          </cell>
          <cell r="D485">
            <v>0.62578762930497855</v>
          </cell>
          <cell r="E485">
            <v>0.73757344867069707</v>
          </cell>
          <cell r="F485">
            <v>0.73632722485362367</v>
          </cell>
          <cell r="G485">
            <v>0.73429121913613005</v>
          </cell>
          <cell r="H485">
            <v>0.73223719902474138</v>
          </cell>
          <cell r="I485">
            <v>0.73019433768610664</v>
          </cell>
          <cell r="J485">
            <v>0.72816472330071602</v>
          </cell>
          <cell r="K485">
            <v>0.72615948197839031</v>
          </cell>
          <cell r="L485">
            <v>0.72616557604025178</v>
          </cell>
          <cell r="M485">
            <v>0.72617400379080688</v>
          </cell>
          <cell r="N485">
            <v>0.72618300090279464</v>
          </cell>
          <cell r="O485">
            <v>0.72619298035320479</v>
          </cell>
        </row>
        <row r="486">
          <cell r="A486" t="str">
            <v>ITOT-SWHWODBR</v>
          </cell>
          <cell r="B486" t="str">
            <v>VAR_fout</v>
          </cell>
          <cell r="C486" t="str">
            <v>ITOT-SWH</v>
          </cell>
          <cell r="D486">
            <v>5.3111190699830884</v>
          </cell>
          <cell r="E486">
            <v>6.2669389681136023</v>
          </cell>
          <cell r="F486">
            <v>5.8302816561786273</v>
          </cell>
          <cell r="G486">
            <v>6.8144418864250076</v>
          </cell>
          <cell r="H486">
            <v>7.3023723079644451</v>
          </cell>
          <cell r="I486">
            <v>5.8385838123487206</v>
          </cell>
          <cell r="J486">
            <v>5.8653296218867785</v>
          </cell>
          <cell r="K486">
            <v>5.8896978194496317</v>
          </cell>
          <cell r="L486">
            <v>5.8316884879088837</v>
          </cell>
          <cell r="M486">
            <v>6.5020053237074693</v>
          </cell>
          <cell r="N486">
            <v>5.7984407033175041</v>
          </cell>
          <cell r="O486">
            <v>5.7789943700885607</v>
          </cell>
        </row>
        <row r="487">
          <cell r="A487" t="str">
            <v>ITOT-SWHWODBR</v>
          </cell>
          <cell r="B487" t="str">
            <v>VAR_fin</v>
          </cell>
          <cell r="C487" t="str">
            <v>IWOD</v>
          </cell>
          <cell r="D487">
            <v>9.0018967287848977</v>
          </cell>
          <cell r="E487">
            <v>10.609941819605424</v>
          </cell>
          <cell r="F487">
            <v>9.8539971653723377</v>
          </cell>
          <cell r="G487">
            <v>11.48501441532305</v>
          </cell>
          <cell r="H487">
            <v>12.272894635234369</v>
          </cell>
          <cell r="I487">
            <v>9.7853359983498009</v>
          </cell>
          <cell r="J487">
            <v>9.8027793123455922</v>
          </cell>
          <cell r="K487">
            <v>9.8161630324160516</v>
          </cell>
          <cell r="L487">
            <v>9.7194808131814732</v>
          </cell>
          <cell r="M487">
            <v>10.836675539512452</v>
          </cell>
          <cell r="N487">
            <v>9.6640678388625059</v>
          </cell>
          <cell r="O487">
            <v>9.6316572834809389</v>
          </cell>
        </row>
        <row r="488">
          <cell r="A488" t="str">
            <v>ITOT-SWHWODBR</v>
          </cell>
          <cell r="B488" t="str">
            <v>VAR_fin</v>
          </cell>
          <cell r="C488" t="str">
            <v>ITOTWODBRC</v>
          </cell>
          <cell r="D488">
            <v>5.3111190699830884</v>
          </cell>
          <cell r="E488">
            <v>6.2669389681136023</v>
          </cell>
          <cell r="F488">
            <v>5.8302816561786273</v>
          </cell>
          <cell r="G488">
            <v>6.8144418864250076</v>
          </cell>
          <cell r="H488">
            <v>7.3023723079644451</v>
          </cell>
          <cell r="I488">
            <v>5.8385838123487206</v>
          </cell>
          <cell r="J488">
            <v>5.8653296218867785</v>
          </cell>
          <cell r="K488">
            <v>5.8896978194496317</v>
          </cell>
          <cell r="L488">
            <v>5.8316884879088837</v>
          </cell>
          <cell r="M488">
            <v>6.5020053237074693</v>
          </cell>
          <cell r="N488">
            <v>5.7984407033175041</v>
          </cell>
          <cell r="O488">
            <v>5.7789943700885607</v>
          </cell>
        </row>
        <row r="489">
          <cell r="A489" t="str">
            <v>ITOT-SWHWODBR</v>
          </cell>
          <cell r="B489" t="str">
            <v>VAR_ncap</v>
          </cell>
          <cell r="C489" t="str">
            <v>-</v>
          </cell>
          <cell r="E489">
            <v>5.21530432661612E-2</v>
          </cell>
          <cell r="F489">
            <v>5.9482799823084901E-6</v>
          </cell>
          <cell r="G489">
            <v>2.97490555030029E-2</v>
          </cell>
          <cell r="H489">
            <v>0.288408653829691</v>
          </cell>
          <cell r="I489">
            <v>3.7883808356890501E-2</v>
          </cell>
          <cell r="J489">
            <v>3.7462691305476997E-2</v>
          </cell>
          <cell r="K489">
            <v>0.29386143063132902</v>
          </cell>
          <cell r="L489">
            <v>3.2384490413620598E-2</v>
          </cell>
          <cell r="M489">
            <v>7.6142864065536706E-2</v>
          </cell>
          <cell r="N489">
            <v>0.20890699561751799</v>
          </cell>
          <cell r="O489">
            <v>6.9985481963466101E-2</v>
          </cell>
        </row>
        <row r="490">
          <cell r="A490" t="str">
            <v>ITOT-SWHWODBR</v>
          </cell>
          <cell r="B490" t="str">
            <v>VAR_cap</v>
          </cell>
          <cell r="C490" t="str">
            <v>-</v>
          </cell>
          <cell r="D490">
            <v>0.28883369534761499</v>
          </cell>
          <cell r="E490">
            <v>0.34098634496094593</v>
          </cell>
          <cell r="F490">
            <v>0.34099047035644203</v>
          </cell>
          <cell r="G490">
            <v>0.37073771234164749</v>
          </cell>
          <cell r="H490">
            <v>0.41978106728386189</v>
          </cell>
          <cell r="I490">
            <v>0.35037906008720604</v>
          </cell>
          <cell r="J490">
            <v>0.36375115012178794</v>
          </cell>
          <cell r="K490">
            <v>0.36920270637937791</v>
          </cell>
          <cell r="L490">
            <v>0.36455988111888554</v>
          </cell>
          <cell r="M490">
            <v>0.40238250187402808</v>
          </cell>
          <cell r="N490">
            <v>0.35920843938049268</v>
          </cell>
          <cell r="O490">
            <v>0.35502727810195889</v>
          </cell>
        </row>
        <row r="491">
          <cell r="A491" t="str">
            <v>D-ITOT_KEV_WOD_ELC_CHP</v>
          </cell>
          <cell r="B491" t="str">
            <v>VAR_fout</v>
          </cell>
          <cell r="C491" t="str">
            <v>ITOT_ELC</v>
          </cell>
          <cell r="D491">
            <v>1.1870917722605511E-4</v>
          </cell>
          <cell r="E491">
            <v>4.4342323068621541E-5</v>
          </cell>
          <cell r="F491">
            <v>7.6573193954336411E-5</v>
          </cell>
          <cell r="G491">
            <v>4.6240537679933407E-4</v>
          </cell>
          <cell r="H491">
            <v>1.1159879784848625</v>
          </cell>
          <cell r="I491">
            <v>2.2319254362870531</v>
          </cell>
          <cell r="J491">
            <v>2.8357564961228801</v>
          </cell>
          <cell r="K491">
            <v>4.2294459098293054</v>
          </cell>
          <cell r="L491">
            <v>3.2106895949956789</v>
          </cell>
          <cell r="M491">
            <v>4.0940271208265564</v>
          </cell>
          <cell r="N491">
            <v>4.1927169147192078</v>
          </cell>
          <cell r="O491">
            <v>4.1924725960719993</v>
          </cell>
        </row>
        <row r="492">
          <cell r="A492" t="str">
            <v>D-ITOT_KEV_WOD_ELC_CHP</v>
          </cell>
          <cell r="B492" t="str">
            <v>VAR_fout</v>
          </cell>
          <cell r="C492" t="str">
            <v>ELC5</v>
          </cell>
          <cell r="D492">
            <v>0.17234255889846625</v>
          </cell>
          <cell r="E492">
            <v>0.23812978122476341</v>
          </cell>
          <cell r="F492">
            <v>1.1316870103331129</v>
          </cell>
          <cell r="G492">
            <v>1.589585377311965</v>
          </cell>
          <cell r="H492">
            <v>0.47341568574189369</v>
          </cell>
          <cell r="I492">
            <v>4.4871423129201782E-2</v>
          </cell>
          <cell r="J492">
            <v>1.0022649307396814</v>
          </cell>
          <cell r="K492">
            <v>6.6426584168455038E-2</v>
          </cell>
          <cell r="L492">
            <v>1.028816518193548</v>
          </cell>
          <cell r="M492">
            <v>0.20203419588745133</v>
          </cell>
          <cell r="N492">
            <v>8.6180390668455703E-2</v>
          </cell>
          <cell r="O492">
            <v>0.10347011331116181</v>
          </cell>
        </row>
        <row r="493">
          <cell r="A493" t="str">
            <v>D-ITOT_KEV_WOD_ELC_CHP</v>
          </cell>
          <cell r="B493" t="str">
            <v>VAR_fin</v>
          </cell>
          <cell r="C493" t="str">
            <v>ITOT_KEV_WOD_ELC_CHP</v>
          </cell>
          <cell r="D493">
            <v>0.17246126807569231</v>
          </cell>
          <cell r="E493">
            <v>0.23817412354783213</v>
          </cell>
          <cell r="F493">
            <v>1.1317624035093872</v>
          </cell>
          <cell r="G493">
            <v>1.5900467247938288</v>
          </cell>
          <cell r="H493">
            <v>1.5894016828777582</v>
          </cell>
          <cell r="I493">
            <v>2.2767968594162538</v>
          </cell>
          <cell r="J493">
            <v>3.8380214268625639</v>
          </cell>
          <cell r="K493">
            <v>4.2958724939977619</v>
          </cell>
          <cell r="L493">
            <v>4.2395061131892255</v>
          </cell>
          <cell r="M493">
            <v>4.2960613167140069</v>
          </cell>
          <cell r="N493">
            <v>4.2788973053876678</v>
          </cell>
          <cell r="O493">
            <v>4.295942709383163</v>
          </cell>
        </row>
        <row r="494">
          <cell r="A494" t="str">
            <v>RHEM-SHSTG-SOL</v>
          </cell>
          <cell r="B494" t="str">
            <v>VAR_fout</v>
          </cell>
          <cell r="C494" t="str">
            <v>RHEM-SHASOL</v>
          </cell>
          <cell r="D494">
            <v>1.8017918154442371E-6</v>
          </cell>
          <cell r="E494">
            <v>8.1784706956266704E-7</v>
          </cell>
          <cell r="F494">
            <v>8.0412810997483403E-2</v>
          </cell>
          <cell r="G494">
            <v>7.9783039844475864E-2</v>
          </cell>
          <cell r="H494">
            <v>0.10608133566962627</v>
          </cell>
          <cell r="I494">
            <v>0.10759626789531425</v>
          </cell>
          <cell r="J494">
            <v>9.649323319500222E-2</v>
          </cell>
          <cell r="K494">
            <v>0.45881203859508429</v>
          </cell>
          <cell r="L494">
            <v>0.4447265540794354</v>
          </cell>
          <cell r="M494">
            <v>0.4418154887874976</v>
          </cell>
          <cell r="N494">
            <v>0.47116036282479157</v>
          </cell>
          <cell r="O494">
            <v>0.40386493817828356</v>
          </cell>
        </row>
        <row r="495">
          <cell r="A495" t="str">
            <v>RHEM-SHSTG-SOL</v>
          </cell>
          <cell r="B495" t="str">
            <v>VAR_fin</v>
          </cell>
          <cell r="C495" t="str">
            <v>RHEM-SHASOL</v>
          </cell>
          <cell r="D495">
            <v>3.2729184966484251E-7</v>
          </cell>
          <cell r="E495">
            <v>2.2015722241241472E-7</v>
          </cell>
          <cell r="F495">
            <v>8.0417768367125539E-2</v>
          </cell>
          <cell r="G495">
            <v>7.9787152749423176E-2</v>
          </cell>
          <cell r="H495">
            <v>0.10608887856393205</v>
          </cell>
          <cell r="I495">
            <v>0.10760549206691376</v>
          </cell>
          <cell r="J495">
            <v>9.6499719942768111E-2</v>
          </cell>
          <cell r="K495">
            <v>0.45884324560779444</v>
          </cell>
          <cell r="L495">
            <v>0.44475677370731354</v>
          </cell>
          <cell r="M495">
            <v>0.44184494604327251</v>
          </cell>
          <cell r="N495">
            <v>0.47118866169464624</v>
          </cell>
          <cell r="O495">
            <v>0.40389616689217045</v>
          </cell>
        </row>
        <row r="496">
          <cell r="A496" t="str">
            <v>RHEM-SHSTG-SOL</v>
          </cell>
          <cell r="B496" t="str">
            <v>VAR_ncap</v>
          </cell>
          <cell r="C496" t="str">
            <v>-</v>
          </cell>
          <cell r="D496">
            <v>1.94077848427094E-3</v>
          </cell>
          <cell r="E496">
            <v>1.41472533657825E-2</v>
          </cell>
          <cell r="F496">
            <v>1.99115978160037E-7</v>
          </cell>
          <cell r="G496">
            <v>3.3033545287115401E-7</v>
          </cell>
          <cell r="H496">
            <v>8.3394243057487907E-3</v>
          </cell>
          <cell r="I496">
            <v>7.7509627605036897E-3</v>
          </cell>
          <cell r="J496">
            <v>3.0837670740947498E-7</v>
          </cell>
          <cell r="K496">
            <v>6.7858052811003794E-2</v>
          </cell>
          <cell r="L496">
            <v>6.56165716753328E-3</v>
          </cell>
          <cell r="M496">
            <v>4.0260909132756196E-3</v>
          </cell>
          <cell r="N496">
            <v>5.7992029118091599E-2</v>
          </cell>
          <cell r="O496">
            <v>1.6506224864456898E-2</v>
          </cell>
        </row>
        <row r="497">
          <cell r="A497" t="str">
            <v>RHEM-SHSTG-SOL</v>
          </cell>
          <cell r="B497" t="str">
            <v>VAR_cap</v>
          </cell>
          <cell r="C497" t="str">
            <v>-</v>
          </cell>
          <cell r="D497">
            <v>1.94077848427094E-3</v>
          </cell>
          <cell r="E497">
            <v>1.6088031850053499E-2</v>
          </cell>
          <cell r="F497">
            <v>1.60882309660316E-2</v>
          </cell>
          <cell r="G497">
            <v>1.6088561301484498E-2</v>
          </cell>
          <cell r="H497">
            <v>1.6091522137614701E-2</v>
          </cell>
          <cell r="I497">
            <v>1.6090696370168599E-2</v>
          </cell>
          <cell r="J497">
            <v>1.60906954429599E-2</v>
          </cell>
          <cell r="K497">
            <v>7.5609323948214902E-2</v>
          </cell>
          <cell r="L497">
            <v>7.5610944532563798E-2</v>
          </cell>
          <cell r="M497">
            <v>7.8445800891812703E-2</v>
          </cell>
          <cell r="N497">
            <v>7.8518790868083402E-2</v>
          </cell>
          <cell r="O497">
            <v>7.8524344895824105E-2</v>
          </cell>
        </row>
        <row r="498">
          <cell r="A498" t="str">
            <v>ITOT-SWHCONBR10</v>
          </cell>
          <cell r="B498" t="str">
            <v>VAR_fout</v>
          </cell>
          <cell r="C498" t="str">
            <v>ITOT-ELS</v>
          </cell>
          <cell r="J498">
            <v>4.7159481232312749E-6</v>
          </cell>
          <cell r="K498">
            <v>1.0320238436819347E-5</v>
          </cell>
          <cell r="L498">
            <v>8.7424445798985406E-6</v>
          </cell>
          <cell r="M498">
            <v>1.4089589528682925E-5</v>
          </cell>
          <cell r="N498">
            <v>1.1695957961286737E-5</v>
          </cell>
          <cell r="O498">
            <v>2.4687774495189254E-5</v>
          </cell>
        </row>
        <row r="499">
          <cell r="A499" t="str">
            <v>ITOT-SWHCONBR10</v>
          </cell>
          <cell r="B499" t="str">
            <v>VAR_fout</v>
          </cell>
          <cell r="C499" t="str">
            <v>ITOT-SWHC</v>
          </cell>
          <cell r="J499">
            <v>3.5814998709047651E-5</v>
          </cell>
          <cell r="K499">
            <v>6.4565399838044566E-5</v>
          </cell>
          <cell r="L499">
            <v>5.5170373317566851E-5</v>
          </cell>
          <cell r="M499">
            <v>8.6982251146622543E-5</v>
          </cell>
          <cell r="N499">
            <v>7.2838435288928786E-5</v>
          </cell>
          <cell r="O499">
            <v>1.5202988754206792E-4</v>
          </cell>
        </row>
        <row r="500">
          <cell r="A500" t="str">
            <v>ITOT-SWHCONBR10</v>
          </cell>
          <cell r="B500" t="str">
            <v>VAR_fin</v>
          </cell>
          <cell r="C500" t="str">
            <v>CON</v>
          </cell>
          <cell r="J500">
            <v>4.1630911790150197E-5</v>
          </cell>
          <cell r="K500">
            <v>7.5050022678749457E-5</v>
          </cell>
          <cell r="L500">
            <v>6.4129359983281623E-5</v>
          </cell>
          <cell r="M500">
            <v>1.0110709354511163E-4</v>
          </cell>
          <cell r="N500">
            <v>8.4666496823855079E-5</v>
          </cell>
          <cell r="O500">
            <v>1.7671766203725725E-4</v>
          </cell>
        </row>
        <row r="501">
          <cell r="A501" t="str">
            <v>ITOT-SWHCONBR10</v>
          </cell>
          <cell r="B501" t="str">
            <v>VAR_ncap</v>
          </cell>
          <cell r="C501" t="str">
            <v>-</v>
          </cell>
          <cell r="J501">
            <v>1.8413945240844499E-6</v>
          </cell>
          <cell r="K501">
            <v>1.4343525924936601E-6</v>
          </cell>
          <cell r="L501">
            <v>5.8782913645061997E-8</v>
          </cell>
          <cell r="M501">
            <v>3.2320239973006999E-6</v>
          </cell>
          <cell r="N501">
            <v>8.0431215909360702E-7</v>
          </cell>
          <cell r="O501">
            <v>4.7903800876964197E-6</v>
          </cell>
        </row>
        <row r="502">
          <cell r="A502" t="str">
            <v>ITOT-SWHCONBR10</v>
          </cell>
          <cell r="B502" t="str">
            <v>VAR_cap</v>
          </cell>
          <cell r="C502" t="str">
            <v>-</v>
          </cell>
          <cell r="J502">
            <v>1.8413945240844499E-6</v>
          </cell>
          <cell r="K502">
            <v>3.2757471165781102E-6</v>
          </cell>
          <cell r="L502">
            <v>3.0905536737007E-6</v>
          </cell>
          <cell r="M502">
            <v>4.7251595034394198E-6</v>
          </cell>
          <cell r="N502">
            <v>4.3305393714725403E-6</v>
          </cell>
          <cell r="O502">
            <v>8.8267162440907195E-6</v>
          </cell>
        </row>
        <row r="503">
          <cell r="A503" t="str">
            <v>SCOM-SHSTG</v>
          </cell>
          <cell r="B503" t="str">
            <v>VAR_fout</v>
          </cell>
          <cell r="C503" t="str">
            <v>AUX_SCOM-SHSTG_OUT</v>
          </cell>
          <cell r="D503">
            <v>1.2811252107901099E-8</v>
          </cell>
          <cell r="E503">
            <v>5.0136198445213315E-5</v>
          </cell>
          <cell r="F503">
            <v>8.4144084079240383E-3</v>
          </cell>
          <cell r="G503">
            <v>2.2275591983164388E-3</v>
          </cell>
          <cell r="H503">
            <v>1.9014705563539425</v>
          </cell>
          <cell r="I503">
            <v>11.65302608922063</v>
          </cell>
          <cell r="J503">
            <v>0.93804847261139679</v>
          </cell>
          <cell r="K503">
            <v>1.3907448674156289</v>
          </cell>
          <cell r="L503">
            <v>1.5885530870788132</v>
          </cell>
          <cell r="M503">
            <v>1.574342821258534</v>
          </cell>
          <cell r="N503">
            <v>1.4617148234037993</v>
          </cell>
          <cell r="O503">
            <v>1.3925987414477718</v>
          </cell>
        </row>
        <row r="504">
          <cell r="A504" t="str">
            <v>SCOM-SHSTG</v>
          </cell>
          <cell r="B504" t="str">
            <v>VAR_fout</v>
          </cell>
          <cell r="C504" t="str">
            <v>SCOM-SHD</v>
          </cell>
          <cell r="D504">
            <v>2.605417223546783E-6</v>
          </cell>
          <cell r="E504">
            <v>5.0177178224274569E-5</v>
          </cell>
          <cell r="F504">
            <v>8.4251547788153965E-3</v>
          </cell>
          <cell r="G504">
            <v>2.2275591983164336E-3</v>
          </cell>
          <cell r="H504">
            <v>1.9035856515222969</v>
          </cell>
          <cell r="I504">
            <v>11.653026089220607</v>
          </cell>
          <cell r="J504">
            <v>0.93896543104014696</v>
          </cell>
          <cell r="K504">
            <v>1.3907448674156289</v>
          </cell>
          <cell r="L504">
            <v>1.588553087078812</v>
          </cell>
          <cell r="M504">
            <v>1.574342821258534</v>
          </cell>
          <cell r="N504">
            <v>1.4617148234037991</v>
          </cell>
          <cell r="O504">
            <v>1.3925987414477718</v>
          </cell>
        </row>
        <row r="505">
          <cell r="A505" t="str">
            <v>SCOM-SHSTG</v>
          </cell>
          <cell r="B505" t="str">
            <v>VAR_fin</v>
          </cell>
          <cell r="C505" t="str">
            <v>AUX_SCOM-SHSTG_IN</v>
          </cell>
          <cell r="D505">
            <v>3.3611278730558966E-6</v>
          </cell>
          <cell r="E505">
            <v>6.1292047069860808E-5</v>
          </cell>
          <cell r="F505">
            <v>1.0032918207583006E-2</v>
          </cell>
          <cell r="G505">
            <v>2.5637734212200897E-3</v>
          </cell>
          <cell r="H505">
            <v>2.1154304286417154</v>
          </cell>
          <cell r="I505">
            <v>12.53052323769206</v>
          </cell>
          <cell r="J505">
            <v>0.97846488793361541</v>
          </cell>
          <cell r="K505">
            <v>1.4227651572247559</v>
          </cell>
          <cell r="L505">
            <v>1.6295459551908515</v>
          </cell>
          <cell r="M505">
            <v>1.607158969106919</v>
          </cell>
          <cell r="N505">
            <v>1.4933426011452458</v>
          </cell>
          <cell r="O505">
            <v>1.4114624216659761</v>
          </cell>
        </row>
        <row r="506">
          <cell r="A506" t="str">
            <v>SCOM-SHSTG</v>
          </cell>
          <cell r="B506" t="str">
            <v>VAR_fin</v>
          </cell>
          <cell r="C506" t="str">
            <v>SCOM-SHD</v>
          </cell>
          <cell r="D506">
            <v>3.3611278730558966E-6</v>
          </cell>
          <cell r="E506">
            <v>6.1292047069860808E-5</v>
          </cell>
          <cell r="F506">
            <v>1.0032918207583006E-2</v>
          </cell>
          <cell r="G506">
            <v>2.5637734212200897E-3</v>
          </cell>
          <cell r="H506">
            <v>2.1154304286417154</v>
          </cell>
          <cell r="I506">
            <v>12.53052323769206</v>
          </cell>
          <cell r="J506">
            <v>0.97846488793361541</v>
          </cell>
          <cell r="K506">
            <v>1.4227651572247559</v>
          </cell>
          <cell r="L506">
            <v>1.6295459551908515</v>
          </cell>
          <cell r="M506">
            <v>1.607158969106919</v>
          </cell>
          <cell r="N506">
            <v>1.4933426011452458</v>
          </cell>
          <cell r="O506">
            <v>1.4114624216659761</v>
          </cell>
        </row>
        <row r="507">
          <cell r="A507" t="str">
            <v>SCOM-SHSTG</v>
          </cell>
          <cell r="B507" t="str">
            <v>VAR_ncap</v>
          </cell>
          <cell r="C507" t="str">
            <v>-</v>
          </cell>
          <cell r="D507">
            <v>1.8852022084788999E-4</v>
          </cell>
          <cell r="E507">
            <v>1.55482928969568E-6</v>
          </cell>
          <cell r="F507">
            <v>1.7033945863989301E-3</v>
          </cell>
          <cell r="G507">
            <v>6.4842888319140304E-7</v>
          </cell>
          <cell r="H507">
            <v>0.223895002298585</v>
          </cell>
          <cell r="I507">
            <v>2.44133718036884E-2</v>
          </cell>
          <cell r="J507">
            <v>2.4356702058945901E-6</v>
          </cell>
          <cell r="K507">
            <v>9.0544220593718894</v>
          </cell>
          <cell r="L507">
            <v>3.5615731611419998</v>
          </cell>
          <cell r="M507">
            <v>1.58902369652072E-5</v>
          </cell>
          <cell r="N507">
            <v>9.0051870459076196E-6</v>
          </cell>
          <cell r="O507">
            <v>4.0092304391683701E-5</v>
          </cell>
        </row>
        <row r="508">
          <cell r="A508" t="str">
            <v>SCOM-SHSTG</v>
          </cell>
          <cell r="B508" t="str">
            <v>VAR_cap</v>
          </cell>
          <cell r="C508" t="str">
            <v>-</v>
          </cell>
          <cell r="D508">
            <v>1.8852022084788999E-4</v>
          </cell>
          <cell r="E508">
            <v>1.8977000960242895E-4</v>
          </cell>
          <cell r="F508">
            <v>1.8929597425015703E-3</v>
          </cell>
          <cell r="G508">
            <v>1.8926499996254921E-3</v>
          </cell>
          <cell r="H508">
            <v>0.22578687287642457</v>
          </cell>
          <cell r="I508">
            <v>0.25008964586722121</v>
          </cell>
          <cell r="J508">
            <v>0.24860342836870006</v>
          </cell>
          <cell r="K508">
            <v>9.3027240719880524</v>
          </cell>
          <cell r="L508">
            <v>12.705132453022406</v>
          </cell>
          <cell r="M508">
            <v>12.615998081884301</v>
          </cell>
          <cell r="N508">
            <v>12.615994393789737</v>
          </cell>
          <cell r="O508">
            <v>3.5616051934794757</v>
          </cell>
        </row>
        <row r="509">
          <cell r="A509" t="str">
            <v>D-ITOT_KEV_HFC_ELC_CHP</v>
          </cell>
          <cell r="B509" t="str">
            <v>VAR_fout</v>
          </cell>
          <cell r="C509" t="str">
            <v>ITOT_ELC</v>
          </cell>
          <cell r="G509">
            <v>2.3294867623144862E-3</v>
          </cell>
          <cell r="H509">
            <v>0.63055795225059574</v>
          </cell>
          <cell r="I509">
            <v>3.261989542035872</v>
          </cell>
          <cell r="J509">
            <v>3.038700917854833</v>
          </cell>
          <cell r="K509">
            <v>4.6947124901006978</v>
          </cell>
          <cell r="L509">
            <v>3.6534529725504137</v>
          </cell>
          <cell r="M509">
            <v>4.4899237693260154</v>
          </cell>
          <cell r="N509">
            <v>4.6370692096488231</v>
          </cell>
          <cell r="O509">
            <v>4.6130962327181395</v>
          </cell>
        </row>
        <row r="510">
          <cell r="A510" t="str">
            <v>D-ITOT_KEV_HFC_ELC_CHP</v>
          </cell>
          <cell r="B510" t="str">
            <v>VAR_fout</v>
          </cell>
          <cell r="C510" t="str">
            <v>ELC5</v>
          </cell>
          <cell r="G510">
            <v>2.4472569470471986E-4</v>
          </cell>
          <cell r="H510">
            <v>4.8103398183235953E-2</v>
          </cell>
          <cell r="I510">
            <v>0.10471915173184057</v>
          </cell>
          <cell r="J510">
            <v>1.0611605576206229</v>
          </cell>
          <cell r="K510">
            <v>0.15019433666665596</v>
          </cell>
          <cell r="L510">
            <v>1.1914562642318793</v>
          </cell>
          <cell r="M510">
            <v>0.35498605860459259</v>
          </cell>
          <cell r="N510">
            <v>0.20784167744467402</v>
          </cell>
          <cell r="O510">
            <v>0.23181683871493872</v>
          </cell>
        </row>
        <row r="511">
          <cell r="A511" t="str">
            <v>D-ITOT_KEV_HFC_ELC_CHP</v>
          </cell>
          <cell r="B511" t="str">
            <v>VAR_fin</v>
          </cell>
          <cell r="C511" t="str">
            <v>ITOT_KEV_HFC_ELC_CHP</v>
          </cell>
          <cell r="G511">
            <v>2.5731122505309179E-3</v>
          </cell>
          <cell r="H511">
            <v>0.67865945031001174</v>
          </cell>
          <cell r="I511">
            <v>3.3667071685303029</v>
          </cell>
          <cell r="J511">
            <v>4.0998599840379519</v>
          </cell>
          <cell r="K511">
            <v>4.844904172368377</v>
          </cell>
          <cell r="L511">
            <v>4.8449072809991547</v>
          </cell>
          <cell r="M511">
            <v>4.8449066965237124</v>
          </cell>
          <cell r="N511">
            <v>4.8449073393689117</v>
          </cell>
          <cell r="O511">
            <v>4.8449084426978821</v>
          </cell>
        </row>
        <row r="512">
          <cell r="A512" t="str">
            <v>D-RNGA</v>
          </cell>
          <cell r="B512" t="str">
            <v>VAR_fout</v>
          </cell>
          <cell r="C512" t="str">
            <v>CO2</v>
          </cell>
          <cell r="D512">
            <v>2650.4048598637</v>
          </cell>
          <cell r="E512">
            <v>2731.8339408281499</v>
          </cell>
          <cell r="F512">
            <v>2743.0031331926398</v>
          </cell>
          <cell r="G512">
            <v>2986.52218772881</v>
          </cell>
          <cell r="H512">
            <v>2919.6517565907702</v>
          </cell>
          <cell r="I512">
            <v>2770.8159679892301</v>
          </cell>
          <cell r="J512">
            <v>2177.72243613</v>
          </cell>
          <cell r="K512">
            <v>839.60487718514503</v>
          </cell>
          <cell r="L512">
            <v>420.85832049948903</v>
          </cell>
          <cell r="M512">
            <v>331.883552544954</v>
          </cell>
          <cell r="N512">
            <v>331.61495722715603</v>
          </cell>
          <cell r="O512">
            <v>274.24291857848601</v>
          </cell>
        </row>
        <row r="513">
          <cell r="A513" t="str">
            <v>D-RNGA</v>
          </cell>
          <cell r="B513" t="str">
            <v>VAR_fout</v>
          </cell>
          <cell r="C513" t="str">
            <v>RNGA</v>
          </cell>
          <cell r="D513">
            <v>47.156254208244185</v>
          </cell>
          <cell r="E513">
            <v>48.283015321400732</v>
          </cell>
          <cell r="F513">
            <v>48.480420241238328</v>
          </cell>
          <cell r="G513">
            <v>52.784367926389059</v>
          </cell>
          <cell r="H513">
            <v>51.60235721360857</v>
          </cell>
          <cell r="I513">
            <v>49.122625096529887</v>
          </cell>
          <cell r="J513">
            <v>38.640190530001959</v>
          </cell>
          <cell r="K513">
            <v>15.270901753886507</v>
          </cell>
          <cell r="L513">
            <v>7.8707064693750937</v>
          </cell>
          <cell r="M513">
            <v>6.2983131825533771</v>
          </cell>
          <cell r="N513">
            <v>6.2939816703154721</v>
          </cell>
          <cell r="O513">
            <v>5.2800323436106966</v>
          </cell>
        </row>
        <row r="514">
          <cell r="A514" t="str">
            <v>D-RNGA</v>
          </cell>
          <cell r="B514" t="str">
            <v>VAR_fout</v>
          </cell>
          <cell r="C514" t="str">
            <v>RSH2</v>
          </cell>
          <cell r="G514">
            <v>4.8682502735769248E-4</v>
          </cell>
          <cell r="H514">
            <v>4.4931428997741392E-2</v>
          </cell>
          <cell r="I514">
            <v>0.25374280300535784</v>
          </cell>
          <cell r="J514">
            <v>0.27428655130878771</v>
          </cell>
          <cell r="K514">
            <v>0.47314832181383837</v>
          </cell>
          <cell r="L514">
            <v>0.24314010104131353</v>
          </cell>
          <cell r="M514">
            <v>0.19435184817361612</v>
          </cell>
          <cell r="N514">
            <v>6.6302069452730997E-2</v>
          </cell>
          <cell r="O514">
            <v>5.5156886529454906E-2</v>
          </cell>
        </row>
        <row r="515">
          <cell r="A515" t="str">
            <v>D-RNGA</v>
          </cell>
          <cell r="B515" t="str">
            <v>VAR_fin</v>
          </cell>
          <cell r="C515" t="str">
            <v>NGA</v>
          </cell>
          <cell r="D515">
            <v>46.992993969214616</v>
          </cell>
          <cell r="E515">
            <v>48.43677200049919</v>
          </cell>
          <cell r="F515">
            <v>48.634807326110604</v>
          </cell>
          <cell r="G515">
            <v>52.95252105902145</v>
          </cell>
          <cell r="H515">
            <v>51.766875116857619</v>
          </cell>
          <cell r="I515">
            <v>49.127942694844357</v>
          </cell>
          <cell r="J515">
            <v>38.612099931382929</v>
          </cell>
          <cell r="K515">
            <v>14.886611297608939</v>
          </cell>
          <cell r="L515">
            <v>7.4620269592108075</v>
          </cell>
          <cell r="M515">
            <v>5.8844601515062847</v>
          </cell>
          <cell r="N515">
            <v>5.8796978231765333</v>
          </cell>
          <cell r="O515">
            <v>4.8624630953632284</v>
          </cell>
        </row>
        <row r="516">
          <cell r="A516" t="str">
            <v>D-RNGA</v>
          </cell>
          <cell r="B516" t="str">
            <v>VAR_fin</v>
          </cell>
          <cell r="C516" t="str">
            <v>BNGA</v>
          </cell>
          <cell r="D516">
            <v>0.31390653242286004</v>
          </cell>
          <cell r="E516">
            <v>4.8918741809449509E-4</v>
          </cell>
          <cell r="F516">
            <v>4.8941526788644685E-4</v>
          </cell>
          <cell r="G516">
            <v>4.8971392286427493E-4</v>
          </cell>
          <cell r="H516">
            <v>4.9035199828728019E-4</v>
          </cell>
          <cell r="I516">
            <v>0.15245032252147891</v>
          </cell>
          <cell r="J516">
            <v>0.1524510690831844</v>
          </cell>
          <cell r="K516">
            <v>0.4346279912442379</v>
          </cell>
          <cell r="L516">
            <v>0.43462499889864042</v>
          </cell>
          <cell r="M516">
            <v>0.43462628307327672</v>
          </cell>
          <cell r="N516">
            <v>0.43462986683998711</v>
          </cell>
          <cell r="O516">
            <v>0.43464354652505915</v>
          </cell>
        </row>
        <row r="517">
          <cell r="A517" t="str">
            <v>D-RNGA</v>
          </cell>
          <cell r="B517" t="str">
            <v>VAR_fin</v>
          </cell>
          <cell r="C517" t="str">
            <v>H2</v>
          </cell>
          <cell r="G517">
            <v>4.865018277547169E-4</v>
          </cell>
          <cell r="H517">
            <v>4.4931388262992839E-2</v>
          </cell>
          <cell r="I517">
            <v>0.25374280300536367</v>
          </cell>
          <cell r="J517">
            <v>0.27428520648636456</v>
          </cell>
          <cell r="K517">
            <v>0.47314763306745788</v>
          </cell>
          <cell r="L517">
            <v>0.24314009802942124</v>
          </cell>
          <cell r="M517">
            <v>0.19435184758962196</v>
          </cell>
          <cell r="N517">
            <v>6.6301974583577311E-2</v>
          </cell>
          <cell r="O517">
            <v>5.51561749295661E-2</v>
          </cell>
        </row>
        <row r="518">
          <cell r="A518" t="str">
            <v>D-RNGA</v>
          </cell>
          <cell r="B518" t="str">
            <v>VAR_ncap</v>
          </cell>
          <cell r="C518" t="str">
            <v>-</v>
          </cell>
          <cell r="D518">
            <v>5.5583395114518298E-8</v>
          </cell>
          <cell r="E518">
            <v>2.81010074551305E-8</v>
          </cell>
          <cell r="F518">
            <v>3.53327349166716E-8</v>
          </cell>
          <cell r="G518">
            <v>3.7951179283471402E-8</v>
          </cell>
          <cell r="H518">
            <v>6.3231960070077505E-8</v>
          </cell>
          <cell r="I518">
            <v>5.5989677967092502E-8</v>
          </cell>
          <cell r="J518">
            <v>9.0060299475512398E-8</v>
          </cell>
          <cell r="K518">
            <v>7.1237454330018099E-7</v>
          </cell>
          <cell r="L518">
            <v>0.45961314778844498</v>
          </cell>
          <cell r="M518">
            <v>2.9615860968195799E-7</v>
          </cell>
          <cell r="N518">
            <v>3.7076612924210602E-7</v>
          </cell>
          <cell r="O518">
            <v>1.5130655888130299E-6</v>
          </cell>
        </row>
        <row r="519">
          <cell r="A519" t="str">
            <v>D-RNGA</v>
          </cell>
          <cell r="B519" t="str">
            <v>VAR_cap</v>
          </cell>
          <cell r="C519" t="str">
            <v>-</v>
          </cell>
          <cell r="D519">
            <v>3.0972400629793153</v>
          </cell>
          <cell r="E519">
            <v>3.0972400910803226</v>
          </cell>
          <cell r="F519">
            <v>3.0972401264130576</v>
          </cell>
          <cell r="G519">
            <v>3.0972401643642367</v>
          </cell>
          <cell r="H519">
            <v>3.0972402275961968</v>
          </cell>
          <cell r="I519">
            <v>3.097240283585875</v>
          </cell>
          <cell r="J519">
            <v>3.0972403736461742</v>
          </cell>
          <cell r="K519">
            <v>1.0580097088122675</v>
          </cell>
          <cell r="L519">
            <v>0.45961422641324301</v>
          </cell>
          <cell r="M519">
            <v>0.45961446769952002</v>
          </cell>
          <cell r="N519">
            <v>0.45961476854800298</v>
          </cell>
          <cell r="O519">
            <v>0.45961624943525398</v>
          </cell>
        </row>
        <row r="520">
          <cell r="A520" t="str">
            <v>RHNS-SHLTHCHPNGA</v>
          </cell>
          <cell r="B520" t="str">
            <v>VAR_fout</v>
          </cell>
          <cell r="C520" t="str">
            <v>RHNS-SHLTHC-NGA</v>
          </cell>
          <cell r="E520">
            <v>8.6090834368347173E-4</v>
          </cell>
          <cell r="F520">
            <v>9.5363403954178692E-4</v>
          </cell>
          <cell r="G520">
            <v>8.0033466763637163E-4</v>
          </cell>
          <cell r="H520">
            <v>1.0209525599393944E-3</v>
          </cell>
          <cell r="I520">
            <v>5.6991716814278255E-4</v>
          </cell>
          <cell r="L520">
            <v>6.637426704327919E-4</v>
          </cell>
          <cell r="M520">
            <v>5.4100469033178662E-4</v>
          </cell>
          <cell r="N520">
            <v>4.5935618479835469E-4</v>
          </cell>
          <cell r="O520">
            <v>9.7771926443105794E-4</v>
          </cell>
        </row>
        <row r="521">
          <cell r="A521" t="str">
            <v>RHNS-SHLTHCHPNGA</v>
          </cell>
          <cell r="B521" t="str">
            <v>VAR_fin</v>
          </cell>
          <cell r="C521" t="str">
            <v>RHNSLTHCHPC</v>
          </cell>
          <cell r="E521">
            <v>8.6090834368347173E-4</v>
          </cell>
          <cell r="F521">
            <v>9.5363403954178692E-4</v>
          </cell>
          <cell r="G521">
            <v>8.0033466763637163E-4</v>
          </cell>
          <cell r="H521">
            <v>1.0209525599393944E-3</v>
          </cell>
          <cell r="I521">
            <v>5.6991716814278255E-4</v>
          </cell>
          <cell r="L521">
            <v>6.637426704327919E-4</v>
          </cell>
          <cell r="M521">
            <v>5.4100469033178662E-4</v>
          </cell>
          <cell r="N521">
            <v>4.5935618479835469E-4</v>
          </cell>
          <cell r="O521">
            <v>9.7771926443105794E-4</v>
          </cell>
        </row>
        <row r="522">
          <cell r="A522" t="str">
            <v>RHNS-SHLTHCHPNGA</v>
          </cell>
          <cell r="B522" t="str">
            <v>VAR_fin</v>
          </cell>
          <cell r="C522" t="str">
            <v>RHNS_LTH_CHPNGA_ON</v>
          </cell>
          <cell r="E522">
            <v>8.6960438755906303E-4</v>
          </cell>
          <cell r="F522">
            <v>9.6326670660786429E-4</v>
          </cell>
          <cell r="G522">
            <v>8.0841885619835471E-4</v>
          </cell>
          <cell r="H522">
            <v>1.0312652120599947E-3</v>
          </cell>
          <cell r="I522">
            <v>5.7567390721493205E-4</v>
          </cell>
          <cell r="L522">
            <v>6.7044714185130535E-4</v>
          </cell>
          <cell r="M522">
            <v>5.4646938417352139E-4</v>
          </cell>
          <cell r="N522">
            <v>4.6399614626096427E-4</v>
          </cell>
          <cell r="O522">
            <v>9.8759521659702847E-4</v>
          </cell>
        </row>
        <row r="523">
          <cell r="A523" t="str">
            <v>RHNS-SHLTHCHPNGA</v>
          </cell>
          <cell r="B523" t="str">
            <v>VAR_ncap</v>
          </cell>
          <cell r="C523" t="str">
            <v>-</v>
          </cell>
          <cell r="E523">
            <v>9.81901005864547E-5</v>
          </cell>
          <cell r="F523">
            <v>9.1572851654461401E-5</v>
          </cell>
          <cell r="G523">
            <v>5.9370075448369201E-5</v>
          </cell>
          <cell r="H523">
            <v>6.4922062285579295E-5</v>
          </cell>
          <cell r="I523">
            <v>4.4102171062504398E-5</v>
          </cell>
          <cell r="J523">
            <v>2.5845757639986498E-7</v>
          </cell>
          <cell r="K523">
            <v>2.47292690179664E-7</v>
          </cell>
          <cell r="L523">
            <v>6.9609247348136904E-5</v>
          </cell>
          <cell r="M523">
            <v>5.0730655074846002E-5</v>
          </cell>
          <cell r="N523">
            <v>3.6672585220256299E-5</v>
          </cell>
          <cell r="O523">
            <v>9.8313766322600596E-5</v>
          </cell>
        </row>
        <row r="524">
          <cell r="A524" t="str">
            <v>RHNS-SHLTHCHPNGA</v>
          </cell>
          <cell r="B524" t="str">
            <v>VAR_cap</v>
          </cell>
          <cell r="C524" t="str">
            <v>-</v>
          </cell>
          <cell r="E524">
            <v>9.81901005864547E-5</v>
          </cell>
          <cell r="F524">
            <v>1.0736760596428731E-4</v>
          </cell>
          <cell r="G524">
            <v>9.3074859796671018E-5</v>
          </cell>
          <cell r="H524">
            <v>1.03645499693469E-4</v>
          </cell>
          <cell r="I524">
            <v>6.2779882833795004E-5</v>
          </cell>
          <cell r="J524">
            <v>-1.5744123984700643E-7</v>
          </cell>
          <cell r="K524">
            <v>-1.9417752914579459E-7</v>
          </cell>
          <cell r="L524">
            <v>6.9630067447349852E-5</v>
          </cell>
          <cell r="M524">
            <v>6.7248455437345298E-5</v>
          </cell>
          <cell r="N524">
            <v>5.7161231890679107E-5</v>
          </cell>
          <cell r="O524">
            <v>1.2162028245937611E-4</v>
          </cell>
        </row>
        <row r="525">
          <cell r="A525" t="str">
            <v>D-SCOM_LTH_CHPWOD</v>
          </cell>
          <cell r="B525" t="str">
            <v>VAR_fout</v>
          </cell>
          <cell r="C525" t="str">
            <v>SCOM_LTH_CHPWOD_ON</v>
          </cell>
          <cell r="G525">
            <v>3.2108609326478185E-4</v>
          </cell>
          <cell r="H525">
            <v>3.3610646304876423E-4</v>
          </cell>
          <cell r="I525">
            <v>3.0033835275227396E-3</v>
          </cell>
          <cell r="J525">
            <v>2.8357479461253898E-3</v>
          </cell>
          <cell r="K525">
            <v>1.7490407447579626E-3</v>
          </cell>
          <cell r="L525">
            <v>9.1622703416168404E-4</v>
          </cell>
          <cell r="M525">
            <v>9.219084943365805E-4</v>
          </cell>
          <cell r="N525">
            <v>8.1179783074288557E-4</v>
          </cell>
          <cell r="O525">
            <v>1.3353042872363732E-3</v>
          </cell>
        </row>
        <row r="526">
          <cell r="A526" t="str">
            <v>D-SCOM_LTH_CHPWOD</v>
          </cell>
          <cell r="B526" t="str">
            <v>VAR_fout</v>
          </cell>
          <cell r="C526" t="str">
            <v>LTH</v>
          </cell>
          <cell r="I526">
            <v>3.321236759794977E-6</v>
          </cell>
          <cell r="J526">
            <v>3.9174046890291044E-6</v>
          </cell>
          <cell r="K526">
            <v>2.2183646772353573E-6</v>
          </cell>
          <cell r="L526">
            <v>1.2438475544829172E-6</v>
          </cell>
          <cell r="M526">
            <v>1.52858860728493E-6</v>
          </cell>
          <cell r="N526">
            <v>1.3877351501054093E-6</v>
          </cell>
          <cell r="O526">
            <v>3.47775669374458E-6</v>
          </cell>
        </row>
        <row r="527">
          <cell r="A527" t="str">
            <v>D-SCOM_LTH_CHPWOD</v>
          </cell>
          <cell r="B527" t="str">
            <v>VAR_fin</v>
          </cell>
          <cell r="C527" t="str">
            <v>SCOM_LTH_CHPWOD</v>
          </cell>
          <cell r="G527">
            <v>3.213279840544596E-4</v>
          </cell>
          <cell r="H527">
            <v>3.3647447426309285E-4</v>
          </cell>
          <cell r="I527">
            <v>3.0078044463295287E-3</v>
          </cell>
          <cell r="J527">
            <v>2.8406386827738864E-3</v>
          </cell>
          <cell r="K527">
            <v>1.7523638854611717E-3</v>
          </cell>
          <cell r="L527">
            <v>9.1829610495989102E-4</v>
          </cell>
          <cell r="M527">
            <v>9.244923552153199E-4</v>
          </cell>
          <cell r="N527">
            <v>8.1419937845143657E-4</v>
          </cell>
          <cell r="O527">
            <v>1.3396663587373532E-3</v>
          </cell>
        </row>
        <row r="528">
          <cell r="A528" t="str">
            <v>D-SCOM_KEV_BIO_ELC_CHP</v>
          </cell>
          <cell r="B528" t="str">
            <v>VAR_fout</v>
          </cell>
          <cell r="C528" t="str">
            <v>ELC5</v>
          </cell>
          <cell r="D528">
            <v>0.95930302783148458</v>
          </cell>
          <cell r="E528">
            <v>1.1059186122283542</v>
          </cell>
          <cell r="F528">
            <v>1.105945623055469</v>
          </cell>
          <cell r="G528">
            <v>1.1058842492227465</v>
          </cell>
          <cell r="H528">
            <v>0.5550507458098527</v>
          </cell>
          <cell r="I528">
            <v>0.67052177138419744</v>
          </cell>
          <cell r="J528">
            <v>1.2682917093210826</v>
          </cell>
          <cell r="K528">
            <v>1.9179410577727352</v>
          </cell>
          <cell r="L528">
            <v>2.141964910908746</v>
          </cell>
          <cell r="M528">
            <v>2.597675037257587</v>
          </cell>
          <cell r="N528">
            <v>2.9131421298566114</v>
          </cell>
          <cell r="O528">
            <v>3.4566118200087423</v>
          </cell>
        </row>
        <row r="529">
          <cell r="A529" t="str">
            <v>D-SCOM_KEV_BIO_ELC_CHP</v>
          </cell>
          <cell r="B529" t="str">
            <v>VAR_fout</v>
          </cell>
          <cell r="C529" t="str">
            <v>SCOM_ELC</v>
          </cell>
          <cell r="D529">
            <v>6.1908064295945593E-5</v>
          </cell>
          <cell r="E529">
            <v>2.3143315637490725E-5</v>
          </cell>
          <cell r="F529">
            <v>3.7980057884134483E-5</v>
          </cell>
          <cell r="G529">
            <v>1.0074023528536078E-4</v>
          </cell>
          <cell r="H529">
            <v>0.55264767932751135</v>
          </cell>
          <cell r="I529">
            <v>0.66973221781742798</v>
          </cell>
          <cell r="J529">
            <v>1.2581640077236103</v>
          </cell>
          <cell r="K529">
            <v>1.9188670109168762</v>
          </cell>
          <cell r="L529">
            <v>2.1202927914597796</v>
          </cell>
          <cell r="M529">
            <v>2.6023401226995806</v>
          </cell>
          <cell r="N529">
            <v>2.9093342989638384</v>
          </cell>
          <cell r="O529">
            <v>3.4947530727111333</v>
          </cell>
        </row>
        <row r="530">
          <cell r="A530" t="str">
            <v>D-SCOM_KEV_BIO_ELC_CHP</v>
          </cell>
          <cell r="B530" t="str">
            <v>VAR_fin</v>
          </cell>
          <cell r="C530" t="str">
            <v>SCOM_KEV_BIO_ELC_CHP</v>
          </cell>
          <cell r="D530">
            <v>0.95936493589577942</v>
          </cell>
          <cell r="E530">
            <v>1.1059417555439905</v>
          </cell>
          <cell r="F530">
            <v>1.1059832162553229</v>
          </cell>
          <cell r="G530">
            <v>1.1059844091620241</v>
          </cell>
          <cell r="H530">
            <v>1.1076967880855895</v>
          </cell>
          <cell r="I530">
            <v>1.3402525745503058</v>
          </cell>
          <cell r="J530">
            <v>2.526454076856965</v>
          </cell>
          <cell r="K530">
            <v>3.8368055334813187</v>
          </cell>
          <cell r="L530">
            <v>4.2622552558167834</v>
          </cell>
          <cell r="M530">
            <v>5.2000120914270589</v>
          </cell>
          <cell r="N530">
            <v>5.8224732321660859</v>
          </cell>
          <cell r="O530">
            <v>6.9513599220855751</v>
          </cell>
        </row>
        <row r="531">
          <cell r="A531" t="str">
            <v>RHES-SHLTHCHPWOD</v>
          </cell>
          <cell r="B531" t="str">
            <v>VAR_fout</v>
          </cell>
          <cell r="C531" t="str">
            <v>RHES-SHLTHC-WOD</v>
          </cell>
          <cell r="G531">
            <v>1.4372765339320964E-4</v>
          </cell>
          <cell r="H531">
            <v>2.8195392260383192E-4</v>
          </cell>
          <cell r="I531">
            <v>9.4760072742382305E-4</v>
          </cell>
          <cell r="J531">
            <v>4.2264754575704619E-3</v>
          </cell>
          <cell r="K531">
            <v>4.2834870015771125E-3</v>
          </cell>
          <cell r="L531">
            <v>3.1961573570526806E-3</v>
          </cell>
          <cell r="M531">
            <v>1.8182105999806114E-3</v>
          </cell>
          <cell r="N531">
            <v>1.8243185896733489E-3</v>
          </cell>
          <cell r="O531">
            <v>2.2095662591908793E-3</v>
          </cell>
        </row>
        <row r="532">
          <cell r="A532" t="str">
            <v>RHES-SHLTHCHPWOD</v>
          </cell>
          <cell r="B532" t="str">
            <v>VAR_fin</v>
          </cell>
          <cell r="C532" t="str">
            <v>RHESLTHCHPC</v>
          </cell>
          <cell r="G532">
            <v>1.4372765339320964E-4</v>
          </cell>
          <cell r="H532">
            <v>2.8195392260383192E-4</v>
          </cell>
          <cell r="I532">
            <v>9.4760072742382305E-4</v>
          </cell>
          <cell r="J532">
            <v>4.2264754575704619E-3</v>
          </cell>
          <cell r="K532">
            <v>4.2834870015771125E-3</v>
          </cell>
          <cell r="L532">
            <v>3.1961573570526806E-3</v>
          </cell>
          <cell r="M532">
            <v>1.8182105999806114E-3</v>
          </cell>
          <cell r="N532">
            <v>1.8243185896733489E-3</v>
          </cell>
          <cell r="O532">
            <v>2.2095662591908793E-3</v>
          </cell>
        </row>
        <row r="533">
          <cell r="A533" t="str">
            <v>RHES-SHLTHCHPWOD</v>
          </cell>
          <cell r="B533" t="str">
            <v>VAR_fin</v>
          </cell>
          <cell r="C533" t="str">
            <v>RHES_LTH_CHPWOD_ON</v>
          </cell>
          <cell r="G533">
            <v>1.4517944787192886E-4</v>
          </cell>
          <cell r="H533">
            <v>2.848019420240729E-4</v>
          </cell>
          <cell r="I533">
            <v>9.5717245194325512E-4</v>
          </cell>
          <cell r="J533">
            <v>4.2691671288590501E-3</v>
          </cell>
          <cell r="K533">
            <v>4.3267545470475881E-3</v>
          </cell>
          <cell r="L533">
            <v>3.2284417748006883E-3</v>
          </cell>
          <cell r="M533">
            <v>1.836576363616779E-3</v>
          </cell>
          <cell r="N533">
            <v>1.8427460501751001E-3</v>
          </cell>
          <cell r="O533">
            <v>2.2318851102938178E-3</v>
          </cell>
        </row>
        <row r="534">
          <cell r="A534" t="str">
            <v>RHES-SHLTHCHPWOD</v>
          </cell>
          <cell r="B534" t="str">
            <v>VAR_ncap</v>
          </cell>
          <cell r="C534" t="str">
            <v>-</v>
          </cell>
          <cell r="G534">
            <v>1.9605699341953901E-5</v>
          </cell>
          <cell r="H534">
            <v>2.7659576276100699E-5</v>
          </cell>
          <cell r="I534">
            <v>9.21517887711889E-5</v>
          </cell>
          <cell r="J534">
            <v>3.4136386872267698E-4</v>
          </cell>
          <cell r="K534">
            <v>2.96384110017292E-4</v>
          </cell>
          <cell r="L534">
            <v>1.9495578788594899E-4</v>
          </cell>
          <cell r="M534">
            <v>1.08454618281602E-4</v>
          </cell>
          <cell r="N534">
            <v>1.202818250203E-4</v>
          </cell>
          <cell r="O534">
            <v>1.6162799505666501E-4</v>
          </cell>
        </row>
        <row r="535">
          <cell r="A535" t="str">
            <v>RHES-SHLTHCHPWOD</v>
          </cell>
          <cell r="B535" t="str">
            <v>VAR_cap</v>
          </cell>
          <cell r="C535" t="str">
            <v>-</v>
          </cell>
          <cell r="G535">
            <v>1.9605699341953901E-5</v>
          </cell>
          <cell r="H535">
            <v>3.4291168675638995E-5</v>
          </cell>
          <cell r="I535">
            <v>1.058218534018918E-4</v>
          </cell>
          <cell r="J535">
            <v>3.8972633278502075E-4</v>
          </cell>
          <cell r="K535">
            <v>3.9535581775799696E-4</v>
          </cell>
          <cell r="L535">
            <v>2.9576660727415808E-4</v>
          </cell>
          <cell r="M535">
            <v>1.7703689950350498E-4</v>
          </cell>
          <cell r="N535">
            <v>1.7622218752745997E-4</v>
          </cell>
          <cell r="O535">
            <v>2.2784959624701798E-4</v>
          </cell>
        </row>
        <row r="536">
          <cell r="A536" t="str">
            <v>RHES-SHSTG-NGAHP</v>
          </cell>
          <cell r="B536" t="str">
            <v>VAR_fout</v>
          </cell>
          <cell r="C536" t="str">
            <v>RHES-SHANGAH</v>
          </cell>
          <cell r="F536">
            <v>3.4947082642508603E-5</v>
          </cell>
          <cell r="G536">
            <v>3.8843982477120087E-5</v>
          </cell>
          <cell r="H536">
            <v>0.33474284493127909</v>
          </cell>
          <cell r="I536">
            <v>0.61554495457738923</v>
          </cell>
          <cell r="J536">
            <v>0.6406854803975135</v>
          </cell>
          <cell r="K536">
            <v>0.35894621510544467</v>
          </cell>
          <cell r="L536">
            <v>6.0054736393474632E-2</v>
          </cell>
          <cell r="M536">
            <v>5.6433360019365739E-5</v>
          </cell>
          <cell r="N536">
            <v>5.7771089631976123E-5</v>
          </cell>
          <cell r="O536">
            <v>6.1615609821330584E-5</v>
          </cell>
        </row>
        <row r="537">
          <cell r="A537" t="str">
            <v>RHES-SHSTG-NGAHP</v>
          </cell>
          <cell r="B537" t="str">
            <v>VAR_fin</v>
          </cell>
          <cell r="C537" t="str">
            <v>RHES-SHANGAH</v>
          </cell>
          <cell r="F537">
            <v>3.5433254081119145E-5</v>
          </cell>
          <cell r="G537">
            <v>3.8349344640557251E-5</v>
          </cell>
          <cell r="H537">
            <v>0.33476268029836281</v>
          </cell>
          <cell r="I537">
            <v>0.61558280952656652</v>
          </cell>
          <cell r="J537">
            <v>0.64072253089026243</v>
          </cell>
          <cell r="K537">
            <v>0.35896529803885724</v>
          </cell>
          <cell r="L537">
            <v>6.0058365543992596E-2</v>
          </cell>
          <cell r="M537">
            <v>5.8854703572186001E-5</v>
          </cell>
          <cell r="N537">
            <v>5.9080601399190034E-5</v>
          </cell>
          <cell r="O537">
            <v>6.7124338622056166E-5</v>
          </cell>
        </row>
        <row r="538">
          <cell r="A538" t="str">
            <v>RHES-SHSTG-NGAHP</v>
          </cell>
          <cell r="B538" t="str">
            <v>VAR_ncap</v>
          </cell>
          <cell r="C538" t="str">
            <v>-</v>
          </cell>
          <cell r="D538">
            <v>2.0375316916363198E-6</v>
          </cell>
          <cell r="E538">
            <v>1.5335713113154999E-6</v>
          </cell>
          <cell r="F538">
            <v>1.0833227696764E-5</v>
          </cell>
          <cell r="G538">
            <v>5.1691279587605002E-6</v>
          </cell>
          <cell r="H538">
            <v>4.2853834142979497E-2</v>
          </cell>
          <cell r="I538">
            <v>5.0745441038187199E-2</v>
          </cell>
          <cell r="J538">
            <v>2.03259962382624E-5</v>
          </cell>
          <cell r="K538">
            <v>3.5466784647189598E-5</v>
          </cell>
          <cell r="L538">
            <v>2.33425187787215E-5</v>
          </cell>
          <cell r="M538">
            <v>1.2381599872735301E-5</v>
          </cell>
          <cell r="N538">
            <v>1.3793498852677399E-5</v>
          </cell>
          <cell r="O538">
            <v>1.5708939023381499E-5</v>
          </cell>
        </row>
        <row r="539">
          <cell r="A539" t="str">
            <v>RHES-SHSTG-NGAHP</v>
          </cell>
          <cell r="B539" t="str">
            <v>VAR_cap</v>
          </cell>
          <cell r="C539" t="str">
            <v>-</v>
          </cell>
          <cell r="D539">
            <v>2.0375316916363198E-6</v>
          </cell>
          <cell r="E539">
            <v>9.0379498629639795E-8</v>
          </cell>
          <cell r="F539">
            <v>1.0049870140066371E-5</v>
          </cell>
          <cell r="G539">
            <v>1.0925653762321691E-5</v>
          </cell>
          <cell r="H539">
            <v>4.2861561174881581E-2</v>
          </cell>
          <cell r="I539">
            <v>9.3598933594156608E-2</v>
          </cell>
          <cell r="J539">
            <v>9.3596826424504717E-2</v>
          </cell>
          <cell r="K539">
            <v>5.0745405735072802E-2</v>
          </cell>
          <cell r="L539">
            <v>7.7974314200322387E-3</v>
          </cell>
          <cell r="M539">
            <v>1.95832126160103E-5</v>
          </cell>
          <cell r="N539">
            <v>1.9811584370213905E-5</v>
          </cell>
          <cell r="O539">
            <v>2.3521415661968096E-5</v>
          </cell>
        </row>
        <row r="540">
          <cell r="A540" t="str">
            <v>D-RHNS_SOLELC</v>
          </cell>
          <cell r="B540" t="str">
            <v>VAR_fout</v>
          </cell>
          <cell r="C540" t="str">
            <v>RHNS_ELC</v>
          </cell>
          <cell r="E540">
            <v>1.1628256814811926E-6</v>
          </cell>
          <cell r="F540">
            <v>1.0595429260974384E-4</v>
          </cell>
          <cell r="G540">
            <v>2.4663383285331117E-4</v>
          </cell>
          <cell r="H540">
            <v>2.4362154498472639E-4</v>
          </cell>
          <cell r="I540">
            <v>2.6182892329326349E-4</v>
          </cell>
          <cell r="J540">
            <v>2.7226241300075968E-4</v>
          </cell>
          <cell r="K540">
            <v>2.5827959194811356E-4</v>
          </cell>
          <cell r="L540">
            <v>2.843892133875565E-4</v>
          </cell>
          <cell r="M540">
            <v>2.8735363742563957E-4</v>
          </cell>
          <cell r="N540">
            <v>3.0696945718506052E-4</v>
          </cell>
          <cell r="O540">
            <v>4.4834188515698427E-4</v>
          </cell>
        </row>
        <row r="541">
          <cell r="A541" t="str">
            <v>D-RHNS_SOLELC</v>
          </cell>
          <cell r="B541" t="str">
            <v>VAR_fout</v>
          </cell>
          <cell r="C541" t="str">
            <v>ELC5</v>
          </cell>
          <cell r="E541">
            <v>1.1578117334562054E-6</v>
          </cell>
          <cell r="F541">
            <v>1.0636322801033153E-4</v>
          </cell>
          <cell r="G541">
            <v>2.4828003830859271E-4</v>
          </cell>
          <cell r="H541">
            <v>2.4332522958270283E-4</v>
          </cell>
          <cell r="I541">
            <v>2.6052407144455989E-4</v>
          </cell>
          <cell r="J541">
            <v>2.7070770344602416E-4</v>
          </cell>
          <cell r="K541">
            <v>2.5521552778852685E-4</v>
          </cell>
          <cell r="L541">
            <v>2.8188298123838732E-4</v>
          </cell>
          <cell r="M541">
            <v>2.833472307861655E-4</v>
          </cell>
          <cell r="N541">
            <v>3.0364897907497019E-4</v>
          </cell>
          <cell r="O541">
            <v>4.4083221849215958E-4</v>
          </cell>
        </row>
        <row r="542">
          <cell r="A542" t="str">
            <v>D-RHNS_SOLELC</v>
          </cell>
          <cell r="B542" t="str">
            <v>VAR_fin</v>
          </cell>
          <cell r="C542" t="str">
            <v>RHNS_SOL_ELC</v>
          </cell>
          <cell r="E542">
            <v>2.6356318125019649E-6</v>
          </cell>
          <cell r="F542">
            <v>2.1232879326811143E-4</v>
          </cell>
          <cell r="G542">
            <v>4.9498114621845403E-4</v>
          </cell>
          <cell r="H542">
            <v>4.8700325868101591E-4</v>
          </cell>
          <cell r="I542">
            <v>5.2242619856912381E-4</v>
          </cell>
          <cell r="J542">
            <v>5.4302628707530412E-4</v>
          </cell>
          <cell r="K542">
            <v>5.1353204374439225E-4</v>
          </cell>
          <cell r="L542">
            <v>5.6631061349045721E-4</v>
          </cell>
          <cell r="M542">
            <v>5.7072085365249812E-4</v>
          </cell>
          <cell r="N542">
            <v>6.1061843626003087E-4</v>
          </cell>
          <cell r="O542">
            <v>8.8919657044506421E-4</v>
          </cell>
        </row>
        <row r="543">
          <cell r="A543" t="str">
            <v>D-IHFO</v>
          </cell>
          <cell r="B543" t="str">
            <v>VAR_fout</v>
          </cell>
          <cell r="C543" t="str">
            <v>CO2</v>
          </cell>
          <cell r="D543">
            <v>213.78046833037999</v>
          </cell>
          <cell r="E543">
            <v>197.86686925474399</v>
          </cell>
          <cell r="F543">
            <v>7.3651369189197E-2</v>
          </cell>
          <cell r="G543">
            <v>1.03839182896204E-2</v>
          </cell>
          <cell r="H543">
            <v>6.6410798068716201E-3</v>
          </cell>
          <cell r="I543">
            <v>4.3590438371188103E-2</v>
          </cell>
          <cell r="J543">
            <v>2.6711323483115602E-2</v>
          </cell>
        </row>
        <row r="544">
          <cell r="A544" t="str">
            <v>D-IHFO</v>
          </cell>
          <cell r="B544" t="str">
            <v>VAR_fout</v>
          </cell>
          <cell r="C544" t="str">
            <v>IHFO</v>
          </cell>
          <cell r="D544">
            <v>2.7300011087076101</v>
          </cell>
          <cell r="E544">
            <v>2.5267826226629686</v>
          </cell>
          <cell r="F544">
            <v>9.4053643494506126E-4</v>
          </cell>
          <cell r="G544">
            <v>1.3260382795861046E-4</v>
          </cell>
          <cell r="H544">
            <v>8.4807351098869287E-5</v>
          </cell>
          <cell r="I544">
            <v>5.5665489935444624E-4</v>
          </cell>
          <cell r="J544">
            <v>3.4110666560641258E-4</v>
          </cell>
        </row>
        <row r="545">
          <cell r="A545" t="str">
            <v>D-IHFO</v>
          </cell>
          <cell r="B545" t="str">
            <v>VAR_fin</v>
          </cell>
          <cell r="C545" t="str">
            <v>HFO</v>
          </cell>
          <cell r="D545">
            <v>2.7763697185763672</v>
          </cell>
          <cell r="E545">
            <v>2.5696996007109654</v>
          </cell>
          <cell r="F545">
            <v>9.5651128817138904E-4</v>
          </cell>
          <cell r="G545">
            <v>1.3485608168338178E-4</v>
          </cell>
          <cell r="H545">
            <v>8.6247789699631428E-5</v>
          </cell>
          <cell r="I545">
            <v>5.6610958923620884E-4</v>
          </cell>
          <cell r="J545">
            <v>3.469003049755275E-4</v>
          </cell>
        </row>
        <row r="546">
          <cell r="A546" t="str">
            <v>RHEM-SHCONBR</v>
          </cell>
          <cell r="B546" t="str">
            <v>VAR_fout</v>
          </cell>
          <cell r="C546" t="str">
            <v>RHEM-SHCON</v>
          </cell>
          <cell r="F546">
            <v>4.1708909394180458E-5</v>
          </cell>
          <cell r="G546">
            <v>3.5053420765966351E-5</v>
          </cell>
          <cell r="H546">
            <v>6.809248588308512E-5</v>
          </cell>
          <cell r="I546">
            <v>6.9239458207584796E-5</v>
          </cell>
          <cell r="J546">
            <v>7.2602580769959624E-5</v>
          </cell>
          <cell r="K546">
            <v>1.6269605119561477E-4</v>
          </cell>
          <cell r="L546">
            <v>1.5732030888244912E-4</v>
          </cell>
          <cell r="M546">
            <v>1.6123256623666151E-4</v>
          </cell>
          <cell r="N546">
            <v>1.2470370666715958</v>
          </cell>
          <cell r="O546">
            <v>0.56120588800677984</v>
          </cell>
        </row>
        <row r="547">
          <cell r="A547" t="str">
            <v>RHEM-SHCONBR</v>
          </cell>
          <cell r="B547" t="str">
            <v>VAR_fin</v>
          </cell>
          <cell r="C547" t="str">
            <v>CON</v>
          </cell>
          <cell r="F547">
            <v>4.1708909394180458E-5</v>
          </cell>
          <cell r="G547">
            <v>3.5053420765966351E-5</v>
          </cell>
          <cell r="H547">
            <v>6.809248588308512E-5</v>
          </cell>
          <cell r="I547">
            <v>6.9239458207584796E-5</v>
          </cell>
          <cell r="J547">
            <v>7.2602580769959624E-5</v>
          </cell>
          <cell r="K547">
            <v>1.6269605119561477E-4</v>
          </cell>
          <cell r="L547">
            <v>1.5732030888244912E-4</v>
          </cell>
          <cell r="M547">
            <v>1.6123256623666151E-4</v>
          </cell>
          <cell r="N547">
            <v>1.2470370666715958</v>
          </cell>
          <cell r="O547">
            <v>0.56120588800677984</v>
          </cell>
        </row>
        <row r="548">
          <cell r="A548" t="str">
            <v>RHEM-SHCONBR</v>
          </cell>
          <cell r="B548" t="str">
            <v>VAR_ncap</v>
          </cell>
          <cell r="C548" t="str">
            <v>-</v>
          </cell>
          <cell r="F548">
            <v>2.2973536125932099E-6</v>
          </cell>
          <cell r="G548">
            <v>3.04709209293421E-8</v>
          </cell>
          <cell r="H548">
            <v>2.18957496805343E-6</v>
          </cell>
          <cell r="I548">
            <v>9.2880379885421996E-8</v>
          </cell>
          <cell r="J548">
            <v>1.2708586197155201E-7</v>
          </cell>
          <cell r="K548">
            <v>5.8839605879558396E-6</v>
          </cell>
          <cell r="L548">
            <v>2.15780974947051E-7</v>
          </cell>
          <cell r="M548">
            <v>6.4738663523938003E-8</v>
          </cell>
          <cell r="N548">
            <v>8.8048902063981804E-2</v>
          </cell>
          <cell r="O548">
            <v>1.6779387108531399E-8</v>
          </cell>
        </row>
        <row r="549">
          <cell r="A549" t="str">
            <v>RHEM-SHCONBR</v>
          </cell>
          <cell r="B549" t="str">
            <v>VAR_cap</v>
          </cell>
          <cell r="C549" t="str">
            <v>-</v>
          </cell>
          <cell r="E549">
            <v>-9.5309977873395095E-8</v>
          </cell>
          <cell r="F549">
            <v>2.2973536125932099E-6</v>
          </cell>
          <cell r="G549">
            <v>2.3278245335225498E-6</v>
          </cell>
          <cell r="H549">
            <v>4.5173995015759798E-6</v>
          </cell>
          <cell r="I549">
            <v>4.6102798814614101E-6</v>
          </cell>
          <cell r="J549">
            <v>4.7373657434329597E-6</v>
          </cell>
          <cell r="K549">
            <v>1.0526182268462822E-5</v>
          </cell>
          <cell r="L549">
            <v>1.08371073063358E-5</v>
          </cell>
          <cell r="M549">
            <v>1.0711087223873426E-5</v>
          </cell>
          <cell r="N549">
            <v>8.8059803909951703E-2</v>
          </cell>
          <cell r="O549">
            <v>8.8059820689338805E-2</v>
          </cell>
        </row>
        <row r="550">
          <cell r="A550" t="str">
            <v>RHEM-SHSOLBR</v>
          </cell>
          <cell r="B550" t="str">
            <v>VAR_fout</v>
          </cell>
          <cell r="C550" t="str">
            <v>RHEM-SHASOL</v>
          </cell>
          <cell r="D550">
            <v>0.40801159501319989</v>
          </cell>
          <cell r="E550">
            <v>0.47087316348653963</v>
          </cell>
          <cell r="F550">
            <v>0.47078436954116876</v>
          </cell>
          <cell r="G550">
            <v>0.47082873228223809</v>
          </cell>
          <cell r="H550">
            <v>0.47018812351953487</v>
          </cell>
          <cell r="I550">
            <v>0.46315667743355393</v>
          </cell>
          <cell r="J550">
            <v>0.45986878308415652</v>
          </cell>
          <cell r="K550">
            <v>1.6234908053481467</v>
          </cell>
          <cell r="L550">
            <v>1.6083668559127964</v>
          </cell>
          <cell r="M550">
            <v>1.6705542267365385</v>
          </cell>
          <cell r="N550">
            <v>1.6621234479602369</v>
          </cell>
          <cell r="O550">
            <v>1.4527833038404934</v>
          </cell>
        </row>
        <row r="551">
          <cell r="A551" t="str">
            <v>RHEM-SHSOLBR</v>
          </cell>
          <cell r="B551" t="str">
            <v>VAR_fin</v>
          </cell>
          <cell r="C551" t="str">
            <v>SOL</v>
          </cell>
          <cell r="D551">
            <v>0.40801159501319989</v>
          </cell>
          <cell r="E551">
            <v>0.47087316348653963</v>
          </cell>
          <cell r="F551">
            <v>0.47078436954116876</v>
          </cell>
          <cell r="G551">
            <v>0.47082873228223809</v>
          </cell>
          <cell r="H551">
            <v>0.47018812351953487</v>
          </cell>
          <cell r="I551">
            <v>0.46315667743355393</v>
          </cell>
          <cell r="J551">
            <v>0.45986878308415652</v>
          </cell>
          <cell r="K551">
            <v>1.6234908053481467</v>
          </cell>
          <cell r="L551">
            <v>1.6083668559127964</v>
          </cell>
          <cell r="M551">
            <v>1.6705542267365385</v>
          </cell>
          <cell r="N551">
            <v>1.6621234479602369</v>
          </cell>
          <cell r="O551">
            <v>1.4527833038404934</v>
          </cell>
        </row>
        <row r="552">
          <cell r="A552" t="str">
            <v>RHEM-SHSOLBR</v>
          </cell>
          <cell r="B552" t="str">
            <v>VAR_ncap</v>
          </cell>
          <cell r="C552" t="str">
            <v>-</v>
          </cell>
          <cell r="D552">
            <v>5.8860871024258198E-6</v>
          </cell>
          <cell r="E552">
            <v>9.1264532174034404E-3</v>
          </cell>
          <cell r="F552">
            <v>1.82165732089031E-7</v>
          </cell>
          <cell r="G552">
            <v>3.87540488486057E-7</v>
          </cell>
          <cell r="H552">
            <v>4.83433137167147E-2</v>
          </cell>
          <cell r="I552">
            <v>2.0044778019596799E-2</v>
          </cell>
          <cell r="J552">
            <v>1.61142108109676E-6</v>
          </cell>
          <cell r="K552">
            <v>0.30129423391081001</v>
          </cell>
          <cell r="L552">
            <v>1.6969943314698401E-2</v>
          </cell>
          <cell r="M552">
            <v>1.5170368961693799E-2</v>
          </cell>
          <cell r="N552">
            <v>0.25357735871002002</v>
          </cell>
          <cell r="O552">
            <v>6.4956373422537503E-2</v>
          </cell>
        </row>
        <row r="553">
          <cell r="A553" t="str">
            <v>RHEM-SHSOLBR</v>
          </cell>
          <cell r="B553" t="str">
            <v>VAR_cap</v>
          </cell>
          <cell r="C553" t="str">
            <v>-</v>
          </cell>
          <cell r="D553">
            <v>5.9260807504140728E-2</v>
          </cell>
          <cell r="E553">
            <v>6.8387260721544163E-2</v>
          </cell>
          <cell r="F553">
            <v>6.8387442887276245E-2</v>
          </cell>
          <cell r="G553">
            <v>6.8387830427764737E-2</v>
          </cell>
          <cell r="H553">
            <v>6.8388137934313295E-2</v>
          </cell>
          <cell r="I553">
            <v>6.8388443802684995E-2</v>
          </cell>
          <cell r="J553">
            <v>6.8389703157392498E-2</v>
          </cell>
          <cell r="K553">
            <v>0.321340623351488</v>
          </cell>
          <cell r="L553">
            <v>0.32134553702402902</v>
          </cell>
          <cell r="M553">
            <v>0.33343454618720297</v>
          </cell>
          <cell r="N553">
            <v>0.33370378080904001</v>
          </cell>
          <cell r="O553">
            <v>0.33370410109425103</v>
          </cell>
        </row>
        <row r="554">
          <cell r="A554" t="str">
            <v>SCOM-SHH2BR</v>
          </cell>
          <cell r="B554" t="str">
            <v>VAR_fout</v>
          </cell>
          <cell r="C554" t="str">
            <v>SCOM-SHH2B</v>
          </cell>
          <cell r="G554">
            <v>2.240390895376971E-4</v>
          </cell>
          <cell r="H554">
            <v>7.1302137213360789E-2</v>
          </cell>
          <cell r="I554">
            <v>0.43648125773745688</v>
          </cell>
          <cell r="J554">
            <v>0.46538220127310037</v>
          </cell>
          <cell r="K554">
            <v>1.6066094084990572</v>
          </cell>
          <cell r="L554">
            <v>1.5824685842491588</v>
          </cell>
          <cell r="M554">
            <v>1.5935597815711706</v>
          </cell>
          <cell r="N554">
            <v>0.12152109021943264</v>
          </cell>
          <cell r="O554">
            <v>3.0386948823867763E-3</v>
          </cell>
        </row>
        <row r="555">
          <cell r="A555" t="str">
            <v>SCOM-SHH2BR</v>
          </cell>
          <cell r="B555" t="str">
            <v>VAR_fin</v>
          </cell>
          <cell r="C555" t="str">
            <v>RSH2</v>
          </cell>
          <cell r="G555">
            <v>2.3662555524206168E-4</v>
          </cell>
          <cell r="H555">
            <v>7.5307875259055121E-2</v>
          </cell>
          <cell r="I555">
            <v>0.46100267671147066</v>
          </cell>
          <cell r="J555">
            <v>0.49152726876035285</v>
          </cell>
          <cell r="K555">
            <v>1.6968683640327129</v>
          </cell>
          <cell r="L555">
            <v>1.6713713137013573</v>
          </cell>
          <cell r="M555">
            <v>1.6830856119965176</v>
          </cell>
          <cell r="N555">
            <v>0.12834811775985017</v>
          </cell>
          <cell r="O555">
            <v>3.2094080780264832E-3</v>
          </cell>
        </row>
        <row r="556">
          <cell r="A556" t="str">
            <v>SCOM-SHH2BR</v>
          </cell>
          <cell r="B556" t="str">
            <v>VAR_ncap</v>
          </cell>
          <cell r="C556" t="str">
            <v>-</v>
          </cell>
          <cell r="G556">
            <v>2.8508880372375199E-5</v>
          </cell>
          <cell r="H556">
            <v>5.7174116033995399E-3</v>
          </cell>
          <cell r="I556">
            <v>3.1020951446102299E-2</v>
          </cell>
          <cell r="J556">
            <v>5.2488984006677101E-6</v>
          </cell>
          <cell r="K556">
            <v>0.12539286582369999</v>
          </cell>
          <cell r="L556">
            <v>1.4098879667783899E-2</v>
          </cell>
          <cell r="M556">
            <v>3.4737577773912599E-6</v>
          </cell>
          <cell r="N556">
            <v>1.60221669735562E-6</v>
          </cell>
          <cell r="O556">
            <v>3.43569911410284E-4</v>
          </cell>
        </row>
        <row r="557">
          <cell r="A557" t="str">
            <v>SCOM-SHH2BR</v>
          </cell>
          <cell r="B557" t="str">
            <v>VAR_cap</v>
          </cell>
          <cell r="C557" t="str">
            <v>-</v>
          </cell>
          <cell r="G557">
            <v>2.8508880372375199E-5</v>
          </cell>
          <cell r="H557">
            <v>5.7457430683386631E-3</v>
          </cell>
          <cell r="I557">
            <v>3.6761041300831583E-2</v>
          </cell>
          <cell r="J557">
            <v>3.6742996818406141E-2</v>
          </cell>
          <cell r="K557">
            <v>0.15641731837305153</v>
          </cell>
          <cell r="L557">
            <v>0.14426182123364334</v>
          </cell>
          <cell r="M557">
            <v>0.1394944409314946</v>
          </cell>
          <cell r="N557">
            <v>1.8869607895200605E-2</v>
          </cell>
          <cell r="O557">
            <v>3.4761724461470879E-4</v>
          </cell>
        </row>
        <row r="558">
          <cell r="A558" t="str">
            <v>ITOT-SWHCONBR1</v>
          </cell>
          <cell r="B558" t="str">
            <v>VAR_fout</v>
          </cell>
          <cell r="C558" t="str">
            <v>ITOT-ELS</v>
          </cell>
          <cell r="E558">
            <v>0.85059399541292158</v>
          </cell>
          <cell r="F558">
            <v>0.8505943663539467</v>
          </cell>
          <cell r="G558">
            <v>0.97004236496510066</v>
          </cell>
          <cell r="H558">
            <v>0.97004114530719121</v>
          </cell>
          <cell r="I558">
            <v>0.96565204119901771</v>
          </cell>
          <cell r="J558">
            <v>0.96303884623624159</v>
          </cell>
          <cell r="K558">
            <v>0.96999518749926761</v>
          </cell>
          <cell r="L558">
            <v>0.96987249070106107</v>
          </cell>
          <cell r="M558">
            <v>0.97003039988428053</v>
          </cell>
          <cell r="N558">
            <v>0.97003391423965102</v>
          </cell>
          <cell r="O558">
            <v>0.97002042394014043</v>
          </cell>
        </row>
        <row r="559">
          <cell r="A559" t="str">
            <v>ITOT-SWHCONBR1</v>
          </cell>
          <cell r="B559" t="str">
            <v>VAR_fout</v>
          </cell>
          <cell r="C559" t="str">
            <v>ITOT-SWHC</v>
          </cell>
          <cell r="E559">
            <v>4.0435967931799954</v>
          </cell>
          <cell r="F559">
            <v>4.043598556578222</v>
          </cell>
          <cell r="G559">
            <v>4.6114364989344381</v>
          </cell>
          <cell r="H559">
            <v>4.6114307008629316</v>
          </cell>
          <cell r="I559">
            <v>4.5905655555733409</v>
          </cell>
          <cell r="J559">
            <v>4.5781428170771683</v>
          </cell>
          <cell r="K559">
            <v>4.6112122243092006</v>
          </cell>
          <cell r="L559">
            <v>4.6106289420588746</v>
          </cell>
          <cell r="M559">
            <v>4.6113796187275549</v>
          </cell>
          <cell r="N559">
            <v>4.6113963254480153</v>
          </cell>
          <cell r="O559">
            <v>4.6113321945793135</v>
          </cell>
        </row>
        <row r="560">
          <cell r="A560" t="str">
            <v>ITOT-SWHCONBR1</v>
          </cell>
          <cell r="B560" t="str">
            <v>VAR_fin</v>
          </cell>
          <cell r="C560" t="str">
            <v>CON</v>
          </cell>
          <cell r="E560">
            <v>4.8941907885929163</v>
          </cell>
          <cell r="F560">
            <v>4.8941929229321657</v>
          </cell>
          <cell r="G560">
            <v>5.5814788638995392</v>
          </cell>
          <cell r="H560">
            <v>5.5814718461701256</v>
          </cell>
          <cell r="I560">
            <v>5.5562175967723642</v>
          </cell>
          <cell r="J560">
            <v>5.5411816633134023</v>
          </cell>
          <cell r="K560">
            <v>5.5812074118084682</v>
          </cell>
          <cell r="L560">
            <v>5.5805014327599327</v>
          </cell>
          <cell r="M560">
            <v>5.5814100186118365</v>
          </cell>
          <cell r="N560">
            <v>5.5814302396876698</v>
          </cell>
          <cell r="O560">
            <v>5.5813526185194551</v>
          </cell>
        </row>
        <row r="561">
          <cell r="A561" t="str">
            <v>ITOT-SWHCONBR1</v>
          </cell>
          <cell r="B561" t="str">
            <v>VAR_ncap</v>
          </cell>
          <cell r="C561" t="str">
            <v>-</v>
          </cell>
          <cell r="E561">
            <v>0.26616264704497999</v>
          </cell>
          <cell r="F561">
            <v>6.1769017468379696E-7</v>
          </cell>
          <cell r="G561">
            <v>3.7374853150817698E-2</v>
          </cell>
          <cell r="H561">
            <v>0.129796128491557</v>
          </cell>
          <cell r="I561">
            <v>0.14210681388488799</v>
          </cell>
          <cell r="J561">
            <v>2.94568789276256E-2</v>
          </cell>
          <cell r="K561">
            <v>0.13197409089494799</v>
          </cell>
          <cell r="L561">
            <v>0.124174930431157</v>
          </cell>
          <cell r="M561">
            <v>4.7388841534646703E-2</v>
          </cell>
          <cell r="N561">
            <v>0.147963944377736</v>
          </cell>
          <cell r="O561">
            <v>0.108184371003042</v>
          </cell>
        </row>
        <row r="562">
          <cell r="A562" t="str">
            <v>ITOT-SWHCONBR1</v>
          </cell>
          <cell r="B562" t="str">
            <v>VAR_cap</v>
          </cell>
          <cell r="C562" t="str">
            <v>-</v>
          </cell>
          <cell r="E562">
            <v>0.26616264704497999</v>
          </cell>
          <cell r="F562">
            <v>0.266163264735155</v>
          </cell>
          <cell r="G562">
            <v>0.30353811788597301</v>
          </cell>
          <cell r="H562">
            <v>0.30353838102923603</v>
          </cell>
          <cell r="I562">
            <v>0.30216747680832801</v>
          </cell>
          <cell r="J562">
            <v>0.30135982130407002</v>
          </cell>
          <cell r="K562">
            <v>0.30353778370746198</v>
          </cell>
          <cell r="L562">
            <v>0.30353828990885301</v>
          </cell>
          <cell r="M562">
            <v>0.30353786286075202</v>
          </cell>
          <cell r="N562">
            <v>0.30353806819926499</v>
          </cell>
          <cell r="O562">
            <v>0.30353715691542399</v>
          </cell>
        </row>
        <row r="563">
          <cell r="A563" t="str">
            <v>SCOM-SHLTHCHPWOD</v>
          </cell>
          <cell r="B563" t="str">
            <v>VAR_fout</v>
          </cell>
          <cell r="C563" t="str">
            <v>SCOM-SHLTHC-WOD</v>
          </cell>
          <cell r="G563">
            <v>3.1787523233213412E-4</v>
          </cell>
          <cell r="H563">
            <v>3.3274539841827641E-4</v>
          </cell>
          <cell r="I563">
            <v>2.9733496922475094E-3</v>
          </cell>
          <cell r="J563">
            <v>2.8073904666641334E-3</v>
          </cell>
          <cell r="K563">
            <v>1.7315503373103826E-3</v>
          </cell>
          <cell r="L563">
            <v>9.0706476382006803E-4</v>
          </cell>
          <cell r="M563">
            <v>9.1268940939321318E-4</v>
          </cell>
          <cell r="N563">
            <v>8.0367985243545693E-4</v>
          </cell>
          <cell r="O563">
            <v>1.32195124436401E-3</v>
          </cell>
        </row>
        <row r="564">
          <cell r="A564" t="str">
            <v>SCOM-SHLTHCHPWOD</v>
          </cell>
          <cell r="B564" t="str">
            <v>VAR_fin</v>
          </cell>
          <cell r="C564" t="str">
            <v>SCOM_LTH_CHPWOD_ON</v>
          </cell>
          <cell r="G564">
            <v>3.2108609326478185E-4</v>
          </cell>
          <cell r="H564">
            <v>3.3610646304876423E-4</v>
          </cell>
          <cell r="I564">
            <v>3.0033835275227396E-3</v>
          </cell>
          <cell r="J564">
            <v>2.8357479461253898E-3</v>
          </cell>
          <cell r="K564">
            <v>1.7490407447579626E-3</v>
          </cell>
          <cell r="L564">
            <v>9.1622703416168404E-4</v>
          </cell>
          <cell r="M564">
            <v>9.219084943365805E-4</v>
          </cell>
          <cell r="N564">
            <v>8.1179783074288557E-4</v>
          </cell>
          <cell r="O564">
            <v>1.3353042872363732E-3</v>
          </cell>
        </row>
        <row r="565">
          <cell r="A565" t="str">
            <v>SCOM-SHLTHCHPWOD</v>
          </cell>
          <cell r="B565" t="str">
            <v>VAR_fin</v>
          </cell>
          <cell r="C565" t="str">
            <v>SCOMLTHCHPC</v>
          </cell>
          <cell r="G565">
            <v>3.1787523233213412E-4</v>
          </cell>
          <cell r="H565">
            <v>3.3274539841827641E-4</v>
          </cell>
          <cell r="I565">
            <v>2.9733496922475094E-3</v>
          </cell>
          <cell r="J565">
            <v>2.8073904666641334E-3</v>
          </cell>
          <cell r="K565">
            <v>1.7315503373103826E-3</v>
          </cell>
          <cell r="L565">
            <v>9.0706476382006803E-4</v>
          </cell>
          <cell r="M565">
            <v>9.1268940939321318E-4</v>
          </cell>
          <cell r="N565">
            <v>8.0367985243545693E-4</v>
          </cell>
          <cell r="O565">
            <v>1.32195124436401E-3</v>
          </cell>
        </row>
        <row r="566">
          <cell r="A566" t="str">
            <v>SCOM-SHLTHCHPWOD</v>
          </cell>
          <cell r="B566" t="str">
            <v>VAR_ncap</v>
          </cell>
          <cell r="C566" t="str">
            <v>-</v>
          </cell>
          <cell r="G566">
            <v>3.9123223742396597E-5</v>
          </cell>
          <cell r="H566">
            <v>3.2246435199951701E-5</v>
          </cell>
          <cell r="I566">
            <v>2.0939347381347399E-4</v>
          </cell>
          <cell r="J566">
            <v>1.4941768619331199E-4</v>
          </cell>
          <cell r="K566">
            <v>1.37039146106533E-4</v>
          </cell>
          <cell r="L566">
            <v>5.4765631628309797E-5</v>
          </cell>
          <cell r="M566">
            <v>7.5836141599000304E-5</v>
          </cell>
          <cell r="N566">
            <v>6.3616989610744596E-5</v>
          </cell>
          <cell r="O566">
            <v>1.2599414724872299E-4</v>
          </cell>
        </row>
        <row r="567">
          <cell r="A567" t="str">
            <v>SCOM-SHLTHCHPWOD</v>
          </cell>
          <cell r="B567" t="str">
            <v>VAR_cap</v>
          </cell>
          <cell r="C567" t="str">
            <v>-</v>
          </cell>
          <cell r="G567">
            <v>3.9123223742396597E-5</v>
          </cell>
          <cell r="H567">
            <v>4.2508996177514102E-5</v>
          </cell>
          <cell r="I567">
            <v>2.2985323238937673E-4</v>
          </cell>
          <cell r="J567">
            <v>2.17037502673238E-4</v>
          </cell>
          <cell r="K567">
            <v>1.9734435430248596E-4</v>
          </cell>
          <cell r="L567">
            <v>9.0978309077135978E-5</v>
          </cell>
          <cell r="M567">
            <v>1.1016221061999903E-4</v>
          </cell>
          <cell r="N567">
            <v>9.7074713924313993E-5</v>
          </cell>
          <cell r="O567">
            <v>1.6523703358623402E-4</v>
          </cell>
        </row>
        <row r="568">
          <cell r="A568" t="str">
            <v>SCOM-SHSTG-NGAHP</v>
          </cell>
          <cell r="B568" t="str">
            <v>VAR_fout</v>
          </cell>
          <cell r="C568" t="str">
            <v>SCOM-SHANGAH</v>
          </cell>
          <cell r="D568">
            <v>1.2034482110561388E-5</v>
          </cell>
          <cell r="E568">
            <v>2.4504917551332176E-5</v>
          </cell>
          <cell r="F568">
            <v>6.1794417256683283E-4</v>
          </cell>
          <cell r="G568">
            <v>4.5141861614987578E-4</v>
          </cell>
          <cell r="H568">
            <v>2.0322105644983617E-3</v>
          </cell>
          <cell r="I568">
            <v>2.0104781109572889E-3</v>
          </cell>
          <cell r="J568">
            <v>8.2965511522027496E-2</v>
          </cell>
          <cell r="K568">
            <v>0.201597772442284</v>
          </cell>
          <cell r="L568">
            <v>9.4593367638715429E-3</v>
          </cell>
          <cell r="M568">
            <v>5.3684627413243952E-3</v>
          </cell>
          <cell r="N568">
            <v>5.2014453608837295E-2</v>
          </cell>
          <cell r="O568">
            <v>0.67040710506983026</v>
          </cell>
        </row>
        <row r="569">
          <cell r="A569" t="str">
            <v>SCOM-SHSTG-NGAHP</v>
          </cell>
          <cell r="B569" t="str">
            <v>VAR_fin</v>
          </cell>
          <cell r="C569" t="str">
            <v>SCOM-SHANGAH</v>
          </cell>
          <cell r="D569">
            <v>1.2034482110561388E-5</v>
          </cell>
          <cell r="E569">
            <v>2.4504917551332176E-5</v>
          </cell>
          <cell r="F569">
            <v>7.9619793779590192E-4</v>
          </cell>
          <cell r="G569">
            <v>5.630609262980645E-4</v>
          </cell>
          <cell r="H569">
            <v>2.4617506294436617E-3</v>
          </cell>
          <cell r="I569">
            <v>2.364867308809871E-3</v>
          </cell>
          <cell r="J569">
            <v>9.482116187224697E-2</v>
          </cell>
          <cell r="K569">
            <v>0.22400481030802466</v>
          </cell>
          <cell r="L569">
            <v>1.0521049308273064E-2</v>
          </cell>
          <cell r="M569">
            <v>5.9824041929799785E-3</v>
          </cell>
          <cell r="N569">
            <v>5.7821564884000289E-2</v>
          </cell>
          <cell r="O569">
            <v>0.74492803851415224</v>
          </cell>
        </row>
        <row r="570">
          <cell r="A570" t="str">
            <v>SCOM-SHSTG-NGAHP</v>
          </cell>
          <cell r="B570" t="str">
            <v>VAR_ncap</v>
          </cell>
          <cell r="C570" t="str">
            <v>-</v>
          </cell>
          <cell r="D570">
            <v>2.8979665904164302E-4</v>
          </cell>
          <cell r="E570">
            <v>2.1323272891615399E-6</v>
          </cell>
          <cell r="F570">
            <v>9.9566867586481805E-6</v>
          </cell>
          <cell r="G570">
            <v>6.44770502902383E-6</v>
          </cell>
          <cell r="H570">
            <v>1.50275658704614E-4</v>
          </cell>
          <cell r="I570">
            <v>1.0341906609993901E-4</v>
          </cell>
          <cell r="J570">
            <v>8.5004853888430293E-3</v>
          </cell>
          <cell r="K570">
            <v>1.40942825326855E-2</v>
          </cell>
          <cell r="L570">
            <v>1.6255398795403799E-2</v>
          </cell>
          <cell r="M570">
            <v>2.3597996159193401E-2</v>
          </cell>
          <cell r="N570">
            <v>3.4221659265270599E-2</v>
          </cell>
          <cell r="O570">
            <v>1.9758471529604998E-2</v>
          </cell>
        </row>
        <row r="571">
          <cell r="A571" t="str">
            <v>SCOM-SHSTG-NGAHP</v>
          </cell>
          <cell r="B571" t="str">
            <v>VAR_cap</v>
          </cell>
          <cell r="C571" t="str">
            <v>-</v>
          </cell>
          <cell r="D571">
            <v>2.8979665904164302E-4</v>
          </cell>
          <cell r="E571">
            <v>2.8766721616310057E-6</v>
          </cell>
          <cell r="F571">
            <v>1.1073093136429999E-5</v>
          </cell>
          <cell r="G571">
            <v>1.1468707587478999E-5</v>
          </cell>
          <cell r="H571">
            <v>1.5763250960607663E-4</v>
          </cell>
          <cell r="I571">
            <v>2.4885776723865846E-4</v>
          </cell>
          <cell r="J571">
            <v>8.7332747052216528E-3</v>
          </cell>
          <cell r="K571">
            <v>2.2651046058891646E-2</v>
          </cell>
          <cell r="L571">
            <v>3.7674619847944554E-2</v>
          </cell>
          <cell r="M571">
            <v>5.3857624970966932E-2</v>
          </cell>
          <cell r="N571">
            <v>7.1289877673126639E-2</v>
          </cell>
          <cell r="O571">
            <v>7.7474401167321835E-2</v>
          </cell>
        </row>
        <row r="572">
          <cell r="A572" t="str">
            <v>ITOT-SWHCONBR2</v>
          </cell>
          <cell r="B572" t="str">
            <v>VAR_fout</v>
          </cell>
          <cell r="C572" t="str">
            <v>ITOT-ELS</v>
          </cell>
          <cell r="G572">
            <v>1.2218805080445433E-4</v>
          </cell>
          <cell r="H572">
            <v>0.88013841543086713</v>
          </cell>
          <cell r="I572">
            <v>0.88012409622751453</v>
          </cell>
          <cell r="J572">
            <v>0.88006600171376526</v>
          </cell>
          <cell r="K572">
            <v>0.87999565107302669</v>
          </cell>
          <cell r="L572">
            <v>0.87998784146303632</v>
          </cell>
          <cell r="M572">
            <v>0.88011742579736674</v>
          </cell>
          <cell r="N572">
            <v>0.88012821952078457</v>
          </cell>
          <cell r="O572">
            <v>0.88009271922270915</v>
          </cell>
        </row>
        <row r="573">
          <cell r="A573" t="str">
            <v>ITOT-SWHCONBR2</v>
          </cell>
          <cell r="B573" t="str">
            <v>VAR_fout</v>
          </cell>
          <cell r="C573" t="str">
            <v>ITOT-SWHC</v>
          </cell>
          <cell r="G573">
            <v>1.8887934324989151E-4</v>
          </cell>
          <cell r="H573">
            <v>1.360525556968146</v>
          </cell>
          <cell r="I573">
            <v>1.3605034222200492</v>
          </cell>
          <cell r="J573">
            <v>1.3604136192194187</v>
          </cell>
          <cell r="K573">
            <v>1.3603048705919352</v>
          </cell>
          <cell r="L573">
            <v>1.3602927984294244</v>
          </cell>
          <cell r="M573">
            <v>1.3604931110115679</v>
          </cell>
          <cell r="N573">
            <v>1.3605097960423636</v>
          </cell>
          <cell r="O573">
            <v>1.3604549193752804</v>
          </cell>
        </row>
        <row r="574">
          <cell r="A574" t="str">
            <v>ITOT-SWHCONBR2</v>
          </cell>
          <cell r="B574" t="str">
            <v>VAR_fin</v>
          </cell>
          <cell r="C574" t="str">
            <v>CON</v>
          </cell>
          <cell r="G574">
            <v>3.1106739405434601E-4</v>
          </cell>
          <cell r="H574">
            <v>2.2406639723990129</v>
          </cell>
          <cell r="I574">
            <v>2.2406275184475657</v>
          </cell>
          <cell r="J574">
            <v>2.2404796209331828</v>
          </cell>
          <cell r="K574">
            <v>2.2403005216649632</v>
          </cell>
          <cell r="L574">
            <v>2.2402806398924602</v>
          </cell>
          <cell r="M574">
            <v>2.2406105368089357</v>
          </cell>
          <cell r="N574">
            <v>2.2406380155631473</v>
          </cell>
          <cell r="O574">
            <v>2.2405476385979903</v>
          </cell>
        </row>
        <row r="575">
          <cell r="A575" t="str">
            <v>ITOT-SWHCONBR2</v>
          </cell>
          <cell r="B575" t="str">
            <v>VAR_ncap</v>
          </cell>
          <cell r="C575" t="str">
            <v>-</v>
          </cell>
          <cell r="G575">
            <v>1.6845995399971899E-5</v>
          </cell>
          <cell r="H575">
            <v>0.121839363479938</v>
          </cell>
          <cell r="I575">
            <v>2.81491942336813E-6</v>
          </cell>
          <cell r="J575">
            <v>1.41220541178141E-5</v>
          </cell>
          <cell r="K575">
            <v>0.121839098871887</v>
          </cell>
          <cell r="L575">
            <v>4.4449571920886601E-6</v>
          </cell>
          <cell r="M575">
            <v>1.24197107933013E-5</v>
          </cell>
          <cell r="N575">
            <v>0.100260341334477</v>
          </cell>
          <cell r="O575">
            <v>2.1582145608397201E-2</v>
          </cell>
        </row>
        <row r="576">
          <cell r="A576" t="str">
            <v>ITOT-SWHCONBR2</v>
          </cell>
          <cell r="B576" t="str">
            <v>VAR_cap</v>
          </cell>
          <cell r="C576" t="str">
            <v>-</v>
          </cell>
          <cell r="G576">
            <v>1.6845995399971899E-5</v>
          </cell>
          <cell r="H576">
            <v>0.121856209475338</v>
          </cell>
          <cell r="I576">
            <v>0.12185581949704299</v>
          </cell>
          <cell r="J576">
            <v>0.12185630045347901</v>
          </cell>
          <cell r="K576">
            <v>0.12185603584542801</v>
          </cell>
          <cell r="L576">
            <v>0.121856227299434</v>
          </cell>
          <cell r="M576">
            <v>0.12185596353987301</v>
          </cell>
          <cell r="N576">
            <v>0.121856172410764</v>
          </cell>
          <cell r="O576">
            <v>0.12185490665366699</v>
          </cell>
        </row>
        <row r="577">
          <cell r="A577" t="str">
            <v>RHES-SHCONBR1</v>
          </cell>
          <cell r="B577" t="str">
            <v>VAR_fout</v>
          </cell>
          <cell r="C577" t="str">
            <v>RHES-SHCON</v>
          </cell>
          <cell r="D577">
            <v>0.56334744993853525</v>
          </cell>
          <cell r="E577">
            <v>1.1276488385614374</v>
          </cell>
          <cell r="F577">
            <v>1.1275277296054302</v>
          </cell>
          <cell r="G577">
            <v>2.4026007140268737</v>
          </cell>
          <cell r="H577">
            <v>4.0704778293611561</v>
          </cell>
          <cell r="I577">
            <v>6.1314259409309697</v>
          </cell>
          <cell r="J577">
            <v>6.1313775440736382</v>
          </cell>
          <cell r="K577">
            <v>6.4142062533371789</v>
          </cell>
          <cell r="L577">
            <v>6.4142213392860672</v>
          </cell>
          <cell r="M577">
            <v>6.4142241703290708</v>
          </cell>
          <cell r="N577">
            <v>6.4142034772302043</v>
          </cell>
          <cell r="O577">
            <v>4.3761911310371371</v>
          </cell>
        </row>
        <row r="578">
          <cell r="A578" t="str">
            <v>RHES-SHCONBR1</v>
          </cell>
          <cell r="B578" t="str">
            <v>VAR_fin</v>
          </cell>
          <cell r="C578" t="str">
            <v>CON</v>
          </cell>
          <cell r="D578">
            <v>0.56334744993853525</v>
          </cell>
          <cell r="E578">
            <v>1.1276488385614374</v>
          </cell>
          <cell r="F578">
            <v>1.1275277296054302</v>
          </cell>
          <cell r="G578">
            <v>2.4026007140268737</v>
          </cell>
          <cell r="H578">
            <v>4.0704778293611561</v>
          </cell>
          <cell r="I578">
            <v>6.1314259409309697</v>
          </cell>
          <cell r="J578">
            <v>6.1313775440736382</v>
          </cell>
          <cell r="K578">
            <v>6.4142062533371789</v>
          </cell>
          <cell r="L578">
            <v>6.4142213392860672</v>
          </cell>
          <cell r="M578">
            <v>6.4142241703290708</v>
          </cell>
          <cell r="N578">
            <v>6.4142034772302043</v>
          </cell>
          <cell r="O578">
            <v>4.3761911310371371</v>
          </cell>
        </row>
        <row r="579">
          <cell r="A579" t="str">
            <v>RHES-SHCONBR1</v>
          </cell>
          <cell r="B579" t="str">
            <v>VAR_ncap</v>
          </cell>
          <cell r="C579" t="str">
            <v>-</v>
          </cell>
          <cell r="D579">
            <v>4.5549594882363799E-2</v>
          </cell>
          <cell r="E579">
            <v>4.5549594827758902E-2</v>
          </cell>
          <cell r="F579">
            <v>7.6668967231750394E-8</v>
          </cell>
          <cell r="G579">
            <v>0.10300495530696099</v>
          </cell>
          <cell r="H579">
            <v>0.13474851433518201</v>
          </cell>
          <cell r="I579">
            <v>0.16649345060795301</v>
          </cell>
          <cell r="J579">
            <v>2.5529283943591299E-8</v>
          </cell>
          <cell r="K579">
            <v>6.7643983527644003E-2</v>
          </cell>
          <cell r="L579">
            <v>7.3943729346935105E-2</v>
          </cell>
          <cell r="M579">
            <v>7.5365670328896406E-2</v>
          </cell>
          <cell r="N579">
            <v>0.13694180214377499</v>
          </cell>
          <cell r="O579">
            <v>1.1047909054284599E-8</v>
          </cell>
        </row>
        <row r="580">
          <cell r="A580" t="str">
            <v>RHES-SHCONBR1</v>
          </cell>
          <cell r="B580" t="str">
            <v>VAR_cap</v>
          </cell>
          <cell r="C580" t="str">
            <v>-</v>
          </cell>
          <cell r="D580">
            <v>4.5549594882363799E-2</v>
          </cell>
          <cell r="E580">
            <v>9.1099189710122694E-2</v>
          </cell>
          <cell r="F580">
            <v>9.1099266379089897E-2</v>
          </cell>
          <cell r="G580">
            <v>0.19410422168605099</v>
          </cell>
          <cell r="H580">
            <v>0.32885273602123299</v>
          </cell>
          <cell r="I580">
            <v>0.495346186629186</v>
          </cell>
          <cell r="J580">
            <v>0.49534621215847002</v>
          </cell>
          <cell r="K580">
            <v>0.51819035044905004</v>
          </cell>
          <cell r="L580">
            <v>0.51819811826329398</v>
          </cell>
          <cell r="M580">
            <v>0.51819537367589397</v>
          </cell>
          <cell r="N580">
            <v>0.51819103284257795</v>
          </cell>
          <cell r="O580">
            <v>0.353895221924444</v>
          </cell>
        </row>
        <row r="581">
          <cell r="A581" t="str">
            <v>ITOT-SWHCONBR3</v>
          </cell>
          <cell r="B581" t="str">
            <v>VAR_fout</v>
          </cell>
          <cell r="C581" t="str">
            <v>ITOT-ELS</v>
          </cell>
          <cell r="G581">
            <v>7.6314973020663352E-5</v>
          </cell>
          <cell r="H581">
            <v>3.2581199745399655E-3</v>
          </cell>
          <cell r="I581">
            <v>3.2448085734686103E-3</v>
          </cell>
          <cell r="J581">
            <v>3.1867651407846446E-3</v>
          </cell>
          <cell r="K581">
            <v>8.8786103569366654E-4</v>
          </cell>
          <cell r="L581">
            <v>9.2966312306405445E-4</v>
          </cell>
          <cell r="M581">
            <v>3.1858533226360873E-3</v>
          </cell>
          <cell r="N581">
            <v>3.140906375653351E-3</v>
          </cell>
          <cell r="O581">
            <v>2.9946744357650722E-3</v>
          </cell>
        </row>
        <row r="582">
          <cell r="A582" t="str">
            <v>ITOT-SWHCONBR3</v>
          </cell>
          <cell r="B582" t="str">
            <v>VAR_fout</v>
          </cell>
          <cell r="C582" t="str">
            <v>ITOT-SWHC</v>
          </cell>
          <cell r="G582">
            <v>1.5145139304789502E-4</v>
          </cell>
          <cell r="H582">
            <v>6.465923911519198E-3</v>
          </cell>
          <cell r="I582">
            <v>6.439506680982662E-3</v>
          </cell>
          <cell r="J582">
            <v>6.3243161962151656E-3</v>
          </cell>
          <cell r="K582">
            <v>1.762010590665391E-3</v>
          </cell>
          <cell r="L582">
            <v>1.8449692043419068E-3</v>
          </cell>
          <cell r="M582">
            <v>6.3225066413750237E-3</v>
          </cell>
          <cell r="N582">
            <v>6.2333068754006227E-3</v>
          </cell>
          <cell r="O582">
            <v>5.9431012954526581E-3</v>
          </cell>
        </row>
        <row r="583">
          <cell r="A583" t="str">
            <v>ITOT-SWHCONBR3</v>
          </cell>
          <cell r="B583" t="str">
            <v>VAR_fin</v>
          </cell>
          <cell r="C583" t="str">
            <v>CON</v>
          </cell>
          <cell r="G583">
            <v>2.277663660685584E-4</v>
          </cell>
          <cell r="H583">
            <v>9.7240438860591565E-3</v>
          </cell>
          <cell r="I583">
            <v>9.6843152544512784E-3</v>
          </cell>
          <cell r="J583">
            <v>9.5110813369998024E-3</v>
          </cell>
          <cell r="K583">
            <v>2.6498716263590578E-3</v>
          </cell>
          <cell r="L583">
            <v>2.7746323274059621E-3</v>
          </cell>
          <cell r="M583">
            <v>9.5083599640111132E-3</v>
          </cell>
          <cell r="N583">
            <v>9.3742132510539807E-3</v>
          </cell>
          <cell r="O583">
            <v>8.9377757312177394E-3</v>
          </cell>
        </row>
        <row r="584">
          <cell r="A584" t="str">
            <v>ITOT-SWHCONBR3</v>
          </cell>
          <cell r="B584" t="str">
            <v>VAR_ncap</v>
          </cell>
          <cell r="C584" t="str">
            <v>-</v>
          </cell>
          <cell r="G584">
            <v>1.2311178988708999E-5</v>
          </cell>
          <cell r="H584">
            <v>5.1656614235781704E-4</v>
          </cell>
          <cell r="I584">
            <v>1.6543976447852001E-7</v>
          </cell>
          <cell r="J584">
            <v>5.6818234199875202E-7</v>
          </cell>
          <cell r="K584">
            <v>1.4292031613634699E-4</v>
          </cell>
          <cell r="L584">
            <v>7.4182182976874403E-6</v>
          </cell>
          <cell r="M584">
            <v>3.6623670830570498E-4</v>
          </cell>
          <cell r="N584">
            <v>1.1315734566667799E-4</v>
          </cell>
          <cell r="O584">
            <v>6.3820532000833403E-6</v>
          </cell>
        </row>
        <row r="585">
          <cell r="A585" t="str">
            <v>ITOT-SWHCONBR3</v>
          </cell>
          <cell r="B585" t="str">
            <v>VAR_cap</v>
          </cell>
          <cell r="C585" t="str">
            <v>-</v>
          </cell>
          <cell r="G585">
            <v>1.2311178988708999E-5</v>
          </cell>
          <cell r="H585">
            <v>5.2887732134652597E-4</v>
          </cell>
          <cell r="I585">
            <v>5.2670059797305601E-4</v>
          </cell>
          <cell r="J585">
            <v>5.1729976446429496E-4</v>
          </cell>
          <cell r="K585">
            <v>1.43653938242824E-4</v>
          </cell>
          <cell r="L585">
            <v>1.5085685570761801E-4</v>
          </cell>
          <cell r="M585">
            <v>5.1657524273973903E-4</v>
          </cell>
          <cell r="N585">
            <v>5.0977491677889103E-4</v>
          </cell>
          <cell r="O585">
            <v>4.8577610717246599E-4</v>
          </cell>
        </row>
        <row r="586">
          <cell r="A586" t="str">
            <v>ITOT-ELCSPECADV</v>
          </cell>
          <cell r="B586" t="str">
            <v>VAR_fout</v>
          </cell>
          <cell r="C586" t="str">
            <v>ITOT-ELS</v>
          </cell>
          <cell r="G586">
            <v>1.7192177054146704E-4</v>
          </cell>
          <cell r="H586">
            <v>4.7396175984098615E-4</v>
          </cell>
          <cell r="I586">
            <v>8.6691040478481833E-4</v>
          </cell>
          <cell r="J586">
            <v>0.30514179234232169</v>
          </cell>
          <cell r="K586">
            <v>0.42389567253010879</v>
          </cell>
          <cell r="L586">
            <v>0.4304322912015085</v>
          </cell>
          <cell r="M586">
            <v>0.43012079487074123</v>
          </cell>
          <cell r="N586">
            <v>0.38216558801359191</v>
          </cell>
          <cell r="O586">
            <v>0.12555635387643699</v>
          </cell>
        </row>
        <row r="587">
          <cell r="A587" t="str">
            <v>ITOT-ELCSPECADV</v>
          </cell>
          <cell r="B587" t="str">
            <v>VAR_fin</v>
          </cell>
          <cell r="C587" t="str">
            <v>ITOT_ELC</v>
          </cell>
          <cell r="G587">
            <v>1.4802975570043914E-4</v>
          </cell>
          <cell r="H587">
            <v>3.9792031740208125E-4</v>
          </cell>
          <cell r="I587">
            <v>7.1012000128671863E-4</v>
          </cell>
          <cell r="J587">
            <v>0.23628370144490046</v>
          </cell>
          <cell r="K587">
            <v>0.31121927600844368</v>
          </cell>
          <cell r="L587">
            <v>0.31601838546458449</v>
          </cell>
          <cell r="M587">
            <v>0.31578968847892719</v>
          </cell>
          <cell r="N587">
            <v>0.28058153296783978</v>
          </cell>
          <cell r="O587">
            <v>9.2182015726780447E-2</v>
          </cell>
        </row>
        <row r="588">
          <cell r="A588" t="str">
            <v>ITOT-ELCSPECADV</v>
          </cell>
          <cell r="B588" t="str">
            <v>VAR_ncap</v>
          </cell>
          <cell r="C588" t="str">
            <v>-</v>
          </cell>
          <cell r="G588">
            <v>1.05615490034264E-5</v>
          </cell>
          <cell r="H588">
            <v>1.9488911961072699E-5</v>
          </cell>
          <cell r="I588">
            <v>1.8892194697818599E-5</v>
          </cell>
          <cell r="J588">
            <v>1.6546123364943401E-2</v>
          </cell>
          <cell r="K588">
            <v>6.4598723072005603E-3</v>
          </cell>
          <cell r="L588">
            <v>3.6459613762377199E-4</v>
          </cell>
          <cell r="M588">
            <v>3.0612638417214301E-6</v>
          </cell>
          <cell r="N588">
            <v>1.56932624118921E-6</v>
          </cell>
          <cell r="O588">
            <v>4.3644588189306501E-6</v>
          </cell>
        </row>
        <row r="589">
          <cell r="A589" t="str">
            <v>ITOT-ELCSPECADV</v>
          </cell>
          <cell r="B589" t="str">
            <v>VAR_cap</v>
          </cell>
          <cell r="C589" t="str">
            <v>-</v>
          </cell>
          <cell r="G589">
            <v>1.05615490034264E-5</v>
          </cell>
          <cell r="H589">
            <v>3.0022103305621447E-5</v>
          </cell>
          <cell r="I589">
            <v>4.8837132342592235E-5</v>
          </cell>
          <cell r="J589">
            <v>1.6594821357081076E-2</v>
          </cell>
          <cell r="K589">
            <v>2.3054365401259679E-2</v>
          </cell>
          <cell r="L589">
            <v>2.3408521249399201E-2</v>
          </cell>
          <cell r="M589">
            <v>2.3391874640396361E-2</v>
          </cell>
          <cell r="N589">
            <v>2.0784233347409507E-2</v>
          </cell>
          <cell r="O589">
            <v>6.8327068201319615E-3</v>
          </cell>
        </row>
        <row r="590">
          <cell r="A590" t="str">
            <v>RHES-SHELCBR</v>
          </cell>
          <cell r="B590" t="str">
            <v>VAR_fout</v>
          </cell>
          <cell r="C590" t="str">
            <v>RHES-SHAELCB</v>
          </cell>
          <cell r="D590">
            <v>4.2799767304460357</v>
          </cell>
          <cell r="E590">
            <v>3.7849631876207415</v>
          </cell>
          <cell r="F590">
            <v>3.833915713998381</v>
          </cell>
          <cell r="G590">
            <v>2.8742445946531165</v>
          </cell>
          <cell r="H590">
            <v>1.2391915264911479</v>
          </cell>
          <cell r="I590">
            <v>0.75715569864034937</v>
          </cell>
          <cell r="J590">
            <v>0.49049725817116024</v>
          </cell>
          <cell r="K590">
            <v>1.8514611194731336</v>
          </cell>
          <cell r="L590">
            <v>1.7257169417109126</v>
          </cell>
          <cell r="M590">
            <v>0.97356541832613375</v>
          </cell>
          <cell r="N590">
            <v>1.6260455043816284</v>
          </cell>
          <cell r="O590">
            <v>0.76038817455043062</v>
          </cell>
        </row>
        <row r="591">
          <cell r="A591" t="str">
            <v>RHES-SHELCBR</v>
          </cell>
          <cell r="B591" t="str">
            <v>VAR_fin</v>
          </cell>
          <cell r="C591" t="str">
            <v>RHES_ELC</v>
          </cell>
          <cell r="D591">
            <v>4.5052386636274084</v>
          </cell>
          <cell r="E591">
            <v>3.9841717764428872</v>
          </cell>
          <cell r="F591">
            <v>4.035700751577239</v>
          </cell>
          <cell r="G591">
            <v>3.0255206259506524</v>
          </cell>
          <cell r="H591">
            <v>1.3044121331485772</v>
          </cell>
          <cell r="I591">
            <v>0.79700599856878829</v>
          </cell>
          <cell r="J591">
            <v>0.51631290333806368</v>
          </cell>
          <cell r="K591">
            <v>1.9489064415506674</v>
          </cell>
          <cell r="L591">
            <v>1.8165441491693801</v>
          </cell>
          <cell r="M591">
            <v>1.024805703501193</v>
          </cell>
          <cell r="N591">
            <v>1.7116268467175044</v>
          </cell>
          <cell r="O591">
            <v>0.80040860478992815</v>
          </cell>
        </row>
        <row r="592">
          <cell r="A592" t="str">
            <v>RHES-SHELCBR</v>
          </cell>
          <cell r="B592" t="str">
            <v>VAR_ncap</v>
          </cell>
          <cell r="C592" t="str">
            <v>-</v>
          </cell>
          <cell r="D592">
            <v>3.7666060544763702E-8</v>
          </cell>
          <cell r="E592">
            <v>1.5921404581319699E-7</v>
          </cell>
          <cell r="F592">
            <v>2.0598844389267799E-7</v>
          </cell>
          <cell r="G592">
            <v>1.62791577457851E-7</v>
          </cell>
          <cell r="H592">
            <v>1.15888105288464E-2</v>
          </cell>
          <cell r="I592">
            <v>5.0324796607622402E-2</v>
          </cell>
          <cell r="J592">
            <v>1.20496608200226E-2</v>
          </cell>
          <cell r="K592">
            <v>0.111384024692956</v>
          </cell>
          <cell r="L592">
            <v>3.7021013843832697E-2</v>
          </cell>
          <cell r="M592">
            <v>7.46994414914105E-7</v>
          </cell>
          <cell r="N592">
            <v>0.114269582320881</v>
          </cell>
          <cell r="O592">
            <v>8.4082073186959503E-7</v>
          </cell>
        </row>
        <row r="593">
          <cell r="A593" t="str">
            <v>RHES-SHELCBR</v>
          </cell>
          <cell r="B593" t="str">
            <v>VAR_cap</v>
          </cell>
          <cell r="C593" t="str">
            <v>-</v>
          </cell>
          <cell r="D593">
            <v>0.34576933754239353</v>
          </cell>
          <cell r="E593">
            <v>0.34576929932930273</v>
          </cell>
          <cell r="F593">
            <v>0.34576922889166439</v>
          </cell>
          <cell r="G593">
            <v>0.34576894619185528</v>
          </cell>
          <cell r="H593">
            <v>0.10125869550122751</v>
          </cell>
          <cell r="I593">
            <v>6.1913639112204669E-2</v>
          </cell>
          <cell r="J593">
            <v>7.3962543210825737E-2</v>
          </cell>
          <cell r="K593">
            <v>0.1737581985752098</v>
          </cell>
          <cell r="L593">
            <v>0.16659054966302864</v>
          </cell>
          <cell r="M593">
            <v>0.14681283838879292</v>
          </cell>
          <cell r="N593">
            <v>0.15900132428763736</v>
          </cell>
          <cell r="O593">
            <v>0.11427080619887528</v>
          </cell>
        </row>
        <row r="594">
          <cell r="A594" t="str">
            <v>RHSA-WHELCBR</v>
          </cell>
          <cell r="B594" t="str">
            <v>VAR_fout</v>
          </cell>
          <cell r="C594" t="str">
            <v>RHSA-WHAELCB</v>
          </cell>
          <cell r="D594">
            <v>6.6446961419646478</v>
          </cell>
          <cell r="E594">
            <v>6.9687085510857232</v>
          </cell>
          <cell r="F594">
            <v>6.8381021169311564</v>
          </cell>
          <cell r="G594">
            <v>4.4335110564072888</v>
          </cell>
          <cell r="H594">
            <v>2.1705145895118423</v>
          </cell>
          <cell r="I594">
            <v>1.3505509090544636</v>
          </cell>
          <cell r="J594">
            <v>0.89161623590161443</v>
          </cell>
          <cell r="K594">
            <v>1.8452714393552812</v>
          </cell>
          <cell r="L594">
            <v>1.5813408387175822</v>
          </cell>
          <cell r="M594">
            <v>1.0618093619544262</v>
          </cell>
          <cell r="N594">
            <v>2.0690611333252882</v>
          </cell>
          <cell r="O594">
            <v>0.8074970173546997</v>
          </cell>
        </row>
        <row r="595">
          <cell r="A595" t="str">
            <v>RHSA-WHELCBR</v>
          </cell>
          <cell r="B595" t="str">
            <v>VAR_fin</v>
          </cell>
          <cell r="C595" t="str">
            <v>RHSA_ELC</v>
          </cell>
          <cell r="D595">
            <v>8.4110077746387901</v>
          </cell>
          <cell r="E595">
            <v>8.7988744331890434</v>
          </cell>
          <cell r="F595">
            <v>8.601386310605232</v>
          </cell>
          <cell r="G595">
            <v>5.5418888205091159</v>
          </cell>
          <cell r="H595">
            <v>2.6962914155426652</v>
          </cell>
          <cell r="I595">
            <v>1.6673468013018076</v>
          </cell>
          <cell r="J595">
            <v>1.0940076514130233</v>
          </cell>
          <cell r="K595">
            <v>2.2503310236040002</v>
          </cell>
          <cell r="L595">
            <v>1.9284644374604645</v>
          </cell>
          <cell r="M595">
            <v>1.2948894657980818</v>
          </cell>
          <cell r="N595">
            <v>2.5232452845430378</v>
          </cell>
          <cell r="O595">
            <v>0.98475246018865803</v>
          </cell>
        </row>
        <row r="596">
          <cell r="A596" t="str">
            <v>RHSA-WHELCBR</v>
          </cell>
          <cell r="B596" t="str">
            <v>VAR_ncap</v>
          </cell>
          <cell r="C596" t="str">
            <v>-</v>
          </cell>
          <cell r="D596">
            <v>1.5672863707882299E-6</v>
          </cell>
          <cell r="E596">
            <v>3.5245733345870799E-2</v>
          </cell>
          <cell r="F596">
            <v>2.7776530680291402E-7</v>
          </cell>
          <cell r="G596">
            <v>2.5049142177484899E-7</v>
          </cell>
          <cell r="H596">
            <v>3.9399880888140899E-2</v>
          </cell>
          <cell r="I596">
            <v>7.0716061360490898E-2</v>
          </cell>
          <cell r="J596">
            <v>8.0896991993901802E-7</v>
          </cell>
          <cell r="K596">
            <v>7.2586819429904498E-2</v>
          </cell>
          <cell r="L596">
            <v>4.5169213905311E-2</v>
          </cell>
          <cell r="M596">
            <v>2.6187000905051799E-6</v>
          </cell>
          <cell r="N596">
            <v>0.100682062465732</v>
          </cell>
          <cell r="O596">
            <v>7.30769286094581E-7</v>
          </cell>
        </row>
        <row r="597">
          <cell r="A597" t="str">
            <v>RHSA-WHELCBR</v>
          </cell>
          <cell r="B597" t="str">
            <v>VAR_cap</v>
          </cell>
          <cell r="C597" t="str">
            <v>-</v>
          </cell>
          <cell r="D597">
            <v>0.43757015606004779</v>
          </cell>
          <cell r="E597">
            <v>0.47281581476820866</v>
          </cell>
          <cell r="F597">
            <v>0.47281562757279078</v>
          </cell>
          <cell r="G597">
            <v>0.47281456864252591</v>
          </cell>
          <cell r="H597">
            <v>0.1709342388120253</v>
          </cell>
          <cell r="I597">
            <v>0.11011598806686569</v>
          </cell>
          <cell r="J597">
            <v>0.11011507179757804</v>
          </cell>
          <cell r="K597">
            <v>0.14330320681434147</v>
          </cell>
          <cell r="L597">
            <v>0.1286220008729268</v>
          </cell>
          <cell r="M597">
            <v>0.11775760197286488</v>
          </cell>
          <cell r="N597">
            <v>0.14439066012103988</v>
          </cell>
          <cell r="O597">
            <v>0.10068388097472289</v>
          </cell>
        </row>
        <row r="598">
          <cell r="A598" t="str">
            <v>ITOT-SWHLTHDH</v>
          </cell>
          <cell r="B598" t="str">
            <v>VAR_fout</v>
          </cell>
          <cell r="C598" t="str">
            <v>ITOT-SWH</v>
          </cell>
          <cell r="D598">
            <v>6.5822737826173769</v>
          </cell>
          <cell r="E598">
            <v>7.0678487981600799</v>
          </cell>
          <cell r="F598">
            <v>6.7321025700431658</v>
          </cell>
          <cell r="G598">
            <v>7.2569173670020559</v>
          </cell>
          <cell r="H598">
            <v>7.5096392999916945</v>
          </cell>
          <cell r="I598">
            <v>6.7282470727089096</v>
          </cell>
          <cell r="J598">
            <v>6.8293666713041059</v>
          </cell>
          <cell r="K598">
            <v>6.9285456602147342</v>
          </cell>
          <cell r="L598">
            <v>6.8672639875579335</v>
          </cell>
          <cell r="M598">
            <v>7.8731342628524636</v>
          </cell>
          <cell r="N598">
            <v>6.8302913666698002</v>
          </cell>
          <cell r="O598">
            <v>6.8093567286094414</v>
          </cell>
        </row>
        <row r="599">
          <cell r="A599" t="str">
            <v>ITOT-SWHLTHDH</v>
          </cell>
          <cell r="B599" t="str">
            <v>VAR_fin</v>
          </cell>
          <cell r="C599" t="str">
            <v>ITOT_LTH_DH</v>
          </cell>
          <cell r="D599">
            <v>7.1200030228718028</v>
          </cell>
          <cell r="E599">
            <v>7.6289063055985551</v>
          </cell>
          <cell r="F599">
            <v>7.2432865305200318</v>
          </cell>
          <cell r="G599">
            <v>7.7665858044076135</v>
          </cell>
          <cell r="H599">
            <v>7.9947016272820388</v>
          </cell>
          <cell r="I599">
            <v>7.125287471465251</v>
          </cell>
          <cell r="J599">
            <v>7.2105248196152969</v>
          </cell>
          <cell r="K599">
            <v>7.2932059581207804</v>
          </cell>
          <cell r="L599">
            <v>7.2286989342715051</v>
          </cell>
          <cell r="M599">
            <v>8.2875097503710187</v>
          </cell>
          <cell r="N599">
            <v>7.1897803859682154</v>
          </cell>
          <cell r="O599">
            <v>7.1677439248520463</v>
          </cell>
        </row>
        <row r="600">
          <cell r="A600" t="str">
            <v>ITOT-SWHLTHDH</v>
          </cell>
          <cell r="B600" t="str">
            <v>VAR_fin</v>
          </cell>
          <cell r="C600" t="str">
            <v>ITOTLTHDHC</v>
          </cell>
          <cell r="D600">
            <v>6.5822737826173769</v>
          </cell>
          <cell r="E600">
            <v>7.0678487981600799</v>
          </cell>
          <cell r="F600">
            <v>6.7321025700431658</v>
          </cell>
          <cell r="G600">
            <v>7.2569173670020559</v>
          </cell>
          <cell r="H600">
            <v>7.5096392999916945</v>
          </cell>
          <cell r="I600">
            <v>6.7282470727089096</v>
          </cell>
          <cell r="J600">
            <v>6.8293666713041059</v>
          </cell>
          <cell r="K600">
            <v>6.9285456602147342</v>
          </cell>
          <cell r="L600">
            <v>6.8672639875579335</v>
          </cell>
          <cell r="M600">
            <v>7.8731342628524636</v>
          </cell>
          <cell r="N600">
            <v>6.8302913666698002</v>
          </cell>
          <cell r="O600">
            <v>6.8093567286094414</v>
          </cell>
        </row>
        <row r="601">
          <cell r="A601" t="str">
            <v>ITOT-SWHLTHDH</v>
          </cell>
          <cell r="B601" t="str">
            <v>VAR_ncap</v>
          </cell>
          <cell r="C601" t="str">
            <v>-</v>
          </cell>
          <cell r="E601">
            <v>1.1478321923077101E-2</v>
          </cell>
          <cell r="F601">
            <v>2.0211020864684799E-2</v>
          </cell>
          <cell r="G601">
            <v>0.12789133542880801</v>
          </cell>
          <cell r="H601">
            <v>0.24494011269223401</v>
          </cell>
          <cell r="I601">
            <v>0.29719642425406401</v>
          </cell>
          <cell r="J601">
            <v>0.214531166721006</v>
          </cell>
          <cell r="K601">
            <v>0.18742102942453401</v>
          </cell>
          <cell r="L601">
            <v>0.28175645588738202</v>
          </cell>
          <cell r="M601">
            <v>0.29480808724294899</v>
          </cell>
          <cell r="N601">
            <v>0.17473434446682301</v>
          </cell>
          <cell r="O601">
            <v>0.17438991397643699</v>
          </cell>
        </row>
        <row r="602">
          <cell r="A602" t="str">
            <v>ITOT-SWHLTHDH</v>
          </cell>
          <cell r="B602" t="str">
            <v>VAR_cap</v>
          </cell>
          <cell r="C602" t="str">
            <v>-</v>
          </cell>
          <cell r="D602">
            <v>0.79547229253225304</v>
          </cell>
          <cell r="E602">
            <v>0.55227063044731417</v>
          </cell>
          <cell r="F602">
            <v>0.56093680197221696</v>
          </cell>
          <cell r="G602">
            <v>0.678333688016589</v>
          </cell>
          <cell r="H602">
            <v>0.50162476880254303</v>
          </cell>
          <cell r="I602">
            <v>0.62822568144538382</v>
          </cell>
          <cell r="J602">
            <v>0.73668413887441231</v>
          </cell>
          <cell r="K602">
            <v>0.66085097094307443</v>
          </cell>
          <cell r="L602">
            <v>0.6616813563764532</v>
          </cell>
          <cell r="M602">
            <v>0.73171759054747698</v>
          </cell>
          <cell r="N602">
            <v>0.64833033891190128</v>
          </cell>
          <cell r="O602">
            <v>0.60265136144223774</v>
          </cell>
        </row>
        <row r="603">
          <cell r="A603" t="str">
            <v>RHES-SHCONBR2</v>
          </cell>
          <cell r="B603" t="str">
            <v>VAR_fout</v>
          </cell>
          <cell r="C603" t="str">
            <v>RHES-SHCON</v>
          </cell>
          <cell r="D603">
            <v>0.4099999770542393</v>
          </cell>
          <cell r="E603">
            <v>0.82066834646905229</v>
          </cell>
          <cell r="F603">
            <v>0.82056132391897474</v>
          </cell>
          <cell r="G603">
            <v>1.748524094271166</v>
          </cell>
          <cell r="H603">
            <v>1.8922391969197141</v>
          </cell>
          <cell r="I603">
            <v>3.3921107987887948</v>
          </cell>
          <cell r="J603">
            <v>3.3920743487978897</v>
          </cell>
          <cell r="K603">
            <v>3.7678082586386643</v>
          </cell>
          <cell r="L603">
            <v>4.6680541798039146</v>
          </cell>
          <cell r="M603">
            <v>4.668054171038059</v>
          </cell>
          <cell r="N603">
            <v>4.6678748592002188</v>
          </cell>
          <cell r="O603">
            <v>3.3740412139083813</v>
          </cell>
        </row>
        <row r="604">
          <cell r="A604" t="str">
            <v>RHES-SHCONBR2</v>
          </cell>
          <cell r="B604" t="str">
            <v>VAR_fin</v>
          </cell>
          <cell r="C604" t="str">
            <v>CON</v>
          </cell>
          <cell r="D604">
            <v>0.4099999770542393</v>
          </cell>
          <cell r="E604">
            <v>0.82066834646905229</v>
          </cell>
          <cell r="F604">
            <v>0.82056132391897474</v>
          </cell>
          <cell r="G604">
            <v>1.748524094271166</v>
          </cell>
          <cell r="H604">
            <v>1.8922391969197141</v>
          </cell>
          <cell r="I604">
            <v>3.3921107987887948</v>
          </cell>
          <cell r="J604">
            <v>3.3920743487978897</v>
          </cell>
          <cell r="K604">
            <v>3.7678082586386643</v>
          </cell>
          <cell r="L604">
            <v>4.6680541798039146</v>
          </cell>
          <cell r="M604">
            <v>4.668054171038059</v>
          </cell>
          <cell r="N604">
            <v>4.6678748592002188</v>
          </cell>
          <cell r="O604">
            <v>3.3740412139083813</v>
          </cell>
        </row>
        <row r="605">
          <cell r="A605" t="str">
            <v>RHES-SHCONBR2</v>
          </cell>
          <cell r="B605" t="str">
            <v>VAR_ncap</v>
          </cell>
          <cell r="C605" t="str">
            <v>-</v>
          </cell>
          <cell r="D605">
            <v>3.3149471048340803E-2</v>
          </cell>
          <cell r="E605">
            <v>3.3149471124737803E-2</v>
          </cell>
          <cell r="F605">
            <v>6.4388846287929295E-8</v>
          </cell>
          <cell r="G605">
            <v>7.4963481272416699E-2</v>
          </cell>
          <cell r="H605">
            <v>1.1612130048889099E-2</v>
          </cell>
          <cell r="I605">
            <v>0.121168281420493</v>
          </cell>
          <cell r="J605">
            <v>2.45191430863865E-8</v>
          </cell>
          <cell r="K605">
            <v>6.2954681787422001E-2</v>
          </cell>
          <cell r="L605">
            <v>0.12654094188305701</v>
          </cell>
          <cell r="M605">
            <v>5.4849519047928501E-2</v>
          </cell>
          <cell r="N605">
            <v>2.85076385054393E-2</v>
          </cell>
          <cell r="O605">
            <v>1.09759725749622E-8</v>
          </cell>
        </row>
        <row r="606">
          <cell r="A606" t="str">
            <v>RHES-SHCONBR2</v>
          </cell>
          <cell r="B606" t="str">
            <v>VAR_cap</v>
          </cell>
          <cell r="C606" t="str">
            <v>-</v>
          </cell>
          <cell r="D606">
            <v>3.3149471048340803E-2</v>
          </cell>
          <cell r="E606">
            <v>6.6298942173078607E-2</v>
          </cell>
          <cell r="F606">
            <v>6.6299006561924903E-2</v>
          </cell>
          <cell r="G606">
            <v>0.141262487834342</v>
          </cell>
          <cell r="H606">
            <v>0.15287461788323101</v>
          </cell>
          <cell r="I606">
            <v>0.274042899303724</v>
          </cell>
          <cell r="J606">
            <v>0.27404292382286699</v>
          </cell>
          <cell r="K606">
            <v>0.30439377722912397</v>
          </cell>
          <cell r="L606">
            <v>0.377126615265022</v>
          </cell>
          <cell r="M606">
            <v>0.37712557870693297</v>
          </cell>
          <cell r="N606">
            <v>0.377108959178931</v>
          </cell>
          <cell r="O606">
            <v>0.272852816718963</v>
          </cell>
        </row>
        <row r="607">
          <cell r="A607" t="str">
            <v>ITOT-SWHCONBR4</v>
          </cell>
          <cell r="B607" t="str">
            <v>VAR_fout</v>
          </cell>
          <cell r="C607" t="str">
            <v>ITOT-ELS</v>
          </cell>
          <cell r="H607">
            <v>4.4302068253753427E-4</v>
          </cell>
          <cell r="I607">
            <v>4.4301854272926381E-4</v>
          </cell>
          <cell r="J607">
            <v>4.4311445363054452E-4</v>
          </cell>
          <cell r="K607">
            <v>2.5321368908734943E-4</v>
          </cell>
          <cell r="L607">
            <v>1.1350440711065671E-2</v>
          </cell>
          <cell r="M607">
            <v>1.856372228395178E-2</v>
          </cell>
          <cell r="N607">
            <v>1.8591373384841698E-2</v>
          </cell>
          <cell r="O607">
            <v>1.8494321960920955E-2</v>
          </cell>
        </row>
        <row r="608">
          <cell r="A608" t="str">
            <v>ITOT-SWHCONBR4</v>
          </cell>
          <cell r="B608" t="str">
            <v>VAR_fout</v>
          </cell>
          <cell r="C608" t="str">
            <v>ITOT-SWHC</v>
          </cell>
          <cell r="H608">
            <v>4.7609387920587781E-3</v>
          </cell>
          <cell r="I608">
            <v>4.7609157965269617E-3</v>
          </cell>
          <cell r="J608">
            <v>4.7619465067138432E-3</v>
          </cell>
          <cell r="K608">
            <v>2.7211706418562884E-3</v>
          </cell>
          <cell r="L608">
            <v>0.12197794734718162</v>
          </cell>
          <cell r="M608">
            <v>0.19949575500729372</v>
          </cell>
          <cell r="N608">
            <v>0.19979290862575699</v>
          </cell>
          <cell r="O608">
            <v>0.19874994176849373</v>
          </cell>
        </row>
        <row r="609">
          <cell r="A609" t="str">
            <v>ITOT-SWHCONBR4</v>
          </cell>
          <cell r="B609" t="str">
            <v>VAR_fin</v>
          </cell>
          <cell r="C609" t="str">
            <v>CON</v>
          </cell>
          <cell r="H609">
            <v>5.2039594745963078E-3</v>
          </cell>
          <cell r="I609">
            <v>5.2039343392562241E-3</v>
          </cell>
          <cell r="J609">
            <v>5.2050609603443822E-3</v>
          </cell>
          <cell r="K609">
            <v>2.9743843309436384E-3</v>
          </cell>
          <cell r="L609">
            <v>0.13332838805824743</v>
          </cell>
          <cell r="M609">
            <v>0.21805947729124572</v>
          </cell>
          <cell r="N609">
            <v>0.21838428201059831</v>
          </cell>
          <cell r="O609">
            <v>0.21724426372941469</v>
          </cell>
        </row>
        <row r="610">
          <cell r="A610" t="str">
            <v>ITOT-SWHCONBR4</v>
          </cell>
          <cell r="B610" t="str">
            <v>VAR_ncap</v>
          </cell>
          <cell r="C610" t="str">
            <v>-</v>
          </cell>
          <cell r="H610">
            <v>2.82629495904365E-4</v>
          </cell>
          <cell r="I610">
            <v>6.7988348194764696E-8</v>
          </cell>
          <cell r="J610">
            <v>1.0946451306348801E-7</v>
          </cell>
          <cell r="K610">
            <v>1.60908176833568E-4</v>
          </cell>
          <cell r="L610">
            <v>7.0910389356566E-3</v>
          </cell>
          <cell r="M610">
            <v>4.6080951542445498E-3</v>
          </cell>
          <cell r="N610">
            <v>2.3982691484050402E-3</v>
          </cell>
          <cell r="O610">
            <v>4.8098685156410404E-3</v>
          </cell>
        </row>
        <row r="611">
          <cell r="A611" t="str">
            <v>ITOT-SWHCONBR4</v>
          </cell>
          <cell r="B611" t="str">
            <v>VAR_cap</v>
          </cell>
          <cell r="C611" t="str">
            <v>-</v>
          </cell>
          <cell r="H611">
            <v>2.82629495904365E-4</v>
          </cell>
          <cell r="I611">
            <v>2.82697484252559E-4</v>
          </cell>
          <cell r="J611">
            <v>2.8280694876562301E-4</v>
          </cell>
          <cell r="K611">
            <v>1.6108562969482701E-4</v>
          </cell>
          <cell r="L611">
            <v>7.2520525201426097E-3</v>
          </cell>
          <cell r="M611">
            <v>1.18600422667347E-2</v>
          </cell>
          <cell r="N611">
            <v>1.18779471826883E-2</v>
          </cell>
          <cell r="O611">
            <v>1.18162328182906E-2</v>
          </cell>
        </row>
        <row r="612">
          <cell r="A612" t="str">
            <v>D-ITOT_NKEV_GAS_ELC_CHP</v>
          </cell>
          <cell r="B612" t="str">
            <v>VAR_fout</v>
          </cell>
          <cell r="C612" t="str">
            <v>ITOT_ELC</v>
          </cell>
          <cell r="D612">
            <v>0.6689036832421219</v>
          </cell>
          <cell r="E612">
            <v>0.42781339326142509</v>
          </cell>
          <cell r="F612">
            <v>5.1535396326511183E-2</v>
          </cell>
          <cell r="G612">
            <v>0.35937285739388325</v>
          </cell>
          <cell r="H612">
            <v>3.2854818371307659E-2</v>
          </cell>
          <cell r="I612">
            <v>0.66509580670119972</v>
          </cell>
          <cell r="J612">
            <v>0.24746108025447006</v>
          </cell>
          <cell r="K612">
            <v>0.66345892404666762</v>
          </cell>
          <cell r="L612">
            <v>0.20894483642354469</v>
          </cell>
          <cell r="M612">
            <v>0.44011374588820967</v>
          </cell>
          <cell r="N612">
            <v>0.66074900216819976</v>
          </cell>
          <cell r="O612">
            <v>0.65918180397264947</v>
          </cell>
        </row>
        <row r="613">
          <cell r="A613" t="str">
            <v>D-ITOT_NKEV_GAS_ELC_CHP</v>
          </cell>
          <cell r="B613" t="str">
            <v>VAR_fout</v>
          </cell>
          <cell r="C613" t="str">
            <v>ELC5</v>
          </cell>
          <cell r="D613">
            <v>1.0585815795519041E-3</v>
          </cell>
          <cell r="E613">
            <v>6.462543416733969E-4</v>
          </cell>
          <cell r="F613">
            <v>5.5682921543476292E-4</v>
          </cell>
          <cell r="G613">
            <v>1.352185120586146E-3</v>
          </cell>
          <cell r="H613">
            <v>0.1869595115370703</v>
          </cell>
          <cell r="I613">
            <v>4.8757314769544572E-3</v>
          </cell>
          <cell r="J613">
            <v>0.42250942713719586</v>
          </cell>
          <cell r="K613">
            <v>6.5130476979607414E-3</v>
          </cell>
          <cell r="L613">
            <v>0.46102611955600209</v>
          </cell>
          <cell r="M613">
            <v>4.9760071680251754E-2</v>
          </cell>
          <cell r="N613">
            <v>9.2238631393623365E-3</v>
          </cell>
          <cell r="O613">
            <v>1.0793527647259651E-2</v>
          </cell>
        </row>
        <row r="614">
          <cell r="A614" t="str">
            <v>D-ITOT_NKEV_GAS_ELC_CHP</v>
          </cell>
          <cell r="B614" t="str">
            <v>VAR_fin</v>
          </cell>
          <cell r="C614" t="str">
            <v>ITOT_NKEV_GAS_ELC_CHP</v>
          </cell>
          <cell r="D614">
            <v>0.66996226482167398</v>
          </cell>
          <cell r="E614">
            <v>0.42845964760309846</v>
          </cell>
          <cell r="F614">
            <v>5.2089940926601415E-2</v>
          </cell>
          <cell r="G614">
            <v>0.36072504251446941</v>
          </cell>
          <cell r="H614">
            <v>0.2198143299083781</v>
          </cell>
          <cell r="I614">
            <v>0.66997153817815458</v>
          </cell>
          <cell r="J614">
            <v>0.66997050739166542</v>
          </cell>
          <cell r="K614">
            <v>0.6699719717446283</v>
          </cell>
          <cell r="L614">
            <v>0.66997095597954626</v>
          </cell>
          <cell r="M614">
            <v>0.48987381756846121</v>
          </cell>
          <cell r="N614">
            <v>0.66997286530756128</v>
          </cell>
          <cell r="O614">
            <v>0.66997533161990896</v>
          </cell>
        </row>
        <row r="615">
          <cell r="A615" t="str">
            <v>SCOM-SHELCBR</v>
          </cell>
          <cell r="B615" t="str">
            <v>VAR_fout</v>
          </cell>
          <cell r="C615" t="str">
            <v>SCOM-SHAELCB</v>
          </cell>
          <cell r="D615">
            <v>2.3940355392966617</v>
          </cell>
          <cell r="E615">
            <v>0.29335338645113973</v>
          </cell>
          <cell r="F615">
            <v>2.286430325559222</v>
          </cell>
          <cell r="G615">
            <v>1.8732968081271066</v>
          </cell>
          <cell r="H615">
            <v>1.5800751263814634</v>
          </cell>
          <cell r="I615">
            <v>1.3358057443769178</v>
          </cell>
          <cell r="J615">
            <v>1.0565852284691151</v>
          </cell>
          <cell r="K615">
            <v>1.6066048058622653</v>
          </cell>
          <cell r="L615">
            <v>1.5824666731186381</v>
          </cell>
          <cell r="M615">
            <v>0.67192742596151711</v>
          </cell>
          <cell r="N615">
            <v>0.67205591101560214</v>
          </cell>
          <cell r="O615">
            <v>0.67225118305209641</v>
          </cell>
        </row>
        <row r="616">
          <cell r="A616" t="str">
            <v>SCOM-SHELCBR</v>
          </cell>
          <cell r="B616" t="str">
            <v>VAR_fin</v>
          </cell>
          <cell r="C616" t="str">
            <v>SCOM_ELC</v>
          </cell>
          <cell r="D616">
            <v>2.6236005910100406</v>
          </cell>
          <cell r="E616">
            <v>0.32060479393567198</v>
          </cell>
          <cell r="F616">
            <v>2.4886316468671823</v>
          </cell>
          <cell r="G616">
            <v>2.0251857385157916</v>
          </cell>
          <cell r="H616">
            <v>1.6967249679264025</v>
          </cell>
          <cell r="I616">
            <v>1.4248594606687135</v>
          </cell>
          <cell r="J616">
            <v>1.1195605069871413</v>
          </cell>
          <cell r="K616">
            <v>1.6911629535392254</v>
          </cell>
          <cell r="L616">
            <v>1.6657543927564591</v>
          </cell>
          <cell r="M616">
            <v>0.70729202732791341</v>
          </cell>
          <cell r="N616">
            <v>0.70742727475326472</v>
          </cell>
          <cell r="O616">
            <v>0.70763282426536511</v>
          </cell>
        </row>
        <row r="617">
          <cell r="A617" t="str">
            <v>SCOM-SHELCBR</v>
          </cell>
          <cell r="B617" t="str">
            <v>VAR_ncap</v>
          </cell>
          <cell r="C617" t="str">
            <v>-</v>
          </cell>
          <cell r="D617">
            <v>3.3089126511761201E-7</v>
          </cell>
          <cell r="E617">
            <v>3.4844251912914001E-7</v>
          </cell>
          <cell r="F617">
            <v>0.12642218466612501</v>
          </cell>
          <cell r="G617">
            <v>1.8682681528318601E-6</v>
          </cell>
          <cell r="H617">
            <v>4.6808875083409501E-2</v>
          </cell>
          <cell r="I617">
            <v>8.2133113140358802E-2</v>
          </cell>
          <cell r="J617">
            <v>9.5263466843678704E-5</v>
          </cell>
          <cell r="K617">
            <v>0.15338982015883301</v>
          </cell>
          <cell r="L617">
            <v>5.1354241705759099E-2</v>
          </cell>
          <cell r="M617">
            <v>2.7865132018018601E-6</v>
          </cell>
          <cell r="N617">
            <v>3.2906836046347303E-2</v>
          </cell>
          <cell r="O617">
            <v>4.3257893111414397E-2</v>
          </cell>
        </row>
        <row r="618">
          <cell r="A618" t="str">
            <v>SCOM-SHELCBR</v>
          </cell>
          <cell r="B618" t="str">
            <v>VAR_cap</v>
          </cell>
          <cell r="C618" t="str">
            <v>-</v>
          </cell>
          <cell r="D618">
            <v>0.18498837924270711</v>
          </cell>
          <cell r="E618">
            <v>5.0257340575215248E-2</v>
          </cell>
          <cell r="F618">
            <v>0.17667939760814999</v>
          </cell>
          <cell r="G618">
            <v>0.17668054800629301</v>
          </cell>
          <cell r="H618">
            <v>0.18626437104547519</v>
          </cell>
          <cell r="I618">
            <v>0.1554905344891305</v>
          </cell>
          <cell r="J618">
            <v>0.1290355592219003</v>
          </cell>
          <cell r="K618">
            <v>0.2356164595730468</v>
          </cell>
          <cell r="L618">
            <v>0.21744555773899385</v>
          </cell>
          <cell r="M618">
            <v>9.7666863996408004E-2</v>
          </cell>
          <cell r="N618">
            <v>7.6184056679943907E-2</v>
          </cell>
          <cell r="O618">
            <v>7.6166185384235738E-2</v>
          </cell>
        </row>
        <row r="619">
          <cell r="A619" t="str">
            <v>RHES-SHCONBR3</v>
          </cell>
          <cell r="B619" t="str">
            <v>VAR_fout</v>
          </cell>
          <cell r="C619" t="str">
            <v>RHES-SHCON</v>
          </cell>
          <cell r="D619">
            <v>0.45434849089337104</v>
          </cell>
          <cell r="E619">
            <v>1.1324825047811642</v>
          </cell>
          <cell r="F619">
            <v>1.1323603232322181</v>
          </cell>
          <cell r="G619">
            <v>1.1324368902913045</v>
          </cell>
          <cell r="H619">
            <v>1.1324282814931819</v>
          </cell>
          <cell r="I619">
            <v>1.1324531557941195</v>
          </cell>
          <cell r="J619">
            <v>1.1324347536151926</v>
          </cell>
          <cell r="K619">
            <v>0.61271427659719002</v>
          </cell>
          <cell r="L619">
            <v>2.55165473584575E-4</v>
          </cell>
          <cell r="M619">
            <v>2.6498385064320311E-4</v>
          </cell>
          <cell r="N619">
            <v>2.574684044461735E-4</v>
          </cell>
          <cell r="O619">
            <v>2.5904162690144965E-4</v>
          </cell>
        </row>
        <row r="620">
          <cell r="A620" t="str">
            <v>RHES-SHCONBR3</v>
          </cell>
          <cell r="B620" t="str">
            <v>VAR_fin</v>
          </cell>
          <cell r="C620" t="str">
            <v>CON</v>
          </cell>
          <cell r="D620">
            <v>0.45434849089337104</v>
          </cell>
          <cell r="E620">
            <v>1.1324825047811642</v>
          </cell>
          <cell r="F620">
            <v>1.1323603232322181</v>
          </cell>
          <cell r="G620">
            <v>1.1324368902913045</v>
          </cell>
          <cell r="H620">
            <v>1.1324282814931819</v>
          </cell>
          <cell r="I620">
            <v>1.1324531557941195</v>
          </cell>
          <cell r="J620">
            <v>1.1324347536151926</v>
          </cell>
          <cell r="K620">
            <v>0.61271427659719002</v>
          </cell>
          <cell r="L620">
            <v>2.55165473584575E-4</v>
          </cell>
          <cell r="M620">
            <v>2.6498385064320311E-4</v>
          </cell>
          <cell r="N620">
            <v>2.574684044461735E-4</v>
          </cell>
          <cell r="O620">
            <v>2.5904162690144965E-4</v>
          </cell>
        </row>
        <row r="621">
          <cell r="A621" t="str">
            <v>RHES-SHCONBR3</v>
          </cell>
          <cell r="B621" t="str">
            <v>VAR_ncap</v>
          </cell>
          <cell r="C621" t="str">
            <v>-</v>
          </cell>
          <cell r="D621">
            <v>3.6735586349012299E-2</v>
          </cell>
          <cell r="E621">
            <v>5.4754104141685501E-2</v>
          </cell>
          <cell r="G621">
            <v>1.31284522343871E-8</v>
          </cell>
          <cell r="I621">
            <v>1.1559228259541899E-8</v>
          </cell>
          <cell r="K621">
            <v>8.0643964171159199E-8</v>
          </cell>
          <cell r="L621">
            <v>2.01888899754845E-5</v>
          </cell>
          <cell r="M621">
            <v>9.6323334880497104E-8</v>
          </cell>
          <cell r="N621">
            <v>1.1917452430942801E-7</v>
          </cell>
          <cell r="O621">
            <v>1.10272710551412E-8</v>
          </cell>
        </row>
        <row r="622">
          <cell r="A622" t="str">
            <v>RHES-SHCONBR3</v>
          </cell>
          <cell r="B622" t="str">
            <v>VAR_cap</v>
          </cell>
          <cell r="C622" t="str">
            <v>-</v>
          </cell>
          <cell r="D622">
            <v>3.6735586349012299E-2</v>
          </cell>
          <cell r="E622">
            <v>9.14896904906978E-2</v>
          </cell>
          <cell r="F622">
            <v>9.14896904906978E-2</v>
          </cell>
          <cell r="G622">
            <v>9.1489703619150001E-2</v>
          </cell>
          <cell r="H622">
            <v>9.1489703619150001E-2</v>
          </cell>
          <cell r="I622">
            <v>9.1489715178378297E-2</v>
          </cell>
          <cell r="J622">
            <v>9.1489715178378297E-2</v>
          </cell>
          <cell r="K622">
            <v>4.9500390088705E-2</v>
          </cell>
          <cell r="L622">
            <v>2.0290699213825501E-5</v>
          </cell>
          <cell r="M622">
            <v>2.0377416502795701E-5</v>
          </cell>
          <cell r="N622">
            <v>2.0494781430270701E-5</v>
          </cell>
          <cell r="O622">
            <v>2.0496059069900699E-5</v>
          </cell>
        </row>
        <row r="623">
          <cell r="A623" t="str">
            <v>ITOT-SWHCONBR5</v>
          </cell>
          <cell r="B623" t="str">
            <v>VAR_fout</v>
          </cell>
          <cell r="C623" t="str">
            <v>ITOT-ELS</v>
          </cell>
          <cell r="H623">
            <v>9.1434642720280486E-5</v>
          </cell>
          <cell r="I623">
            <v>9.1883842554435998E-5</v>
          </cell>
          <cell r="J623">
            <v>9.2148264193810952E-5</v>
          </cell>
          <cell r="K623">
            <v>1.121654710561077E-4</v>
          </cell>
          <cell r="L623">
            <v>1.130272088049452E-4</v>
          </cell>
          <cell r="M623">
            <v>1.8521718394483367E-4</v>
          </cell>
          <cell r="N623">
            <v>1.5574233313115902E-4</v>
          </cell>
          <cell r="O623">
            <v>2.8803364925903638E-4</v>
          </cell>
        </row>
        <row r="624">
          <cell r="A624" t="str">
            <v>ITOT-SWHCONBR5</v>
          </cell>
          <cell r="B624" t="str">
            <v>VAR_fout</v>
          </cell>
          <cell r="C624" t="str">
            <v>ITOT-SWHC</v>
          </cell>
          <cell r="H624">
            <v>4.4847562832944782E-4</v>
          </cell>
          <cell r="I624">
            <v>4.5067889802980285E-4</v>
          </cell>
          <cell r="J624">
            <v>4.519758535089789E-4</v>
          </cell>
          <cell r="K624">
            <v>5.5015778059795488E-4</v>
          </cell>
          <cell r="L624">
            <v>5.5438449781220996E-4</v>
          </cell>
          <cell r="M624">
            <v>9.0846740880462919E-4</v>
          </cell>
          <cell r="N624">
            <v>7.6389690636368226E-4</v>
          </cell>
          <cell r="O624">
            <v>1.4127694710488374E-3</v>
          </cell>
        </row>
        <row r="625">
          <cell r="A625" t="str">
            <v>ITOT-SWHCONBR5</v>
          </cell>
          <cell r="B625" t="str">
            <v>VAR_fin</v>
          </cell>
          <cell r="C625" t="str">
            <v>CON</v>
          </cell>
          <cell r="H625">
            <v>5.3991027104972867E-4</v>
          </cell>
          <cell r="I625">
            <v>5.425627405842388E-4</v>
          </cell>
          <cell r="J625">
            <v>5.4412411770279065E-4</v>
          </cell>
          <cell r="K625">
            <v>6.6232325165406264E-4</v>
          </cell>
          <cell r="L625">
            <v>6.67411706617155E-4</v>
          </cell>
          <cell r="M625">
            <v>1.0936845927494638E-3</v>
          </cell>
          <cell r="N625">
            <v>9.1963923949484126E-4</v>
          </cell>
          <cell r="O625">
            <v>1.7008031203078759E-3</v>
          </cell>
        </row>
        <row r="626">
          <cell r="A626" t="str">
            <v>ITOT-SWHCONBR5</v>
          </cell>
          <cell r="B626" t="str">
            <v>VAR_ncap</v>
          </cell>
          <cell r="C626" t="str">
            <v>-</v>
          </cell>
          <cell r="H626">
            <v>2.9076162320806001E-5</v>
          </cell>
          <cell r="I626">
            <v>7.4650890355640305E-8</v>
          </cell>
          <cell r="J626">
            <v>1.27556537427095E-7</v>
          </cell>
          <cell r="K626">
            <v>3.5110303369258697E-5</v>
          </cell>
          <cell r="L626">
            <v>8.8400282309104005E-7</v>
          </cell>
          <cell r="M626">
            <v>2.2794143244255601E-5</v>
          </cell>
          <cell r="N626">
            <v>2.0180871576671099E-5</v>
          </cell>
          <cell r="O626">
            <v>4.8794857949234599E-5</v>
          </cell>
        </row>
        <row r="627">
          <cell r="A627" t="str">
            <v>ITOT-SWHCONBR5</v>
          </cell>
          <cell r="B627" t="str">
            <v>VAR_cap</v>
          </cell>
          <cell r="C627" t="str">
            <v>-</v>
          </cell>
          <cell r="H627">
            <v>2.9076162320806001E-5</v>
          </cell>
          <cell r="I627">
            <v>2.9150813211161601E-5</v>
          </cell>
          <cell r="J627">
            <v>2.92783697485887E-5</v>
          </cell>
          <cell r="K627">
            <v>3.53125107970414E-5</v>
          </cell>
          <cell r="L627">
            <v>3.6116432485413501E-5</v>
          </cell>
          <cell r="M627">
            <v>5.8788449436605398E-5</v>
          </cell>
          <cell r="N627">
            <v>4.9797581105837702E-5</v>
          </cell>
          <cell r="O627">
            <v>9.1769872770161299E-5</v>
          </cell>
        </row>
        <row r="628">
          <cell r="A628" t="str">
            <v>RHES-SHSTG-ELC</v>
          </cell>
          <cell r="B628" t="str">
            <v>VAR_fout</v>
          </cell>
          <cell r="C628" t="str">
            <v>RHES-SHAELCB</v>
          </cell>
          <cell r="D628">
            <v>6.3458449786613107E-8</v>
          </cell>
          <cell r="E628">
            <v>0.68586006943323385</v>
          </cell>
          <cell r="F628">
            <v>0.62188712952497527</v>
          </cell>
          <cell r="G628">
            <v>0.61493436117298039</v>
          </cell>
          <cell r="H628">
            <v>0.21768661278984611</v>
          </cell>
          <cell r="I628">
            <v>0.11880079493531909</v>
          </cell>
          <cell r="J628">
            <v>0.14194251350369291</v>
          </cell>
          <cell r="K628">
            <v>0.36043641358524486</v>
          </cell>
          <cell r="L628">
            <v>0.34727142654783016</v>
          </cell>
          <cell r="M628">
            <v>0.27465793639482422</v>
          </cell>
          <cell r="N628">
            <v>0.3106762733342302</v>
          </cell>
          <cell r="O628">
            <v>0.17230946762943736</v>
          </cell>
        </row>
        <row r="629">
          <cell r="A629" t="str">
            <v>RHES-SHSTG-ELC</v>
          </cell>
          <cell r="B629" t="str">
            <v>VAR_fin</v>
          </cell>
          <cell r="C629" t="str">
            <v>RHES-SHAELCB</v>
          </cell>
          <cell r="D629">
            <v>1.9710204424395458E-7</v>
          </cell>
          <cell r="E629">
            <v>0.68588342111088363</v>
          </cell>
          <cell r="F629">
            <v>0.62191198914205759</v>
          </cell>
          <cell r="G629">
            <v>0.61495788534789853</v>
          </cell>
          <cell r="H629">
            <v>0.21769440141767438</v>
          </cell>
          <cell r="I629">
            <v>0.11880519703697962</v>
          </cell>
          <cell r="J629">
            <v>0.1419475914478055</v>
          </cell>
          <cell r="K629">
            <v>0.36044907712397944</v>
          </cell>
          <cell r="L629">
            <v>0.3472840502078286</v>
          </cell>
          <cell r="M629">
            <v>0.27466875957733816</v>
          </cell>
          <cell r="N629">
            <v>0.31068862609026143</v>
          </cell>
          <cell r="O629">
            <v>0.17231778715666721</v>
          </cell>
        </row>
        <row r="630">
          <cell r="A630" t="str">
            <v>RHES-SHSTG-ELC</v>
          </cell>
          <cell r="B630" t="str">
            <v>VAR_ncap</v>
          </cell>
          <cell r="C630" t="str">
            <v>-</v>
          </cell>
          <cell r="D630">
            <v>2.3163424635858098E-3</v>
          </cell>
          <cell r="E630">
            <v>5.8704819833163099E-2</v>
          </cell>
          <cell r="F630">
            <v>7.8202405820259007E-6</v>
          </cell>
          <cell r="G630">
            <v>7.8018836152698107E-6</v>
          </cell>
          <cell r="H630">
            <v>1.93134539487476E-5</v>
          </cell>
          <cell r="I630">
            <v>1.0906410890259399E-2</v>
          </cell>
          <cell r="J630">
            <v>2.13810204823943E-3</v>
          </cell>
          <cell r="K630">
            <v>1.7650467066284498E-2</v>
          </cell>
          <cell r="L630">
            <v>8.2649202941366892E-3</v>
          </cell>
          <cell r="M630">
            <v>9.4962764576607406E-5</v>
          </cell>
          <cell r="N630">
            <v>1.92749643444243E-2</v>
          </cell>
          <cell r="O630">
            <v>8.5515133308661099E-4</v>
          </cell>
        </row>
        <row r="631">
          <cell r="A631" t="str">
            <v>RHES-SHSTG-ELC</v>
          </cell>
          <cell r="B631" t="str">
            <v>VAR_cap</v>
          </cell>
          <cell r="C631" t="str">
            <v>-</v>
          </cell>
          <cell r="D631">
            <v>2.3163424635858098E-3</v>
          </cell>
          <cell r="E631">
            <v>6.1018082558855449E-2</v>
          </cell>
          <cell r="F631">
            <v>6.1017990909939507E-2</v>
          </cell>
          <cell r="G631">
            <v>6.1018132394646062E-2</v>
          </cell>
          <cell r="H631">
            <v>1.7869042064972401E-2</v>
          </cell>
          <cell r="I631">
            <v>1.0925924207456406E-2</v>
          </cell>
          <cell r="J631">
            <v>1.3052295422294791E-2</v>
          </cell>
          <cell r="K631">
            <v>3.0663137047182615E-2</v>
          </cell>
          <cell r="L631">
            <v>2.9398307111506278E-2</v>
          </cell>
          <cell r="M631">
            <v>2.5908056049873597E-2</v>
          </cell>
          <cell r="N631">
            <v>2.8058994361264869E-2</v>
          </cell>
          <cell r="O631">
            <v>2.0165415307237554E-2</v>
          </cell>
        </row>
        <row r="632">
          <cell r="A632" t="str">
            <v>RHES-SHCONBR4</v>
          </cell>
          <cell r="B632" t="str">
            <v>VAR_fout</v>
          </cell>
          <cell r="C632" t="str">
            <v>RHES-SHCON</v>
          </cell>
          <cell r="E632">
            <v>0.42669432401064272</v>
          </cell>
          <cell r="F632">
            <v>0.42661519174270018</v>
          </cell>
          <cell r="G632">
            <v>0.42666057505310628</v>
          </cell>
          <cell r="H632">
            <v>0.4266619313079989</v>
          </cell>
          <cell r="I632">
            <v>0.42667132399938978</v>
          </cell>
          <cell r="J632">
            <v>0.42666285460348519</v>
          </cell>
          <cell r="K632">
            <v>0.28795194998878021</v>
          </cell>
          <cell r="L632">
            <v>1.1426807634152328E-4</v>
          </cell>
          <cell r="M632">
            <v>1.248452739483966E-4</v>
          </cell>
          <cell r="N632">
            <v>1.1760704364102862E-4</v>
          </cell>
          <cell r="O632">
            <v>1.1998127647240235E-4</v>
          </cell>
        </row>
        <row r="633">
          <cell r="A633" t="str">
            <v>RHES-SHCONBR4</v>
          </cell>
          <cell r="B633" t="str">
            <v>VAR_fin</v>
          </cell>
          <cell r="C633" t="str">
            <v>CON</v>
          </cell>
          <cell r="E633">
            <v>0.42669432401064272</v>
          </cell>
          <cell r="F633">
            <v>0.42661519174270018</v>
          </cell>
          <cell r="G633">
            <v>0.42666057505310628</v>
          </cell>
          <cell r="H633">
            <v>0.4266619313079989</v>
          </cell>
          <cell r="I633">
            <v>0.42667132399938978</v>
          </cell>
          <cell r="J633">
            <v>0.42666285460348519</v>
          </cell>
          <cell r="K633">
            <v>0.28795194998878021</v>
          </cell>
          <cell r="L633">
            <v>1.1426807634152328E-4</v>
          </cell>
          <cell r="M633">
            <v>1.248452739483966E-4</v>
          </cell>
          <cell r="N633">
            <v>1.1760704364102862E-4</v>
          </cell>
          <cell r="O633">
            <v>1.1998127647240235E-4</v>
          </cell>
        </row>
        <row r="634">
          <cell r="A634" t="str">
            <v>RHES-SHCONBR4</v>
          </cell>
          <cell r="B634" t="str">
            <v>VAR_ncap</v>
          </cell>
          <cell r="C634" t="str">
            <v>-</v>
          </cell>
          <cell r="E634">
            <v>3.4470616590584501E-2</v>
          </cell>
          <cell r="K634">
            <v>6.3432853232452899E-8</v>
          </cell>
          <cell r="L634">
            <v>8.8465910658373601E-6</v>
          </cell>
          <cell r="M634">
            <v>1.40000414411488E-7</v>
          </cell>
          <cell r="N634">
            <v>1.3828492549258099E-7</v>
          </cell>
          <cell r="O634">
            <v>1.1662713350973101E-8</v>
          </cell>
        </row>
        <row r="635">
          <cell r="A635" t="str">
            <v>RHES-SHCONBR4</v>
          </cell>
          <cell r="B635" t="str">
            <v>VAR_cap</v>
          </cell>
          <cell r="C635" t="str">
            <v>-</v>
          </cell>
          <cell r="E635">
            <v>3.4470616590584501E-2</v>
          </cell>
          <cell r="F635">
            <v>3.4470616590584501E-2</v>
          </cell>
          <cell r="G635">
            <v>3.4470616590584501E-2</v>
          </cell>
          <cell r="H635">
            <v>3.4470616590584501E-2</v>
          </cell>
          <cell r="I635">
            <v>3.4470616590584501E-2</v>
          </cell>
          <cell r="J635">
            <v>3.4470616590584501E-2</v>
          </cell>
          <cell r="K635">
            <v>2.3263001466781699E-2</v>
          </cell>
          <cell r="L635">
            <v>8.9100239190698102E-6</v>
          </cell>
          <cell r="M635">
            <v>9.0500243334813E-6</v>
          </cell>
          <cell r="N635">
            <v>9.1883092589738805E-6</v>
          </cell>
          <cell r="O635">
            <v>9.1999719723248604E-6</v>
          </cell>
        </row>
        <row r="636">
          <cell r="A636" t="str">
            <v>ITOT-SWHCONBR6</v>
          </cell>
          <cell r="B636" t="str">
            <v>VAR_fout</v>
          </cell>
          <cell r="C636" t="str">
            <v>ITOT-SWHC</v>
          </cell>
          <cell r="I636">
            <v>1.1979802734009756E-4</v>
          </cell>
          <cell r="J636">
            <v>1.2184962495957588E-4</v>
          </cell>
          <cell r="K636">
            <v>3.4576300921695632E-4</v>
          </cell>
          <cell r="L636">
            <v>2.6574453335310224E-4</v>
          </cell>
          <cell r="M636">
            <v>4.5588909429608446E-4</v>
          </cell>
          <cell r="N636">
            <v>3.665434849414964E-4</v>
          </cell>
          <cell r="O636">
            <v>7.9098156816346057E-4</v>
          </cell>
        </row>
        <row r="637">
          <cell r="A637" t="str">
            <v>ITOT-SWHCONBR6</v>
          </cell>
          <cell r="B637" t="str">
            <v>VAR_fin</v>
          </cell>
          <cell r="C637" t="str">
            <v>CON</v>
          </cell>
          <cell r="I637">
            <v>1.1979802734009756E-4</v>
          </cell>
          <cell r="J637">
            <v>1.2184962495957588E-4</v>
          </cell>
          <cell r="K637">
            <v>3.4576300921695632E-4</v>
          </cell>
          <cell r="L637">
            <v>2.6574453335310224E-4</v>
          </cell>
          <cell r="M637">
            <v>4.5588909429608446E-4</v>
          </cell>
          <cell r="N637">
            <v>3.665434849414964E-4</v>
          </cell>
          <cell r="O637">
            <v>7.9098156816346057E-4</v>
          </cell>
        </row>
        <row r="638">
          <cell r="A638" t="str">
            <v>ITOT-SWHCONBR6</v>
          </cell>
          <cell r="B638" t="str">
            <v>VAR_ncap</v>
          </cell>
          <cell r="C638" t="str">
            <v>-</v>
          </cell>
          <cell r="I638">
            <v>5.9050332616277002E-6</v>
          </cell>
          <cell r="J638">
            <v>2.6566589055832901E-7</v>
          </cell>
          <cell r="K638">
            <v>1.1911565300309E-5</v>
          </cell>
          <cell r="L638">
            <v>1.2037581224768001E-6</v>
          </cell>
          <cell r="M638">
            <v>1.09766988172345E-5</v>
          </cell>
          <cell r="N638">
            <v>5.7969425994865802E-6</v>
          </cell>
          <cell r="O638">
            <v>2.5499074859765499E-5</v>
          </cell>
        </row>
        <row r="639">
          <cell r="A639" t="str">
            <v>ITOT-SWHCONBR6</v>
          </cell>
          <cell r="B639" t="str">
            <v>VAR_cap</v>
          </cell>
          <cell r="C639" t="str">
            <v>-</v>
          </cell>
          <cell r="I639">
            <v>5.9050332616277002E-6</v>
          </cell>
          <cell r="J639">
            <v>6.17069915218603E-6</v>
          </cell>
          <cell r="K639">
            <v>1.8082264452495002E-5</v>
          </cell>
          <cell r="L639">
            <v>1.42531222381345E-5</v>
          </cell>
          <cell r="M639">
            <v>2.40920222400203E-5</v>
          </cell>
          <cell r="N639">
            <v>1.97055910895503E-5</v>
          </cell>
          <cell r="O639">
            <v>4.2272716276486702E-5</v>
          </cell>
        </row>
        <row r="640">
          <cell r="A640" t="str">
            <v>RHNM-SHNGAHP</v>
          </cell>
          <cell r="B640" t="str">
            <v>VAR_fout</v>
          </cell>
          <cell r="C640" t="str">
            <v>CO2_R</v>
          </cell>
          <cell r="F640">
            <v>4.8123218992117099E-2</v>
          </cell>
          <cell r="G640">
            <v>4.74782538505912E-2</v>
          </cell>
          <cell r="H640">
            <v>50.244832449559603</v>
          </cell>
          <cell r="I640">
            <v>87.739341364912505</v>
          </cell>
          <cell r="J640">
            <v>85.180524682166705</v>
          </cell>
          <cell r="K640">
            <v>36.428990069293597</v>
          </cell>
          <cell r="L640">
            <v>8.7611571950973396E-2</v>
          </cell>
          <cell r="M640">
            <v>2.8483576440460501E-2</v>
          </cell>
          <cell r="N640">
            <v>2.8211752077523199E-2</v>
          </cell>
          <cell r="O640">
            <v>2.8197347903532798E-2</v>
          </cell>
        </row>
        <row r="641">
          <cell r="A641" t="str">
            <v>RHNM-SHNGAHP</v>
          </cell>
          <cell r="B641" t="str">
            <v>VAR_fout</v>
          </cell>
          <cell r="C641" t="str">
            <v>RHNM-SHANGAH</v>
          </cell>
          <cell r="F641">
            <v>1.706497127380039E-3</v>
          </cell>
          <cell r="G641">
            <v>1.7509710639934362E-3</v>
          </cell>
          <cell r="H641">
            <v>1.9153615206835652</v>
          </cell>
          <cell r="I641">
            <v>3.4535698196827225</v>
          </cell>
          <cell r="J641">
            <v>3.4434680190663149</v>
          </cell>
          <cell r="K641">
            <v>1.5114155454281388</v>
          </cell>
          <cell r="L641">
            <v>3.6349481979659165E-3</v>
          </cell>
          <cell r="M641">
            <v>1.1817654055084688E-3</v>
          </cell>
          <cell r="N641">
            <v>1.1704875861951129E-3</v>
          </cell>
          <cell r="O641">
            <v>1.1698899662104037E-3</v>
          </cell>
        </row>
        <row r="642">
          <cell r="A642" t="str">
            <v>RHNM-SHNGAHP</v>
          </cell>
          <cell r="B642" t="str">
            <v>VAR_fin</v>
          </cell>
          <cell r="C642" t="str">
            <v>RNGA</v>
          </cell>
          <cell r="F642">
            <v>8.532485636900196E-4</v>
          </cell>
          <cell r="G642">
            <v>8.4181301153530631E-4</v>
          </cell>
          <cell r="H642">
            <v>0.89086582357375099</v>
          </cell>
          <cell r="I642">
            <v>1.5556620809381636</v>
          </cell>
          <cell r="J642">
            <v>1.5102929908185581</v>
          </cell>
          <cell r="K642">
            <v>0.6459040792427948</v>
          </cell>
          <cell r="L642">
            <v>1.5533966657973997E-3</v>
          </cell>
          <cell r="M642">
            <v>5.050279510719957E-4</v>
          </cell>
          <cell r="N642">
            <v>5.0020837016885188E-4</v>
          </cell>
          <cell r="O642">
            <v>4.9995297701299287E-4</v>
          </cell>
        </row>
        <row r="643">
          <cell r="A643" t="str">
            <v>RHNM-SHNGAHP</v>
          </cell>
          <cell r="B643" t="str">
            <v>VAR_fin</v>
          </cell>
          <cell r="C643" t="str">
            <v>RHNMELCHPC</v>
          </cell>
          <cell r="F643">
            <v>1.706497127380039E-3</v>
          </cell>
          <cell r="G643">
            <v>1.7509710639934362E-3</v>
          </cell>
          <cell r="H643">
            <v>1.9153615206835652</v>
          </cell>
          <cell r="I643">
            <v>3.4535698196827225</v>
          </cell>
          <cell r="J643">
            <v>3.4434680190663149</v>
          </cell>
          <cell r="K643">
            <v>1.5114155454281388</v>
          </cell>
          <cell r="L643">
            <v>3.6349481979659165E-3</v>
          </cell>
          <cell r="M643">
            <v>1.1817654055084688E-3</v>
          </cell>
          <cell r="N643">
            <v>1.1704875861951129E-3</v>
          </cell>
          <cell r="O643">
            <v>1.1698899662104037E-3</v>
          </cell>
        </row>
        <row r="644">
          <cell r="A644" t="str">
            <v>RHNM-SHNGAHP</v>
          </cell>
          <cell r="B644" t="str">
            <v>VAR_ncap</v>
          </cell>
          <cell r="C644" t="str">
            <v>-</v>
          </cell>
          <cell r="E644">
            <v>1.4146624495886201E-7</v>
          </cell>
          <cell r="F644">
            <v>1.3990263262170301E-4</v>
          </cell>
          <cell r="G644">
            <v>1.3749021628279399E-6</v>
          </cell>
          <cell r="H644">
            <v>0.14867005282656401</v>
          </cell>
          <cell r="I644">
            <v>0.11939310938942201</v>
          </cell>
          <cell r="J644">
            <v>1.7407264008731699E-7</v>
          </cell>
          <cell r="K644">
            <v>1.72156419087103E-7</v>
          </cell>
          <cell r="L644">
            <v>2.0177072130200601E-7</v>
          </cell>
          <cell r="M644">
            <v>1.25098242504382E-4</v>
          </cell>
          <cell r="N644">
            <v>1.37661985617966E-6</v>
          </cell>
          <cell r="O644">
            <v>2.7655923745543001E-5</v>
          </cell>
        </row>
        <row r="645">
          <cell r="A645" t="str">
            <v>RHNM-SHNGAHP</v>
          </cell>
          <cell r="B645" t="str">
            <v>VAR_cap</v>
          </cell>
          <cell r="C645" t="str">
            <v>-</v>
          </cell>
          <cell r="E645">
            <v>1.4146624495886201E-7</v>
          </cell>
          <cell r="F645">
            <v>1.4001716593919458E-4</v>
          </cell>
          <cell r="G645">
            <v>1.4137644186204898E-4</v>
          </cell>
          <cell r="H645">
            <v>0.14881126860814192</v>
          </cell>
          <cell r="I645">
            <v>0.26809352976723655</v>
          </cell>
          <cell r="J645">
            <v>0.26806321750305284</v>
          </cell>
          <cell r="K645">
            <v>0.1193932478477811</v>
          </cell>
          <cell r="L645">
            <v>4.5955948981930145E-4</v>
          </cell>
          <cell r="M645">
            <v>1.2532788874608606E-4</v>
          </cell>
          <cell r="N645">
            <v>1.2644339822198505E-4</v>
          </cell>
          <cell r="O645">
            <v>1.5391601643665928E-4</v>
          </cell>
        </row>
        <row r="646">
          <cell r="A646" t="str">
            <v>D-SCOM_KEV_WOD_ELC_CHP</v>
          </cell>
          <cell r="B646" t="str">
            <v>VAR_fout</v>
          </cell>
          <cell r="C646" t="str">
            <v>ELC5</v>
          </cell>
          <cell r="G646">
            <v>1.7804891036510932E-4</v>
          </cell>
          <cell r="H646">
            <v>1.3042643784136088E-4</v>
          </cell>
          <cell r="I646">
            <v>1.0848237222355487E-3</v>
          </cell>
          <cell r="J646">
            <v>1.0062760264575395E-3</v>
          </cell>
          <cell r="K646">
            <v>6.2340113043362721E-4</v>
          </cell>
          <cell r="L646">
            <v>3.3402418494979494E-4</v>
          </cell>
          <cell r="M646">
            <v>3.5346250302525494E-4</v>
          </cell>
          <cell r="N646">
            <v>3.2213765091904068E-4</v>
          </cell>
          <cell r="O646">
            <v>5.3713637390054921E-4</v>
          </cell>
        </row>
        <row r="647">
          <cell r="A647" t="str">
            <v>D-SCOM_KEV_WOD_ELC_CHP</v>
          </cell>
          <cell r="B647" t="str">
            <v>VAR_fout</v>
          </cell>
          <cell r="C647" t="str">
            <v>SCOM_ELC</v>
          </cell>
          <cell r="G647">
            <v>6.4068610884556614E-5</v>
          </cell>
          <cell r="H647">
            <v>1.3036721298245735E-4</v>
          </cell>
          <cell r="I647">
            <v>1.0848369231366236E-3</v>
          </cell>
          <cell r="J647">
            <v>1.0059863383406102E-3</v>
          </cell>
          <cell r="K647">
            <v>6.2322948122785161E-4</v>
          </cell>
          <cell r="L647">
            <v>3.3380471484419815E-4</v>
          </cell>
          <cell r="M647">
            <v>3.5345087321359285E-4</v>
          </cell>
          <cell r="N647">
            <v>3.2202372843662688E-4</v>
          </cell>
          <cell r="O647">
            <v>5.3716313277431835E-4</v>
          </cell>
        </row>
        <row r="648">
          <cell r="A648" t="str">
            <v>D-SCOM_KEV_WOD_ELC_CHP</v>
          </cell>
          <cell r="B648" t="str">
            <v>VAR_fin</v>
          </cell>
          <cell r="C648" t="str">
            <v>SCOM_KEV_WOD_ELC_CHP</v>
          </cell>
          <cell r="G648">
            <v>2.4128248590611498E-4</v>
          </cell>
          <cell r="H648">
            <v>2.5941142232589726E-4</v>
          </cell>
          <cell r="I648">
            <v>2.1686251757717084E-3</v>
          </cell>
          <cell r="J648">
            <v>2.0097844641842263E-3</v>
          </cell>
          <cell r="K648">
            <v>1.2433683754265136E-3</v>
          </cell>
          <cell r="L648">
            <v>6.6584304814154463E-4</v>
          </cell>
          <cell r="M648">
            <v>7.0341773939620693E-4</v>
          </cell>
          <cell r="N648">
            <v>6.4112631303956703E-4</v>
          </cell>
          <cell r="O648">
            <v>1.069502388990127E-3</v>
          </cell>
        </row>
        <row r="649">
          <cell r="A649" t="str">
            <v>RHES-SHCONBR5</v>
          </cell>
          <cell r="B649" t="str">
            <v>VAR_fout</v>
          </cell>
          <cell r="C649" t="str">
            <v>RHES-SHCON</v>
          </cell>
          <cell r="E649">
            <v>2.1338431360436313E-4</v>
          </cell>
          <cell r="F649">
            <v>2.1327049804120558E-4</v>
          </cell>
          <cell r="G649">
            <v>2.0448415484845215E-4</v>
          </cell>
          <cell r="H649">
            <v>2.0859098340500219E-4</v>
          </cell>
          <cell r="I649">
            <v>2.0799032588805435E-4</v>
          </cell>
          <cell r="J649">
            <v>2.1010312274154504E-4</v>
          </cell>
          <cell r="K649">
            <v>1.4644460519102503E-4</v>
          </cell>
          <cell r="L649">
            <v>6.0851240141164641E-5</v>
          </cell>
          <cell r="M649">
            <v>7.2297486676889099E-5</v>
          </cell>
          <cell r="N649">
            <v>6.5838265720486009E-5</v>
          </cell>
          <cell r="O649">
            <v>6.9117370325670122E-5</v>
          </cell>
        </row>
        <row r="650">
          <cell r="A650" t="str">
            <v>RHES-SHCONBR5</v>
          </cell>
          <cell r="B650" t="str">
            <v>VAR_fin</v>
          </cell>
          <cell r="C650" t="str">
            <v>CON</v>
          </cell>
          <cell r="E650">
            <v>2.1338431360436313E-4</v>
          </cell>
          <cell r="F650">
            <v>2.1327049804120558E-4</v>
          </cell>
          <cell r="G650">
            <v>2.0448415484845215E-4</v>
          </cell>
          <cell r="H650">
            <v>2.0859098340500219E-4</v>
          </cell>
          <cell r="I650">
            <v>2.0799032588805435E-4</v>
          </cell>
          <cell r="J650">
            <v>2.1010312274154504E-4</v>
          </cell>
          <cell r="K650">
            <v>1.4644460519102503E-4</v>
          </cell>
          <cell r="L650">
            <v>6.0851240141164641E-5</v>
          </cell>
          <cell r="M650">
            <v>7.2297486676889099E-5</v>
          </cell>
          <cell r="N650">
            <v>6.5838265720486009E-5</v>
          </cell>
          <cell r="O650">
            <v>6.9117370325670122E-5</v>
          </cell>
        </row>
        <row r="651">
          <cell r="A651" t="str">
            <v>RHES-SHCONBR5</v>
          </cell>
          <cell r="B651" t="str">
            <v>VAR_ncap</v>
          </cell>
          <cell r="C651" t="str">
            <v>-</v>
          </cell>
          <cell r="E651">
            <v>1.6202339443116398E-5</v>
          </cell>
          <cell r="K651">
            <v>6.9115299391610496E-8</v>
          </cell>
          <cell r="L651">
            <v>4.5284965155664602E-6</v>
          </cell>
          <cell r="M651">
            <v>2.0716454369871999E-7</v>
          </cell>
          <cell r="N651">
            <v>2.00155221828723E-7</v>
          </cell>
          <cell r="O651">
            <v>1.2473629651645001E-8</v>
          </cell>
        </row>
        <row r="652">
          <cell r="A652" t="str">
            <v>RHES-SHCONBR5</v>
          </cell>
          <cell r="B652" t="str">
            <v>VAR_cap</v>
          </cell>
          <cell r="C652" t="str">
            <v>-</v>
          </cell>
          <cell r="E652">
            <v>1.6202339443116398E-5</v>
          </cell>
          <cell r="F652">
            <v>1.6202339443116398E-5</v>
          </cell>
          <cell r="G652">
            <v>1.6202339443116398E-5</v>
          </cell>
          <cell r="H652">
            <v>1.6202339443116398E-5</v>
          </cell>
          <cell r="I652">
            <v>1.6202339443116398E-5</v>
          </cell>
          <cell r="J652">
            <v>1.6202339443116398E-5</v>
          </cell>
          <cell r="K652">
            <v>1.10034720283874E-5</v>
          </cell>
          <cell r="L652">
            <v>4.5976118149580702E-6</v>
          </cell>
          <cell r="M652">
            <v>4.8047763586567903E-6</v>
          </cell>
          <cell r="N652">
            <v>5.0049315804855099E-6</v>
          </cell>
          <cell r="O652">
            <v>5.0174052101371504E-6</v>
          </cell>
        </row>
        <row r="653">
          <cell r="A653" t="str">
            <v>RHNS-SHCONBR</v>
          </cell>
          <cell r="B653" t="str">
            <v>VAR_fout</v>
          </cell>
          <cell r="C653" t="str">
            <v>RHNS-SHCON</v>
          </cell>
          <cell r="F653">
            <v>2.6015132699896652E-5</v>
          </cell>
          <cell r="G653">
            <v>2.1509437832872731E-5</v>
          </cell>
          <cell r="H653">
            <v>4.1629757210185373E-5</v>
          </cell>
          <cell r="I653">
            <v>3.901838568516272E-5</v>
          </cell>
          <cell r="J653">
            <v>4.1745253596234535E-5</v>
          </cell>
          <cell r="K653">
            <v>9.2287182192061668E-5</v>
          </cell>
          <cell r="L653">
            <v>8.3043678039110871E-5</v>
          </cell>
          <cell r="M653">
            <v>8.5506545042781081E-5</v>
          </cell>
          <cell r="N653">
            <v>1.1715133721646465E-4</v>
          </cell>
          <cell r="O653">
            <v>1.6614671934098153</v>
          </cell>
        </row>
        <row r="654">
          <cell r="A654" t="str">
            <v>RHNS-SHCONBR</v>
          </cell>
          <cell r="B654" t="str">
            <v>VAR_fin</v>
          </cell>
          <cell r="C654" t="str">
            <v>CON</v>
          </cell>
          <cell r="F654">
            <v>2.6015132699896652E-5</v>
          </cell>
          <cell r="G654">
            <v>2.1509437832872731E-5</v>
          </cell>
          <cell r="H654">
            <v>4.1629757210185373E-5</v>
          </cell>
          <cell r="I654">
            <v>3.901838568516272E-5</v>
          </cell>
          <cell r="J654">
            <v>4.1745253596234535E-5</v>
          </cell>
          <cell r="K654">
            <v>9.2287182192061668E-5</v>
          </cell>
          <cell r="L654">
            <v>8.3043678039110871E-5</v>
          </cell>
          <cell r="M654">
            <v>8.5506545042781081E-5</v>
          </cell>
          <cell r="N654">
            <v>1.1715133721646465E-4</v>
          </cell>
          <cell r="O654">
            <v>1.6614671934098153</v>
          </cell>
        </row>
        <row r="655">
          <cell r="A655" t="str">
            <v>RHNS-SHCONBR</v>
          </cell>
          <cell r="B655" t="str">
            <v>VAR_ncap</v>
          </cell>
          <cell r="C655" t="str">
            <v>-</v>
          </cell>
          <cell r="F655">
            <v>1.2112384457868201E-6</v>
          </cell>
          <cell r="G655">
            <v>3.2036865673239201E-8</v>
          </cell>
          <cell r="H655">
            <v>1.13004510903793E-6</v>
          </cell>
          <cell r="I655">
            <v>4.8050602061341699E-8</v>
          </cell>
          <cell r="J655">
            <v>3.572694984686E-8</v>
          </cell>
          <cell r="K655">
            <v>3.3360068975233798E-6</v>
          </cell>
          <cell r="L655">
            <v>3.9661085594790199E-8</v>
          </cell>
          <cell r="M655">
            <v>2.01434857445643E-7</v>
          </cell>
          <cell r="N655">
            <v>3.6684526584063299E-6</v>
          </cell>
          <cell r="O655">
            <v>0.26855161561980501</v>
          </cell>
        </row>
        <row r="656">
          <cell r="A656" t="str">
            <v>RHNS-SHCONBR</v>
          </cell>
          <cell r="B656" t="str">
            <v>VAR_cap</v>
          </cell>
          <cell r="C656" t="str">
            <v>-</v>
          </cell>
          <cell r="F656">
            <v>1.2112384457868201E-6</v>
          </cell>
          <cell r="G656">
            <v>1.2432753114600599E-6</v>
          </cell>
          <cell r="H656">
            <v>2.3733204204979899E-6</v>
          </cell>
          <cell r="I656">
            <v>2.4213710225593301E-6</v>
          </cell>
          <cell r="J656">
            <v>2.45709797240619E-6</v>
          </cell>
          <cell r="K656">
            <v>5.7931048699295698E-6</v>
          </cell>
          <cell r="L656">
            <v>5.8327659555243597E-6</v>
          </cell>
          <cell r="M656">
            <v>5.9108809154343457E-6</v>
          </cell>
          <cell r="N656">
            <v>9.7026534713763399E-6</v>
          </cell>
          <cell r="O656">
            <v>0.26856131827327701</v>
          </cell>
        </row>
        <row r="657">
          <cell r="A657" t="str">
            <v>D-RHEM_SOLELC</v>
          </cell>
          <cell r="B657" t="str">
            <v>VAR_fout</v>
          </cell>
          <cell r="C657" t="str">
            <v>ELC5</v>
          </cell>
          <cell r="D657">
            <v>0.15925442737033382</v>
          </cell>
          <cell r="E657">
            <v>0.66706391704209578</v>
          </cell>
          <cell r="F657">
            <v>1.6589550416719381</v>
          </cell>
          <cell r="G657">
            <v>4.3047785742108351</v>
          </cell>
          <cell r="H657">
            <v>3.8712638893725702</v>
          </cell>
          <cell r="I657">
            <v>3.8750675320140875</v>
          </cell>
          <cell r="J657">
            <v>4.0274406901746849</v>
          </cell>
          <cell r="K657">
            <v>3.9159110621264843</v>
          </cell>
          <cell r="L657">
            <v>4.1392323871923464</v>
          </cell>
          <cell r="M657">
            <v>4.2631542730781167</v>
          </cell>
          <cell r="N657">
            <v>4.4190674189890702</v>
          </cell>
          <cell r="O657">
            <v>4.5836238977010888</v>
          </cell>
        </row>
        <row r="658">
          <cell r="A658" t="str">
            <v>D-RHEM_SOLELC</v>
          </cell>
          <cell r="B658" t="str">
            <v>VAR_fout</v>
          </cell>
          <cell r="C658" t="str">
            <v>RHEM_ELC</v>
          </cell>
          <cell r="D658">
            <v>0.70322879841551478</v>
          </cell>
          <cell r="E658">
            <v>0.62051909842845476</v>
          </cell>
          <cell r="F658">
            <v>1.3391236991192117</v>
          </cell>
          <cell r="G658">
            <v>2.4645479726708075</v>
          </cell>
          <cell r="H658">
            <v>3.2430106754918935</v>
          </cell>
          <cell r="I658">
            <v>3.6024180301642423</v>
          </cell>
          <cell r="J658">
            <v>3.8283030021436932</v>
          </cell>
          <cell r="K658">
            <v>4.0503551055893761</v>
          </cell>
          <cell r="L658">
            <v>4.2021895544344483</v>
          </cell>
          <cell r="M658">
            <v>4.4849049189074748</v>
          </cell>
          <cell r="N658">
            <v>4.7574561078698929</v>
          </cell>
          <cell r="O658">
            <v>4.9879256611575107</v>
          </cell>
        </row>
        <row r="659">
          <cell r="A659" t="str">
            <v>D-RHEM_SOLELC</v>
          </cell>
          <cell r="B659" t="str">
            <v>VAR_fin</v>
          </cell>
          <cell r="C659" t="str">
            <v>RHEM_SOL_ELC</v>
          </cell>
          <cell r="D659">
            <v>0.86248322578584768</v>
          </cell>
          <cell r="E659">
            <v>1.2875825858114247</v>
          </cell>
          <cell r="F659">
            <v>2.9980787407911502</v>
          </cell>
          <cell r="G659">
            <v>6.7693265468816426</v>
          </cell>
          <cell r="H659">
            <v>7.1142745648644627</v>
          </cell>
          <cell r="I659">
            <v>7.477485562178332</v>
          </cell>
          <cell r="J659">
            <v>7.855743692318379</v>
          </cell>
          <cell r="K659">
            <v>7.9662661677158608</v>
          </cell>
          <cell r="L659">
            <v>8.3414219416267947</v>
          </cell>
          <cell r="M659">
            <v>8.7480591919855897</v>
          </cell>
          <cell r="N659">
            <v>9.176523526858972</v>
          </cell>
          <cell r="O659">
            <v>9.5715495588585977</v>
          </cell>
        </row>
        <row r="660">
          <cell r="A660" t="str">
            <v>ITOT-SWHCONBR7</v>
          </cell>
          <cell r="B660" t="str">
            <v>VAR_fout</v>
          </cell>
          <cell r="C660" t="str">
            <v>ITOT-ELS</v>
          </cell>
          <cell r="I660">
            <v>0.11929989699132111</v>
          </cell>
          <cell r="J660">
            <v>0.1907782802166936</v>
          </cell>
          <cell r="K660">
            <v>0.190767283356057</v>
          </cell>
          <cell r="L660">
            <v>8.0333760938692711E-2</v>
          </cell>
          <cell r="M660">
            <v>7.6353019592710885E-4</v>
          </cell>
          <cell r="N660">
            <v>8.090984925664495E-4</v>
          </cell>
          <cell r="O660">
            <v>9.2172477851116044E-4</v>
          </cell>
        </row>
        <row r="661">
          <cell r="A661" t="str">
            <v>ITOT-SWHCONBR7</v>
          </cell>
          <cell r="B661" t="str">
            <v>VAR_fout</v>
          </cell>
          <cell r="C661" t="str">
            <v>ITOT-SWHC</v>
          </cell>
          <cell r="I661">
            <v>2.0803235817498839E-2</v>
          </cell>
          <cell r="J661">
            <v>3.3267468390969966E-2</v>
          </cell>
          <cell r="K661">
            <v>3.3265550784242391E-2</v>
          </cell>
          <cell r="L661">
            <v>1.4008412538996392E-2</v>
          </cell>
          <cell r="M661">
            <v>1.331426021332462E-4</v>
          </cell>
          <cell r="N661">
            <v>1.4108869466724841E-4</v>
          </cell>
          <cell r="O661">
            <v>1.6072820186587843E-4</v>
          </cell>
        </row>
        <row r="662">
          <cell r="A662" t="str">
            <v>ITOT-SWHCONBR7</v>
          </cell>
          <cell r="B662" t="str">
            <v>VAR_fin</v>
          </cell>
          <cell r="C662" t="str">
            <v>CON</v>
          </cell>
          <cell r="I662">
            <v>0.14010313280881997</v>
          </cell>
          <cell r="J662">
            <v>0.22404574860766355</v>
          </cell>
          <cell r="K662">
            <v>0.22403283414029959</v>
          </cell>
          <cell r="L662">
            <v>9.4342173477689056E-2</v>
          </cell>
          <cell r="M662">
            <v>8.9667279806035537E-4</v>
          </cell>
          <cell r="N662">
            <v>9.5018718723369861E-4</v>
          </cell>
          <cell r="O662">
            <v>1.0824529803770391E-3</v>
          </cell>
        </row>
        <row r="663">
          <cell r="A663" t="str">
            <v>ITOT-SWHCONBR7</v>
          </cell>
          <cell r="B663" t="str">
            <v>VAR_ncap</v>
          </cell>
          <cell r="C663" t="str">
            <v>-</v>
          </cell>
          <cell r="I663">
            <v>7.6210581290036897E-3</v>
          </cell>
          <cell r="J663">
            <v>4.5656009727498897E-3</v>
          </cell>
          <cell r="K663">
            <v>1.3504226559166599E-7</v>
          </cell>
          <cell r="L663">
            <v>3.1232214085114901E-7</v>
          </cell>
          <cell r="M663">
            <v>4.8115581158199197E-5</v>
          </cell>
          <cell r="N663">
            <v>3.2004989621742198E-6</v>
          </cell>
          <cell r="O663">
            <v>7.5290714685677296E-6</v>
          </cell>
        </row>
        <row r="664">
          <cell r="A664" t="str">
            <v>ITOT-SWHCONBR7</v>
          </cell>
          <cell r="B664" t="str">
            <v>VAR_cap</v>
          </cell>
          <cell r="C664" t="str">
            <v>-</v>
          </cell>
          <cell r="I664">
            <v>7.6210581290036897E-3</v>
          </cell>
          <cell r="J664">
            <v>1.2186659101753599E-2</v>
          </cell>
          <cell r="K664">
            <v>1.21867941440192E-2</v>
          </cell>
          <cell r="L664">
            <v>5.1321337393261503E-3</v>
          </cell>
          <cell r="M664">
            <v>4.8562945564642E-5</v>
          </cell>
          <cell r="N664">
            <v>5.1553310812580201E-5</v>
          </cell>
          <cell r="O664">
            <v>5.8845151588941103E-5</v>
          </cell>
        </row>
        <row r="665">
          <cell r="A665" t="str">
            <v>RHNS-SHSTG-ELCHP</v>
          </cell>
          <cell r="B665" t="str">
            <v>VAR_fout</v>
          </cell>
          <cell r="C665" t="str">
            <v>RHNS-SHAELCH</v>
          </cell>
          <cell r="E665">
            <v>2.8046523106831513E-2</v>
          </cell>
          <cell r="F665">
            <v>9.0261493803429071E-2</v>
          </cell>
          <cell r="G665">
            <v>0.20789382998771366</v>
          </cell>
          <cell r="H665">
            <v>0.30017927999698502</v>
          </cell>
          <cell r="I665">
            <v>0.28920708910383669</v>
          </cell>
          <cell r="J665">
            <v>0.38267280626906064</v>
          </cell>
          <cell r="K665">
            <v>0.45700646617921137</v>
          </cell>
          <cell r="L665">
            <v>0.55838585181285194</v>
          </cell>
          <cell r="M665">
            <v>0.58950814119019745</v>
          </cell>
          <cell r="N665">
            <v>0.57941837446621236</v>
          </cell>
          <cell r="O665">
            <v>0.51900711859822568</v>
          </cell>
        </row>
        <row r="666">
          <cell r="A666" t="str">
            <v>RHNS-SHSTG-ELCHP</v>
          </cell>
          <cell r="B666" t="str">
            <v>VAR_fin</v>
          </cell>
          <cell r="C666" t="str">
            <v>RHNS-SHAELCH</v>
          </cell>
          <cell r="E666">
            <v>2.8048238153103016E-2</v>
          </cell>
          <cell r="F666">
            <v>9.0265411355756872E-2</v>
          </cell>
          <cell r="G666">
            <v>0.2079012839965898</v>
          </cell>
          <cell r="H666">
            <v>0.30019112602158454</v>
          </cell>
          <cell r="I666">
            <v>0.28921797992931031</v>
          </cell>
          <cell r="J666">
            <v>0.38268931365898518</v>
          </cell>
          <cell r="K666">
            <v>0.45702414430677968</v>
          </cell>
          <cell r="L666">
            <v>0.55840780673071588</v>
          </cell>
          <cell r="M666">
            <v>0.58953442691299185</v>
          </cell>
          <cell r="N666">
            <v>0.57944405540539978</v>
          </cell>
          <cell r="O666">
            <v>0.51903265460761572</v>
          </cell>
        </row>
        <row r="667">
          <cell r="A667" t="str">
            <v>RHNS-SHSTG-ELCHP</v>
          </cell>
          <cell r="B667" t="str">
            <v>VAR_ncap</v>
          </cell>
          <cell r="C667" t="str">
            <v>-</v>
          </cell>
          <cell r="D667">
            <v>1.64804414632796E-5</v>
          </cell>
          <cell r="E667">
            <v>3.0793646081506199E-3</v>
          </cell>
          <cell r="F667">
            <v>6.4662325504665098E-3</v>
          </cell>
          <cell r="G667">
            <v>1.13346690999237E-2</v>
          </cell>
          <cell r="H667">
            <v>8.4212567279291495E-3</v>
          </cell>
          <cell r="I667">
            <v>8.8222203088975399E-3</v>
          </cell>
          <cell r="J667">
            <v>1.9412043504576201E-2</v>
          </cell>
          <cell r="K667">
            <v>1.6753398756476402E-2</v>
          </cell>
          <cell r="L667">
            <v>1.8931506342229499E-2</v>
          </cell>
          <cell r="M667">
            <v>1.91616250207962E-2</v>
          </cell>
          <cell r="N667">
            <v>1.9812739010331998E-2</v>
          </cell>
          <cell r="O667">
            <v>1.58814273195272E-2</v>
          </cell>
        </row>
        <row r="668">
          <cell r="A668" t="str">
            <v>RHNS-SHSTG-ELCHP</v>
          </cell>
          <cell r="B668" t="str">
            <v>VAR_cap</v>
          </cell>
          <cell r="C668" t="str">
            <v>-</v>
          </cell>
          <cell r="D668">
            <v>1.64804414632796E-5</v>
          </cell>
          <cell r="E668">
            <v>3.0944110751007638E-3</v>
          </cell>
          <cell r="F668">
            <v>9.558121034979156E-3</v>
          </cell>
          <cell r="G668">
            <v>2.0889180931607191E-2</v>
          </cell>
          <cell r="H668">
            <v>2.7784394485835362E-2</v>
          </cell>
          <cell r="I668">
            <v>2.7760806182679905E-2</v>
          </cell>
          <cell r="J668">
            <v>3.6643308877080977E-2</v>
          </cell>
          <cell r="K668">
            <v>4.4951123264280413E-2</v>
          </cell>
          <cell r="L668">
            <v>5.3824868212326966E-2</v>
          </cell>
          <cell r="M668">
            <v>5.4787839972056447E-2</v>
          </cell>
          <cell r="N668">
            <v>5.4787588316636306E-2</v>
          </cell>
          <cell r="O668">
            <v>5.479022770580181E-2</v>
          </cell>
        </row>
        <row r="669">
          <cell r="A669" t="str">
            <v>RHNS-SHSOLBR</v>
          </cell>
          <cell r="B669" t="str">
            <v>VAR_fout</v>
          </cell>
          <cell r="C669" t="str">
            <v>RHNS-SHASOL</v>
          </cell>
          <cell r="E669">
            <v>1.3400353217397055E-2</v>
          </cell>
          <cell r="F669">
            <v>1.5107309535546055E-2</v>
          </cell>
          <cell r="G669">
            <v>1.0034981260849046E-2</v>
          </cell>
          <cell r="H669">
            <v>1.6820444724125912E-2</v>
          </cell>
          <cell r="I669">
            <v>1.3841948003245562E-2</v>
          </cell>
          <cell r="J669">
            <v>1.3450383686630341E-2</v>
          </cell>
          <cell r="K669">
            <v>1.6834012054086404E-2</v>
          </cell>
          <cell r="L669">
            <v>1.0625632206234276E-2</v>
          </cell>
          <cell r="M669">
            <v>3.3351086526151258E-4</v>
          </cell>
          <cell r="N669">
            <v>2.1327045277563276E-4</v>
          </cell>
          <cell r="O669">
            <v>4.117360410462164E-4</v>
          </cell>
        </row>
        <row r="670">
          <cell r="A670" t="str">
            <v>RHNS-SHSOLBR</v>
          </cell>
          <cell r="B670" t="str">
            <v>VAR_fin</v>
          </cell>
          <cell r="C670" t="str">
            <v>SOL</v>
          </cell>
          <cell r="E670">
            <v>1.3400353217397055E-2</v>
          </cell>
          <cell r="F670">
            <v>1.5107309535546055E-2</v>
          </cell>
          <cell r="G670">
            <v>1.0034981260849046E-2</v>
          </cell>
          <cell r="H670">
            <v>1.6820444724125912E-2</v>
          </cell>
          <cell r="I670">
            <v>1.3841948003245562E-2</v>
          </cell>
          <cell r="J670">
            <v>1.3450383686630341E-2</v>
          </cell>
          <cell r="K670">
            <v>1.6834012054086404E-2</v>
          </cell>
          <cell r="L670">
            <v>1.0625632206234276E-2</v>
          </cell>
          <cell r="M670">
            <v>3.3351086526151258E-4</v>
          </cell>
          <cell r="N670">
            <v>2.1327045277563276E-4</v>
          </cell>
          <cell r="O670">
            <v>4.117360410462164E-4</v>
          </cell>
        </row>
        <row r="671">
          <cell r="A671" t="str">
            <v>RHNS-SHSOLBR</v>
          </cell>
          <cell r="B671" t="str">
            <v>VAR_ncap</v>
          </cell>
          <cell r="C671" t="str">
            <v>-</v>
          </cell>
          <cell r="E671">
            <v>2.42566787856574E-3</v>
          </cell>
          <cell r="F671">
            <v>2.0505449596105101E-5</v>
          </cell>
          <cell r="G671">
            <v>1.5987020852005801E-7</v>
          </cell>
          <cell r="H671">
            <v>1.18903531047024E-3</v>
          </cell>
          <cell r="I671">
            <v>1.2589935353056699E-3</v>
          </cell>
          <cell r="J671">
            <v>4.4694752919280597E-6</v>
          </cell>
          <cell r="K671">
            <v>1.18948826393841E-3</v>
          </cell>
          <cell r="L671">
            <v>1.0660880559320799E-3</v>
          </cell>
          <cell r="M671">
            <v>1.97475184347374E-4</v>
          </cell>
          <cell r="N671">
            <v>1.3169117050802501E-3</v>
          </cell>
          <cell r="O671">
            <v>9.4062601348242705E-4</v>
          </cell>
        </row>
        <row r="672">
          <cell r="A672" t="str">
            <v>RHNS-SHSOLBR</v>
          </cell>
          <cell r="B672" t="str">
            <v>VAR_cap</v>
          </cell>
          <cell r="C672" t="str">
            <v>-</v>
          </cell>
          <cell r="E672">
            <v>2.42566787856574E-3</v>
          </cell>
          <cell r="F672">
            <v>2.44617332816185E-3</v>
          </cell>
          <cell r="G672">
            <v>2.4463331983703698E-3</v>
          </cell>
          <cell r="H672">
            <v>2.4524765259066098E-3</v>
          </cell>
          <cell r="I672">
            <v>2.4524643828041002E-3</v>
          </cell>
          <cell r="J672">
            <v>2.4524983210678399E-3</v>
          </cell>
          <cell r="K672">
            <v>2.4529512745360099E-3</v>
          </cell>
          <cell r="L672">
            <v>2.4529031008712499E-3</v>
          </cell>
          <cell r="M672">
            <v>2.4530515042178601E-3</v>
          </cell>
          <cell r="N672">
            <v>2.45319488552201E-3</v>
          </cell>
          <cell r="O672">
            <v>2.45501290291005E-3</v>
          </cell>
        </row>
        <row r="673">
          <cell r="A673" t="str">
            <v>RHES-SHPLTBR</v>
          </cell>
          <cell r="B673" t="str">
            <v>VAR_fout</v>
          </cell>
          <cell r="C673" t="str">
            <v>RHES-SHPLT</v>
          </cell>
          <cell r="D673">
            <v>1.2957572509807909</v>
          </cell>
          <cell r="E673">
            <v>1.4868841040038823</v>
          </cell>
          <cell r="F673">
            <v>1.4868845689901904</v>
          </cell>
          <cell r="G673">
            <v>1.4868839863862999</v>
          </cell>
          <cell r="H673">
            <v>1.4868842009731491</v>
          </cell>
          <cell r="I673">
            <v>1.4868842650217351</v>
          </cell>
          <cell r="J673">
            <v>1.4868848386711415</v>
          </cell>
          <cell r="K673">
            <v>1.4868849608475347</v>
          </cell>
          <cell r="L673">
            <v>1.4868846908136235</v>
          </cell>
          <cell r="M673">
            <v>1.4868853501436341</v>
          </cell>
          <cell r="N673">
            <v>1.486885672442952</v>
          </cell>
          <cell r="O673">
            <v>1.4868880287831276</v>
          </cell>
        </row>
        <row r="674">
          <cell r="A674" t="str">
            <v>RHES-SHPLTBR</v>
          </cell>
          <cell r="B674" t="str">
            <v>VAR_fin</v>
          </cell>
          <cell r="C674" t="str">
            <v>RPLT</v>
          </cell>
          <cell r="D674">
            <v>1.4397302788675463</v>
          </cell>
          <cell r="E674">
            <v>1.6520934488932011</v>
          </cell>
          <cell r="F674">
            <v>1.6520939655446545</v>
          </cell>
          <cell r="G674">
            <v>1.6520933182070008</v>
          </cell>
          <cell r="H674">
            <v>1.6520935566368318</v>
          </cell>
          <cell r="I674">
            <v>1.6520936278019294</v>
          </cell>
          <cell r="J674">
            <v>1.652094265190156</v>
          </cell>
          <cell r="K674">
            <v>1.6520944009417045</v>
          </cell>
          <cell r="L674">
            <v>1.6520941009040253</v>
          </cell>
          <cell r="M674">
            <v>1.652094833492926</v>
          </cell>
          <cell r="N674">
            <v>1.6520951916032809</v>
          </cell>
          <cell r="O674">
            <v>1.6520978097590304</v>
          </cell>
        </row>
        <row r="675">
          <cell r="A675" t="str">
            <v>RHES-SHPLTBR</v>
          </cell>
          <cell r="B675" t="str">
            <v>VAR_ncap</v>
          </cell>
          <cell r="C675" t="str">
            <v>-</v>
          </cell>
          <cell r="E675">
            <v>1.54507520666246E-2</v>
          </cell>
          <cell r="F675">
            <v>3.4154464070313001E-7</v>
          </cell>
          <cell r="G675">
            <v>3.6784649773617797E-5</v>
          </cell>
          <cell r="H675">
            <v>8.5241956531847005E-2</v>
          </cell>
          <cell r="I675">
            <v>3.488840773106E-2</v>
          </cell>
          <cell r="J675">
            <v>8.7321745015491401E-7</v>
          </cell>
          <cell r="K675">
            <v>8.5452074997541302E-2</v>
          </cell>
          <cell r="L675">
            <v>2.9524520518947699E-2</v>
          </cell>
          <cell r="M675">
            <v>5.3639022511914602E-3</v>
          </cell>
          <cell r="N675">
            <v>8.0474719983343795E-2</v>
          </cell>
          <cell r="O675">
            <v>3.4520473399286197E-2</v>
          </cell>
        </row>
        <row r="676">
          <cell r="A676" t="str">
            <v>RHES-SHPLTBR</v>
          </cell>
          <cell r="B676" t="str">
            <v>VAR_cap</v>
          </cell>
          <cell r="C676" t="str">
            <v>-</v>
          </cell>
          <cell r="D676">
            <v>0.104681131456585</v>
          </cell>
          <cell r="E676">
            <v>0.1201318726883645</v>
          </cell>
          <cell r="F676">
            <v>0.12013216938639848</v>
          </cell>
          <cell r="G676">
            <v>0.12016891673365908</v>
          </cell>
          <cell r="H676">
            <v>0.120342452674757</v>
          </cell>
          <cell r="I676">
            <v>0.12016015279715951</v>
          </cell>
          <cell r="J676">
            <v>0.12013118405371746</v>
          </cell>
          <cell r="K676">
            <v>0.12034127005639185</v>
          </cell>
          <cell r="L676">
            <v>0.12033800593340131</v>
          </cell>
          <cell r="M676">
            <v>0.12034040025361271</v>
          </cell>
          <cell r="N676">
            <v>0.12113875555611205</v>
          </cell>
          <cell r="O676">
            <v>0.12035898993573851</v>
          </cell>
        </row>
        <row r="677">
          <cell r="A677" t="str">
            <v>RHES-SHCONBR6</v>
          </cell>
          <cell r="B677" t="str">
            <v>VAR_fout</v>
          </cell>
          <cell r="C677" t="str">
            <v>RHES-SHCON</v>
          </cell>
          <cell r="E677">
            <v>5.0330100292223095E-5</v>
          </cell>
          <cell r="F677">
            <v>5.0549322666775826E-5</v>
          </cell>
          <cell r="G677">
            <v>4.1549215931562668E-5</v>
          </cell>
          <cell r="H677">
            <v>4.5662332857765877E-5</v>
          </cell>
          <cell r="I677">
            <v>4.5048844699903563E-5</v>
          </cell>
          <cell r="J677">
            <v>4.720700219977416E-5</v>
          </cell>
          <cell r="K677">
            <v>4.0204350917165311E-5</v>
          </cell>
          <cell r="L677">
            <v>3.0068599675916689E-5</v>
          </cell>
          <cell r="M677">
            <v>4.2237677048688498E-5</v>
          </cell>
          <cell r="N677">
            <v>3.8082416677288714E-5</v>
          </cell>
          <cell r="O677">
            <v>4.2649270479725285E-5</v>
          </cell>
        </row>
        <row r="678">
          <cell r="A678" t="str">
            <v>RHES-SHCONBR6</v>
          </cell>
          <cell r="B678" t="str">
            <v>VAR_fin</v>
          </cell>
          <cell r="C678" t="str">
            <v>CON</v>
          </cell>
          <cell r="E678">
            <v>5.0330100292223095E-5</v>
          </cell>
          <cell r="F678">
            <v>5.0549322666775826E-5</v>
          </cell>
          <cell r="G678">
            <v>4.1549215931562668E-5</v>
          </cell>
          <cell r="H678">
            <v>4.5662332857765877E-5</v>
          </cell>
          <cell r="I678">
            <v>4.5048844699903563E-5</v>
          </cell>
          <cell r="J678">
            <v>4.720700219977416E-5</v>
          </cell>
          <cell r="K678">
            <v>4.0204350917165311E-5</v>
          </cell>
          <cell r="L678">
            <v>3.0068599675916689E-5</v>
          </cell>
          <cell r="M678">
            <v>4.2237677048688498E-5</v>
          </cell>
          <cell r="N678">
            <v>3.8082416677288714E-5</v>
          </cell>
          <cell r="O678">
            <v>4.2649270479725285E-5</v>
          </cell>
        </row>
        <row r="679">
          <cell r="A679" t="str">
            <v>RHES-SHCONBR6</v>
          </cell>
          <cell r="B679" t="str">
            <v>VAR_ncap</v>
          </cell>
          <cell r="C679" t="str">
            <v>-</v>
          </cell>
          <cell r="E679">
            <v>3.02942822820751E-6</v>
          </cell>
          <cell r="K679">
            <v>3.7062733806511498E-7</v>
          </cell>
          <cell r="L679">
            <v>1.7380498808186201E-6</v>
          </cell>
          <cell r="M679">
            <v>2.63913416187003E-7</v>
          </cell>
          <cell r="N679">
            <v>3.8782248859494299E-7</v>
          </cell>
          <cell r="O679">
            <v>1.34832722860691E-8</v>
          </cell>
        </row>
        <row r="680">
          <cell r="A680" t="str">
            <v>RHES-SHCONBR6</v>
          </cell>
          <cell r="B680" t="str">
            <v>VAR_cap</v>
          </cell>
          <cell r="C680" t="str">
            <v>-</v>
          </cell>
          <cell r="E680">
            <v>3.02942822820751E-6</v>
          </cell>
          <cell r="F680">
            <v>3.02942822820751E-6</v>
          </cell>
          <cell r="G680">
            <v>3.02942822820751E-6</v>
          </cell>
          <cell r="H680">
            <v>3.02942822820751E-6</v>
          </cell>
          <cell r="I680">
            <v>3.02942822820751E-6</v>
          </cell>
          <cell r="J680">
            <v>3.02942822820751E-6</v>
          </cell>
          <cell r="K680">
            <v>2.41507586035451E-6</v>
          </cell>
          <cell r="L680">
            <v>2.1086772188837399E-6</v>
          </cell>
          <cell r="M680">
            <v>2.3725906350707399E-6</v>
          </cell>
          <cell r="N680">
            <v>2.7604131236656799E-6</v>
          </cell>
          <cell r="O680">
            <v>2.7738963959517499E-6</v>
          </cell>
        </row>
        <row r="681">
          <cell r="A681" t="str">
            <v>RHSA-WHPLTBR</v>
          </cell>
          <cell r="B681" t="str">
            <v>VAR_fout</v>
          </cell>
          <cell r="C681" t="str">
            <v>RHSA-WHPLT</v>
          </cell>
          <cell r="D681">
            <v>0.16979270423441092</v>
          </cell>
          <cell r="E681">
            <v>0.19483624855626019</v>
          </cell>
          <cell r="F681">
            <v>0.12890984904519537</v>
          </cell>
          <cell r="G681">
            <v>0.13419519990388246</v>
          </cell>
          <cell r="H681">
            <v>0.13897654384537311</v>
          </cell>
          <cell r="I681">
            <v>0.14287245444563001</v>
          </cell>
          <cell r="J681">
            <v>0.14604668740694163</v>
          </cell>
          <cell r="K681">
            <v>0.14904228734520328</v>
          </cell>
          <cell r="L681">
            <v>0.1512081631534174</v>
          </cell>
          <cell r="M681">
            <v>0.15367074503659955</v>
          </cell>
          <cell r="N681">
            <v>0.15367923428739139</v>
          </cell>
          <cell r="O681">
            <v>0.15368044322581026</v>
          </cell>
        </row>
        <row r="682">
          <cell r="A682" t="str">
            <v>RHSA-WHPLTBR</v>
          </cell>
          <cell r="B682" t="str">
            <v>VAR_fin</v>
          </cell>
          <cell r="C682" t="str">
            <v>RPLT</v>
          </cell>
          <cell r="D682">
            <v>0.27166832677505753</v>
          </cell>
          <cell r="E682">
            <v>0.31173799769001642</v>
          </cell>
          <cell r="F682">
            <v>0.2062557584723127</v>
          </cell>
          <cell r="G682">
            <v>0.21471231984621186</v>
          </cell>
          <cell r="H682">
            <v>0.22236247015259714</v>
          </cell>
          <cell r="I682">
            <v>0.22859592711300805</v>
          </cell>
          <cell r="J682">
            <v>0.23367469985110675</v>
          </cell>
          <cell r="K682">
            <v>0.23846765975232539</v>
          </cell>
          <cell r="L682">
            <v>0.24193306104546794</v>
          </cell>
          <cell r="M682">
            <v>0.24587319205855943</v>
          </cell>
          <cell r="N682">
            <v>0.24588677485982627</v>
          </cell>
          <cell r="O682">
            <v>0.24588870916129654</v>
          </cell>
        </row>
        <row r="683">
          <cell r="A683" t="str">
            <v>RHSA-WHPLTBR</v>
          </cell>
          <cell r="B683" t="str">
            <v>VAR_ncap</v>
          </cell>
          <cell r="C683" t="str">
            <v>-</v>
          </cell>
          <cell r="E683">
            <v>1.95024434800196E-3</v>
          </cell>
          <cell r="F683">
            <v>4.5887936649687399E-8</v>
          </cell>
          <cell r="G683">
            <v>1.01045851729193E-7</v>
          </cell>
          <cell r="H683">
            <v>5.5899049799130202E-3</v>
          </cell>
          <cell r="I683">
            <v>4.1783294995411599E-3</v>
          </cell>
          <cell r="J683">
            <v>2.1716381122212201E-4</v>
          </cell>
          <cell r="K683">
            <v>5.7992568106168697E-3</v>
          </cell>
          <cell r="L683">
            <v>3.7091228427503999E-3</v>
          </cell>
          <cell r="M683">
            <v>1.0025241553113201E-3</v>
          </cell>
          <cell r="N683">
            <v>5.94627264334531E-3</v>
          </cell>
          <cell r="O683">
            <v>4.1275872556858903E-3</v>
          </cell>
        </row>
        <row r="684">
          <cell r="A684" t="str">
            <v>RHSA-WHPLTBR</v>
          </cell>
          <cell r="B684" t="str">
            <v>VAR_cap</v>
          </cell>
          <cell r="C684" t="str">
            <v>-</v>
          </cell>
          <cell r="D684">
            <v>1.12410901121583E-2</v>
          </cell>
          <cell r="E684">
            <v>1.3191322313949103E-2</v>
          </cell>
          <cell r="F684">
            <v>1.3190253448461925E-2</v>
          </cell>
          <cell r="G684">
            <v>1.3189835597791145E-2</v>
          </cell>
          <cell r="H684">
            <v>9.5037738123408787E-3</v>
          </cell>
          <cell r="I684">
            <v>9.7682470346929836E-3</v>
          </cell>
          <cell r="J684">
            <v>9.9853081837632252E-3</v>
          </cell>
          <cell r="K684">
            <v>1.0194590529535539E-2</v>
          </cell>
          <cell r="L684">
            <v>1.0338619711249055E-2</v>
          </cell>
          <cell r="M684">
            <v>1.0510726279353694E-2</v>
          </cell>
          <cell r="N684">
            <v>1.0508997604909353E-2</v>
          </cell>
          <cell r="O684">
            <v>1.1076210164017632E-2</v>
          </cell>
        </row>
        <row r="685">
          <cell r="A685" t="str">
            <v>ITOT-SWHCONBR8</v>
          </cell>
          <cell r="B685" t="str">
            <v>VAR_fout</v>
          </cell>
          <cell r="C685" t="str">
            <v>ITOT-ELS</v>
          </cell>
          <cell r="J685">
            <v>2.90138779984279E-5</v>
          </cell>
          <cell r="K685">
            <v>5.7747435895379919E-5</v>
          </cell>
          <cell r="L685">
            <v>5.3179644117957031E-5</v>
          </cell>
          <cell r="M685">
            <v>8.211350995558788E-5</v>
          </cell>
          <cell r="N685">
            <v>6.9106566660733919E-5</v>
          </cell>
          <cell r="O685">
            <v>1.3720204827713536E-4</v>
          </cell>
        </row>
        <row r="686">
          <cell r="A686" t="str">
            <v>ITOT-SWHCONBR8</v>
          </cell>
          <cell r="B686" t="str">
            <v>VAR_fout</v>
          </cell>
          <cell r="C686" t="str">
            <v>ITOT-SWHC</v>
          </cell>
          <cell r="J686">
            <v>1.1202318451460739E-4</v>
          </cell>
          <cell r="K686">
            <v>2.229640473053662E-4</v>
          </cell>
          <cell r="L686">
            <v>2.0532770854588466E-4</v>
          </cell>
          <cell r="M686">
            <v>3.1704196444871311E-4</v>
          </cell>
          <cell r="N686">
            <v>2.6682188670628174E-4</v>
          </cell>
          <cell r="O686">
            <v>5.2973995309294462E-4</v>
          </cell>
        </row>
        <row r="687">
          <cell r="A687" t="str">
            <v>ITOT-SWHCONBR8</v>
          </cell>
          <cell r="B687" t="str">
            <v>VAR_fin</v>
          </cell>
          <cell r="C687" t="str">
            <v>CON</v>
          </cell>
          <cell r="J687">
            <v>1.4103706251303552E-4</v>
          </cell>
          <cell r="K687">
            <v>2.8071148320074629E-4</v>
          </cell>
          <cell r="L687">
            <v>2.585073526638417E-4</v>
          </cell>
          <cell r="M687">
            <v>3.9915547440430083E-4</v>
          </cell>
          <cell r="N687">
            <v>3.3592845336701557E-4</v>
          </cell>
          <cell r="O687">
            <v>6.6694200137008017E-4</v>
          </cell>
        </row>
        <row r="688">
          <cell r="A688" t="str">
            <v>ITOT-SWHCONBR8</v>
          </cell>
          <cell r="B688" t="str">
            <v>VAR_ncap</v>
          </cell>
          <cell r="C688" t="str">
            <v>-</v>
          </cell>
          <cell r="J688">
            <v>7.4065577618316398E-6</v>
          </cell>
          <cell r="K688">
            <v>7.07837345862113E-6</v>
          </cell>
          <cell r="L688">
            <v>2.1929853055390399E-7</v>
          </cell>
          <cell r="M688">
            <v>1.3656994791042701E-5</v>
          </cell>
          <cell r="N688">
            <v>2.9470077273620499E-6</v>
          </cell>
          <cell r="O688">
            <v>1.9027416521766299E-5</v>
          </cell>
        </row>
        <row r="689">
          <cell r="A689" t="str">
            <v>ITOT-SWHCONBR8</v>
          </cell>
          <cell r="B689" t="str">
            <v>VAR_cap</v>
          </cell>
          <cell r="C689" t="str">
            <v>-</v>
          </cell>
          <cell r="J689">
            <v>7.4065577618316398E-6</v>
          </cell>
          <cell r="K689">
            <v>1.44849312204528E-5</v>
          </cell>
          <cell r="L689">
            <v>1.3722894706576999E-5</v>
          </cell>
          <cell r="M689">
            <v>2.0954666780217699E-5</v>
          </cell>
          <cell r="N689">
            <v>1.8007515533051801E-5</v>
          </cell>
          <cell r="O689">
            <v>3.5631419040171098E-5</v>
          </cell>
        </row>
        <row r="690">
          <cell r="A690" t="str">
            <v>D-SCOM_KEV_HFC_ELC_CHP</v>
          </cell>
          <cell r="B690" t="str">
            <v>VAR_fout</v>
          </cell>
          <cell r="C690" t="str">
            <v>ELC5</v>
          </cell>
          <cell r="G690">
            <v>2.2453334399121611E-4</v>
          </cell>
          <cell r="H690">
            <v>8.3928659214361101E-4</v>
          </cell>
          <cell r="I690">
            <v>1.2983605430400722E-3</v>
          </cell>
          <cell r="J690">
            <v>1.5474224612429331E-3</v>
          </cell>
          <cell r="K690">
            <v>7.982080568069724E-3</v>
          </cell>
          <cell r="L690">
            <v>1.3879119550860587E-2</v>
          </cell>
          <cell r="M690">
            <v>1.3623184306740744E-2</v>
          </cell>
          <cell r="N690">
            <v>5.8328534254291024E-3</v>
          </cell>
          <cell r="O690">
            <v>3.4105130053391802E-2</v>
          </cell>
        </row>
        <row r="691">
          <cell r="A691" t="str">
            <v>D-SCOM_KEV_HFC_ELC_CHP</v>
          </cell>
          <cell r="B691" t="str">
            <v>VAR_fout</v>
          </cell>
          <cell r="C691" t="str">
            <v>SCOM_ELC</v>
          </cell>
          <cell r="G691">
            <v>2.2439721602107897E-4</v>
          </cell>
          <cell r="H691">
            <v>8.3891622575180548E-4</v>
          </cell>
          <cell r="I691">
            <v>1.2977524966174209E-3</v>
          </cell>
          <cell r="J691">
            <v>1.545979107163833E-3</v>
          </cell>
          <cell r="K691">
            <v>7.980046200184502E-3</v>
          </cell>
          <cell r="L691">
            <v>1.38534401777471E-2</v>
          </cell>
          <cell r="M691">
            <v>1.3619430687976853E-2</v>
          </cell>
          <cell r="N691">
            <v>5.8304618286735737E-3</v>
          </cell>
          <cell r="O691">
            <v>3.4107781902812669E-2</v>
          </cell>
        </row>
        <row r="692">
          <cell r="A692" t="str">
            <v>D-SCOM_KEV_HFC_ELC_CHP</v>
          </cell>
          <cell r="B692" t="str">
            <v>VAR_fin</v>
          </cell>
          <cell r="C692" t="str">
            <v>SCOM_KEV_HFC_ELC_CHP</v>
          </cell>
          <cell r="G692">
            <v>4.4797777997224452E-4</v>
          </cell>
          <cell r="H692">
            <v>1.6766317751610532E-3</v>
          </cell>
          <cell r="I692">
            <v>2.5961073602389006E-3</v>
          </cell>
          <cell r="J692">
            <v>3.0924559812498136E-3</v>
          </cell>
          <cell r="K692">
            <v>1.5960746267757234E-2</v>
          </cell>
          <cell r="L692">
            <v>2.7730657954115466E-2</v>
          </cell>
          <cell r="M692">
            <v>2.7241113105057752E-2</v>
          </cell>
          <cell r="N692">
            <v>1.1660784045069881E-2</v>
          </cell>
          <cell r="O692">
            <v>6.8209327829334546E-2</v>
          </cell>
        </row>
        <row r="693">
          <cell r="A693" t="str">
            <v>D-EH2R</v>
          </cell>
          <cell r="B693" t="str">
            <v>VAR_fout</v>
          </cell>
          <cell r="C693" t="str">
            <v>EH2</v>
          </cell>
          <cell r="I693">
            <v>5.1043760326119285E-2</v>
          </cell>
          <cell r="J693">
            <v>0.19572966087721019</v>
          </cell>
          <cell r="K693">
            <v>0.20741253698515294</v>
          </cell>
          <cell r="L693">
            <v>2.539167014636411E-2</v>
          </cell>
          <cell r="M693">
            <v>3.2103201765363832E-3</v>
          </cell>
          <cell r="N693">
            <v>1.9435989380315996E-3</v>
          </cell>
          <cell r="O693">
            <v>5.5049713029608439E-3</v>
          </cell>
        </row>
        <row r="694">
          <cell r="A694" t="str">
            <v>D-EH2R</v>
          </cell>
          <cell r="B694" t="str">
            <v>VAR_fin</v>
          </cell>
          <cell r="C694" t="str">
            <v>H2</v>
          </cell>
          <cell r="I694">
            <v>5.1043760326119285E-2</v>
          </cell>
          <cell r="J694">
            <v>0.19572966087721019</v>
          </cell>
          <cell r="K694">
            <v>0.20741253698515294</v>
          </cell>
          <cell r="L694">
            <v>2.539167014636411E-2</v>
          </cell>
          <cell r="M694">
            <v>3.2103201765363832E-3</v>
          </cell>
          <cell r="N694">
            <v>1.9435989380315996E-3</v>
          </cell>
          <cell r="O694">
            <v>5.5049713029608439E-3</v>
          </cell>
        </row>
        <row r="695">
          <cell r="A695" t="str">
            <v>D-EH2R</v>
          </cell>
          <cell r="B695" t="str">
            <v>VAR_ncap</v>
          </cell>
          <cell r="C695" t="str">
            <v>-</v>
          </cell>
          <cell r="H695">
            <v>2.6396805279701902E-7</v>
          </cell>
          <cell r="I695">
            <v>2.2860247709367799E-3</v>
          </cell>
          <cell r="J695">
            <v>7.3623498861218302E-3</v>
          </cell>
          <cell r="K695">
            <v>4.7303246842003102E-6</v>
          </cell>
          <cell r="L695">
            <v>1.04300251180882E-6</v>
          </cell>
          <cell r="M695">
            <v>1.63315815048285E-4</v>
          </cell>
          <cell r="N695">
            <v>8.8476076307359504E-5</v>
          </cell>
          <cell r="O695">
            <v>2.4772822585931E-4</v>
          </cell>
        </row>
        <row r="696">
          <cell r="A696" t="str">
            <v>D-EH2R</v>
          </cell>
          <cell r="B696" t="str">
            <v>VAR_cap</v>
          </cell>
          <cell r="C696" t="str">
            <v>-</v>
          </cell>
          <cell r="H696">
            <v>2.6396805279701902E-7</v>
          </cell>
          <cell r="I696">
            <v>2.28608020341957E-3</v>
          </cell>
          <cell r="J696">
            <v>7.3623498861218302E-3</v>
          </cell>
          <cell r="K696">
            <v>7.3670802108060304E-3</v>
          </cell>
          <cell r="L696">
            <v>1.1337340251652301E-3</v>
          </cell>
          <cell r="M696">
            <v>1.6410764391063001E-4</v>
          </cell>
          <cell r="N696">
            <v>1.1740288756766099E-4</v>
          </cell>
          <cell r="O696">
            <v>3.3620430216666901E-4</v>
          </cell>
        </row>
        <row r="697">
          <cell r="A697" t="str">
            <v>SCOM-ELCSPECADV</v>
          </cell>
          <cell r="B697" t="str">
            <v>VAR_fout</v>
          </cell>
          <cell r="C697" t="str">
            <v>SCOM-ELS</v>
          </cell>
          <cell r="G697">
            <v>6.9202552541129488E-5</v>
          </cell>
          <cell r="H697">
            <v>1.7896781737620243E-4</v>
          </cell>
          <cell r="I697">
            <v>2.3251949957341626E-4</v>
          </cell>
          <cell r="J697">
            <v>2.9380880508198139E-4</v>
          </cell>
          <cell r="K697">
            <v>3.8983527431814415E-4</v>
          </cell>
          <cell r="L697">
            <v>3.282839046163765E-4</v>
          </cell>
          <cell r="M697">
            <v>3.9069824898055241E-4</v>
          </cell>
          <cell r="N697">
            <v>3.3791286029368601E-4</v>
          </cell>
          <cell r="O697">
            <v>6.5443434781681828E-4</v>
          </cell>
        </row>
        <row r="698">
          <cell r="A698" t="str">
            <v>SCOM-ELCSPECADV</v>
          </cell>
          <cell r="B698" t="str">
            <v>VAR_fin</v>
          </cell>
          <cell r="C698" t="str">
            <v>SCOM_ELC</v>
          </cell>
          <cell r="G698">
            <v>5.9585455141874418E-5</v>
          </cell>
          <cell r="H698">
            <v>1.5025459167631762E-4</v>
          </cell>
          <cell r="I698">
            <v>1.9046575796635682E-4</v>
          </cell>
          <cell r="J698">
            <v>2.346696903765716E-4</v>
          </cell>
          <cell r="K698">
            <v>3.037931981891912E-4</v>
          </cell>
          <cell r="L698">
            <v>2.5582707329879664E-4</v>
          </cell>
          <cell r="M698">
            <v>3.0446570232086018E-4</v>
          </cell>
          <cell r="N698">
            <v>2.6333078430993697E-4</v>
          </cell>
          <cell r="O698">
            <v>5.0999156983900335E-4</v>
          </cell>
        </row>
        <row r="699">
          <cell r="A699" t="str">
            <v>SCOM-ELCSPECADV</v>
          </cell>
          <cell r="B699" t="str">
            <v>VAR_ncap</v>
          </cell>
          <cell r="C699" t="str">
            <v>-</v>
          </cell>
          <cell r="G699">
            <v>7.3505659115406697E-6</v>
          </cell>
          <cell r="H699">
            <v>1.16277052864517E-5</v>
          </cell>
          <cell r="I699">
            <v>5.6840154277593704E-6</v>
          </cell>
          <cell r="J699">
            <v>6.5518134171104501E-6</v>
          </cell>
          <cell r="K699">
            <v>1.0438476345544E-5</v>
          </cell>
          <cell r="L699">
            <v>7.2630774586237395E-7</v>
          </cell>
          <cell r="M699">
            <v>1.8341458048642099E-5</v>
          </cell>
          <cell r="N699">
            <v>1.1058987518698699E-6</v>
          </cell>
          <cell r="O699">
            <v>3.9088543262813799E-5</v>
          </cell>
        </row>
        <row r="700">
          <cell r="A700" t="str">
            <v>SCOM-ELCSPECADV</v>
          </cell>
          <cell r="B700" t="str">
            <v>VAR_cap</v>
          </cell>
          <cell r="C700" t="str">
            <v>-</v>
          </cell>
          <cell r="G700">
            <v>7.3505659115406697E-6</v>
          </cell>
          <cell r="H700">
            <v>1.8962132601378136E-5</v>
          </cell>
          <cell r="I700">
            <v>2.4600918962837787E-5</v>
          </cell>
          <cell r="J700">
            <v>3.1076577278048726E-5</v>
          </cell>
          <cell r="K700">
            <v>4.1281885352996889E-5</v>
          </cell>
          <cell r="L700">
            <v>3.4717314531215919E-5</v>
          </cell>
          <cell r="M700">
            <v>4.1349095590053417E-5</v>
          </cell>
          <cell r="N700">
            <v>3.5752075267556421E-5</v>
          </cell>
          <cell r="O700">
            <v>6.9298328335233066E-5</v>
          </cell>
        </row>
        <row r="701">
          <cell r="A701" t="str">
            <v>RHSA-WHLTHRD</v>
          </cell>
          <cell r="B701" t="str">
            <v>VAR_fout</v>
          </cell>
          <cell r="C701" t="str">
            <v>RHSA-WHLTHRD</v>
          </cell>
          <cell r="D701">
            <v>1.3170437325327722</v>
          </cell>
          <cell r="E701">
            <v>1.46337611826368</v>
          </cell>
          <cell r="F701">
            <v>1.4299648434469181</v>
          </cell>
          <cell r="G701">
            <v>0.99261615930310598</v>
          </cell>
          <cell r="H701">
            <v>1.0197515266312736</v>
          </cell>
          <cell r="I701">
            <v>1.3358113636569486</v>
          </cell>
          <cell r="J701">
            <v>1.0146959750901552</v>
          </cell>
          <cell r="K701">
            <v>1.3326435824268159</v>
          </cell>
          <cell r="L701">
            <v>1.306085947610758</v>
          </cell>
          <cell r="M701">
            <v>1.2890657696341605</v>
          </cell>
          <cell r="N701">
            <v>1.323485135343186</v>
          </cell>
          <cell r="O701">
            <v>1.2210864637093595</v>
          </cell>
        </row>
        <row r="702">
          <cell r="A702" t="str">
            <v>RHSA-WHLTHRD</v>
          </cell>
          <cell r="B702" t="str">
            <v>VAR_fin</v>
          </cell>
          <cell r="C702" t="str">
            <v>RHSA_LTH</v>
          </cell>
          <cell r="D702">
            <v>1.7104464058867155</v>
          </cell>
          <cell r="E702">
            <v>1.8955649200306712</v>
          </cell>
          <cell r="F702">
            <v>1.8451159270282826</v>
          </cell>
          <cell r="G702">
            <v>1.2725848196193656</v>
          </cell>
          <cell r="H702">
            <v>1.299046530740475</v>
          </cell>
          <cell r="I702">
            <v>1.6909004603252511</v>
          </cell>
          <cell r="J702">
            <v>1.2844252849242475</v>
          </cell>
          <cell r="K702">
            <v>1.6868906106668551</v>
          </cell>
          <cell r="L702">
            <v>1.6532733514060236</v>
          </cell>
          <cell r="M702">
            <v>1.6317288223217217</v>
          </cell>
          <cell r="N702">
            <v>1.6752976396749197</v>
          </cell>
          <cell r="O702">
            <v>1.5456790679865309</v>
          </cell>
        </row>
        <row r="703">
          <cell r="A703" t="str">
            <v>RHSA-WHLTHRD</v>
          </cell>
          <cell r="B703" t="str">
            <v>VAR_ncap</v>
          </cell>
          <cell r="C703" t="str">
            <v>-</v>
          </cell>
          <cell r="E703">
            <v>2.3141694946413899E-2</v>
          </cell>
          <cell r="F703">
            <v>2.0713997250565799E-2</v>
          </cell>
          <cell r="G703">
            <v>1.6167837782690601E-2</v>
          </cell>
          <cell r="H703">
            <v>1.69393629284324E-2</v>
          </cell>
          <cell r="I703">
            <v>4.7124972198488199E-2</v>
          </cell>
          <cell r="J703">
            <v>3.7338291487502902E-2</v>
          </cell>
          <cell r="K703">
            <v>2.9980441195118002E-2</v>
          </cell>
          <cell r="L703">
            <v>1.40470043330419E-2</v>
          </cell>
          <cell r="M703">
            <v>2.57612710623225E-2</v>
          </cell>
          <cell r="N703">
            <v>2.95919648822991E-2</v>
          </cell>
          <cell r="O703">
            <v>2.7958002097989501E-2</v>
          </cell>
        </row>
        <row r="704">
          <cell r="A704" t="str">
            <v>RHSA-WHLTHRD</v>
          </cell>
          <cell r="B704" t="str">
            <v>VAR_cap</v>
          </cell>
          <cell r="C704" t="str">
            <v>-</v>
          </cell>
          <cell r="D704">
            <v>0.13737412127568699</v>
          </cell>
          <cell r="E704">
            <v>0.15121735921111365</v>
          </cell>
          <cell r="F704">
            <v>0.1391197254684641</v>
          </cell>
          <cell r="G704">
            <v>8.8388360734366303E-2</v>
          </cell>
          <cell r="H704">
            <v>8.2474904375956698E-2</v>
          </cell>
          <cell r="I704">
            <v>0.12161434272447602</v>
          </cell>
          <cell r="J704">
            <v>0.14554387764291704</v>
          </cell>
          <cell r="K704">
            <v>0.15511891109787002</v>
          </cell>
          <cell r="L704">
            <v>0.120120148417804</v>
          </cell>
          <cell r="M704">
            <v>0.11829291195258101</v>
          </cell>
          <cell r="N704">
            <v>0.11780631464518299</v>
          </cell>
          <cell r="O704">
            <v>0.11357435783593395</v>
          </cell>
        </row>
        <row r="705">
          <cell r="A705" t="str">
            <v>RHES-SHCONBR7</v>
          </cell>
          <cell r="B705" t="str">
            <v>VAR_fout</v>
          </cell>
          <cell r="C705" t="str">
            <v>RHES-SHCON</v>
          </cell>
          <cell r="E705">
            <v>4.7847119596467005E-5</v>
          </cell>
          <cell r="F705">
            <v>4.8076520556706178E-5</v>
          </cell>
          <cell r="G705">
            <v>3.9072346763077902E-5</v>
          </cell>
          <cell r="H705">
            <v>4.3185775769377205E-5</v>
          </cell>
          <cell r="I705">
            <v>4.2571801506151714E-5</v>
          </cell>
          <cell r="J705">
            <v>4.4730990026714933E-5</v>
          </cell>
          <cell r="K705">
            <v>3.8924111932066909E-5</v>
          </cell>
          <cell r="L705">
            <v>2.9003834471777082E-5</v>
          </cell>
          <cell r="M705">
            <v>4.1124525434803951E-5</v>
          </cell>
          <cell r="N705">
            <v>3.7071154558729704E-5</v>
          </cell>
          <cell r="O705">
            <v>4.1714965654003348E-5</v>
          </cell>
        </row>
        <row r="706">
          <cell r="A706" t="str">
            <v>RHES-SHCONBR7</v>
          </cell>
          <cell r="B706" t="str">
            <v>VAR_fin</v>
          </cell>
          <cell r="C706" t="str">
            <v>CON</v>
          </cell>
          <cell r="E706">
            <v>4.7847119596467005E-5</v>
          </cell>
          <cell r="F706">
            <v>4.8076520556706178E-5</v>
          </cell>
          <cell r="G706">
            <v>3.9072346763077902E-5</v>
          </cell>
          <cell r="H706">
            <v>4.3185775769377205E-5</v>
          </cell>
          <cell r="I706">
            <v>4.2571801506151714E-5</v>
          </cell>
          <cell r="J706">
            <v>4.4730990026714933E-5</v>
          </cell>
          <cell r="K706">
            <v>3.8924111932066909E-5</v>
          </cell>
          <cell r="L706">
            <v>2.9003834471777082E-5</v>
          </cell>
          <cell r="M706">
            <v>4.1124525434803951E-5</v>
          </cell>
          <cell r="N706">
            <v>3.7071154558729704E-5</v>
          </cell>
          <cell r="O706">
            <v>4.1714965654003348E-5</v>
          </cell>
        </row>
        <row r="707">
          <cell r="A707" t="str">
            <v>RHES-SHCONBR7</v>
          </cell>
          <cell r="B707" t="str">
            <v>VAR_ncap</v>
          </cell>
          <cell r="C707" t="str">
            <v>-</v>
          </cell>
          <cell r="E707">
            <v>2.8288259679359398E-6</v>
          </cell>
          <cell r="K707">
            <v>4.0221288141565598E-7</v>
          </cell>
          <cell r="L707">
            <v>1.6201531811877801E-6</v>
          </cell>
          <cell r="M707">
            <v>2.6013854253397799E-7</v>
          </cell>
          <cell r="N707">
            <v>3.9606451265581899E-7</v>
          </cell>
          <cell r="O707">
            <v>1.3534414345457899E-8</v>
          </cell>
        </row>
        <row r="708">
          <cell r="A708" t="str">
            <v>RHES-SHCONBR7</v>
          </cell>
          <cell r="B708" t="str">
            <v>VAR_cap</v>
          </cell>
          <cell r="C708" t="str">
            <v>-</v>
          </cell>
          <cell r="E708">
            <v>2.8288259679359398E-6</v>
          </cell>
          <cell r="F708">
            <v>2.8288259679359398E-6</v>
          </cell>
          <cell r="G708">
            <v>2.8288259679359398E-6</v>
          </cell>
          <cell r="H708">
            <v>2.8288259679359398E-6</v>
          </cell>
          <cell r="I708">
            <v>2.8288259679359398E-6</v>
          </cell>
          <cell r="J708">
            <v>2.8288259679359398E-6</v>
          </cell>
          <cell r="K708">
            <v>2.3112823936458598E-6</v>
          </cell>
          <cell r="L708">
            <v>2.0223660626034299E-6</v>
          </cell>
          <cell r="M708">
            <v>2.2825046051374102E-6</v>
          </cell>
          <cell r="N708">
            <v>2.67856911779323E-6</v>
          </cell>
          <cell r="O708">
            <v>2.6921035321386899E-6</v>
          </cell>
        </row>
        <row r="709">
          <cell r="A709" t="str">
            <v>ITOT-SWHCONBR9</v>
          </cell>
          <cell r="B709" t="str">
            <v>VAR_fout</v>
          </cell>
          <cell r="C709" t="str">
            <v>ITOT-ELS</v>
          </cell>
          <cell r="J709">
            <v>5.4871316099011695E-6</v>
          </cell>
          <cell r="K709">
            <v>1.1329665644683651E-5</v>
          </cell>
          <cell r="L709">
            <v>9.6399535651631953E-6</v>
          </cell>
          <cell r="M709">
            <v>1.5350418406562646E-5</v>
          </cell>
          <cell r="N709">
            <v>1.2763920733111633E-5</v>
          </cell>
          <cell r="O709">
            <v>2.6874766076311484E-5</v>
          </cell>
        </row>
        <row r="710">
          <cell r="A710" t="str">
            <v>ITOT-SWHCONBR9</v>
          </cell>
          <cell r="B710" t="str">
            <v>VAR_fout</v>
          </cell>
          <cell r="C710" t="str">
            <v>ITOT-SWHC</v>
          </cell>
          <cell r="J710">
            <v>3.682898573122117E-5</v>
          </cell>
          <cell r="K710">
            <v>6.6426365582771172E-5</v>
          </cell>
          <cell r="L710">
            <v>5.6767071988837513E-5</v>
          </cell>
          <cell r="M710">
            <v>8.9314450255960248E-5</v>
          </cell>
          <cell r="N710">
            <v>7.4731386523033659E-5</v>
          </cell>
          <cell r="O710">
            <v>1.5598098207917057E-4</v>
          </cell>
        </row>
        <row r="711">
          <cell r="A711" t="str">
            <v>ITOT-SWHCONBR9</v>
          </cell>
          <cell r="B711" t="str">
            <v>VAR_fin</v>
          </cell>
          <cell r="C711" t="str">
            <v>CON</v>
          </cell>
          <cell r="J711">
            <v>4.3174441203812089E-5</v>
          </cell>
          <cell r="K711">
            <v>7.7871305937297306E-5</v>
          </cell>
          <cell r="L711">
            <v>6.6547762943602756E-5</v>
          </cell>
          <cell r="M711">
            <v>1.0470289650029134E-4</v>
          </cell>
          <cell r="N711">
            <v>8.7607241672769528E-5</v>
          </cell>
          <cell r="O711">
            <v>1.8285574815548185E-4</v>
          </cell>
        </row>
        <row r="712">
          <cell r="A712" t="str">
            <v>ITOT-SWHCONBR9</v>
          </cell>
          <cell r="B712" t="str">
            <v>VAR_ncap</v>
          </cell>
          <cell r="C712" t="str">
            <v>-</v>
          </cell>
          <cell r="J712">
            <v>1.9254966306791301E-6</v>
          </cell>
          <cell r="K712">
            <v>1.50431635835437E-6</v>
          </cell>
          <cell r="L712">
            <v>6.1269119782023803E-8</v>
          </cell>
          <cell r="M712">
            <v>3.3556397556396001E-6</v>
          </cell>
          <cell r="N712">
            <v>8.2688831231592204E-7</v>
          </cell>
          <cell r="O712">
            <v>4.9786247473056503E-6</v>
          </cell>
        </row>
        <row r="713">
          <cell r="A713" t="str">
            <v>ITOT-SWHCONBR9</v>
          </cell>
          <cell r="B713" t="str">
            <v>VAR_cap</v>
          </cell>
          <cell r="C713" t="str">
            <v>-</v>
          </cell>
          <cell r="J713">
            <v>1.9254966306791301E-6</v>
          </cell>
          <cell r="K713">
            <v>3.4298129890334902E-6</v>
          </cell>
          <cell r="L713">
            <v>3.2359626076412802E-6</v>
          </cell>
          <cell r="M713">
            <v>4.9212252337759897E-6</v>
          </cell>
          <cell r="N713">
            <v>4.4908214445561099E-6</v>
          </cell>
          <cell r="O713">
            <v>9.16115281526117E-6</v>
          </cell>
        </row>
        <row r="714">
          <cell r="A714" t="str">
            <v>SCOM-SHPLTBR</v>
          </cell>
          <cell r="B714" t="str">
            <v>VAR_fout</v>
          </cell>
          <cell r="C714" t="str">
            <v>SCOM-SHPLT</v>
          </cell>
          <cell r="D714">
            <v>1.877070760740662</v>
          </cell>
          <cell r="E714">
            <v>2.1600821991464292</v>
          </cell>
          <cell r="F714">
            <v>2.1233001881459259</v>
          </cell>
          <cell r="G714">
            <v>2.1771409638772403</v>
          </cell>
          <cell r="H714">
            <v>2.3117028002544937</v>
          </cell>
          <cell r="I714">
            <v>2.5558154424555521</v>
          </cell>
          <cell r="J714">
            <v>2.5674724713344741</v>
          </cell>
          <cell r="K714">
            <v>2.7841748106915452</v>
          </cell>
          <cell r="L714">
            <v>2.1893384745219673</v>
          </cell>
          <cell r="M714">
            <v>2.2046912515124921</v>
          </cell>
          <cell r="N714">
            <v>2.2053057804194318</v>
          </cell>
          <cell r="O714">
            <v>2.2059402056590591</v>
          </cell>
        </row>
        <row r="715">
          <cell r="A715" t="str">
            <v>SCOM-SHPLTBR</v>
          </cell>
          <cell r="B715" t="str">
            <v>VAR_fin</v>
          </cell>
          <cell r="C715" t="str">
            <v>SCOMPLTBRC</v>
          </cell>
          <cell r="D715">
            <v>1.877070760740662</v>
          </cell>
          <cell r="E715">
            <v>2.1600821991464292</v>
          </cell>
          <cell r="F715">
            <v>2.1233001881459259</v>
          </cell>
          <cell r="G715">
            <v>2.1771409638772403</v>
          </cell>
          <cell r="H715">
            <v>2.3117028002544937</v>
          </cell>
          <cell r="I715">
            <v>2.5558154424555521</v>
          </cell>
          <cell r="J715">
            <v>2.5674724713344741</v>
          </cell>
          <cell r="K715">
            <v>2.7841748106915452</v>
          </cell>
          <cell r="L715">
            <v>2.1893384745219673</v>
          </cell>
          <cell r="M715">
            <v>2.2046912515124921</v>
          </cell>
          <cell r="N715">
            <v>2.2053057804194318</v>
          </cell>
          <cell r="O715">
            <v>2.2059402056590591</v>
          </cell>
        </row>
        <row r="716">
          <cell r="A716" t="str">
            <v>SCOM-SHPLTBR</v>
          </cell>
          <cell r="B716" t="str">
            <v>VAR_fin</v>
          </cell>
          <cell r="C716" t="str">
            <v>SPLT</v>
          </cell>
          <cell r="D716">
            <v>2.0856341786007335</v>
          </cell>
          <cell r="E716">
            <v>2.4000913323849185</v>
          </cell>
          <cell r="F716">
            <v>2.3592224312732544</v>
          </cell>
          <cell r="G716">
            <v>2.4190455154191564</v>
          </cell>
          <cell r="H716">
            <v>2.568558666949436</v>
          </cell>
          <cell r="I716">
            <v>2.8397949360617236</v>
          </cell>
          <cell r="J716">
            <v>2.8527471903716393</v>
          </cell>
          <cell r="K716">
            <v>3.0935275674350464</v>
          </cell>
          <cell r="L716">
            <v>2.4325983050244089</v>
          </cell>
          <cell r="M716">
            <v>2.4496569461249953</v>
          </cell>
          <cell r="N716">
            <v>2.4503397560215894</v>
          </cell>
          <cell r="O716">
            <v>2.4510446729545121</v>
          </cell>
        </row>
        <row r="717">
          <cell r="A717" t="str">
            <v>SCOM-SHPLTBR</v>
          </cell>
          <cell r="B717" t="str">
            <v>VAR_ncap</v>
          </cell>
          <cell r="C717" t="str">
            <v>-</v>
          </cell>
          <cell r="D717">
            <v>5.6214444267002005E-7</v>
          </cell>
          <cell r="E717">
            <v>2.37956372961203E-2</v>
          </cell>
          <cell r="F717">
            <v>6.9015684590712996E-7</v>
          </cell>
          <cell r="G717">
            <v>4.9176307152886097E-3</v>
          </cell>
          <cell r="H717">
            <v>0.134960852277904</v>
          </cell>
          <cell r="I717">
            <v>7.3666397563324298E-2</v>
          </cell>
          <cell r="J717">
            <v>3.5667356773715798E-5</v>
          </cell>
          <cell r="K717">
            <v>0.155802398730334</v>
          </cell>
          <cell r="L717">
            <v>2.8789157679730702E-2</v>
          </cell>
          <cell r="M717">
            <v>7.1243600270672001E-6</v>
          </cell>
          <cell r="N717">
            <v>0.140491667537292</v>
          </cell>
          <cell r="O717">
            <v>0.19468349882397601</v>
          </cell>
        </row>
        <row r="718">
          <cell r="A718" t="str">
            <v>SCOM-SHPLTBR</v>
          </cell>
          <cell r="B718" t="str">
            <v>VAR_cap</v>
          </cell>
          <cell r="C718" t="str">
            <v>-</v>
          </cell>
          <cell r="D718">
            <v>0.15051143026863667</v>
          </cell>
          <cell r="E718">
            <v>0.17430703563645017</v>
          </cell>
          <cell r="F718">
            <v>0.17430746595899771</v>
          </cell>
          <cell r="G718">
            <v>0.17922484172650194</v>
          </cell>
          <cell r="H718">
            <v>0.19110279979777631</v>
          </cell>
          <cell r="I718">
            <v>0.21260913592850553</v>
          </cell>
          <cell r="J718">
            <v>0.20866267609779754</v>
          </cell>
          <cell r="K718">
            <v>0.22950405760033016</v>
          </cell>
          <cell r="L718">
            <v>0.19594069770209477</v>
          </cell>
          <cell r="M718">
            <v>0.18459810167093513</v>
          </cell>
          <cell r="N718">
            <v>0.18775615978849386</v>
          </cell>
          <cell r="O718">
            <v>0.33518094725706582</v>
          </cell>
        </row>
        <row r="719">
          <cell r="A719" t="str">
            <v>ITOT-SWHELCHP</v>
          </cell>
          <cell r="B719" t="str">
            <v>VAR_fout</v>
          </cell>
          <cell r="C719" t="str">
            <v>ITOT-SWHAELCH</v>
          </cell>
          <cell r="D719">
            <v>1.1081396811879705</v>
          </cell>
          <cell r="E719">
            <v>1.400790934344438</v>
          </cell>
          <cell r="F719">
            <v>3.5999142357648459</v>
          </cell>
          <cell r="G719">
            <v>5.9453777600137787</v>
          </cell>
          <cell r="H719">
            <v>8.1701408071837953</v>
          </cell>
          <cell r="I719">
            <v>8.1701416910649272</v>
          </cell>
          <cell r="J719">
            <v>12.052826112775165</v>
          </cell>
          <cell r="K719">
            <v>12.473274508124971</v>
          </cell>
          <cell r="L719">
            <v>13.109568887826725</v>
          </cell>
          <cell r="M719">
            <v>13.212865025157177</v>
          </cell>
          <cell r="N719">
            <v>13.212865316611483</v>
          </cell>
          <cell r="O719">
            <v>13.212871001564448</v>
          </cell>
        </row>
        <row r="720">
          <cell r="A720" t="str">
            <v>ITOT-SWHELCHP</v>
          </cell>
          <cell r="B720" t="str">
            <v>VAR_fin</v>
          </cell>
          <cell r="C720" t="str">
            <v>ITOT_ELC</v>
          </cell>
          <cell r="D720">
            <v>0.35967114867263811</v>
          </cell>
          <cell r="E720">
            <v>0.45106231837011429</v>
          </cell>
          <cell r="F720">
            <v>1.1456035787128473</v>
          </cell>
          <cell r="G720">
            <v>1.8557461871055825</v>
          </cell>
          <cell r="H720">
            <v>2.5022176761993533</v>
          </cell>
          <cell r="I720">
            <v>2.4560382361048805</v>
          </cell>
          <cell r="J720">
            <v>3.5575610681054179</v>
          </cell>
          <cell r="K720">
            <v>3.6161340777997042</v>
          </cell>
          <cell r="L720">
            <v>3.8006025418307932</v>
          </cell>
          <cell r="M720">
            <v>3.8305491835135643</v>
          </cell>
          <cell r="N720">
            <v>3.8305492680092477</v>
          </cell>
          <cell r="O720">
            <v>3.8305509161371889</v>
          </cell>
        </row>
        <row r="721">
          <cell r="A721" t="str">
            <v>ITOT-SWHELCHP</v>
          </cell>
          <cell r="B721" t="str">
            <v>VAR_fin</v>
          </cell>
          <cell r="C721" t="str">
            <v>ITOTELCHPC</v>
          </cell>
          <cell r="D721">
            <v>1.1081396811879705</v>
          </cell>
          <cell r="E721">
            <v>1.400790934344438</v>
          </cell>
          <cell r="F721">
            <v>3.5999142357648459</v>
          </cell>
          <cell r="G721">
            <v>5.9453777600137787</v>
          </cell>
          <cell r="H721">
            <v>8.1701408071837953</v>
          </cell>
          <cell r="I721">
            <v>8.1701416910649272</v>
          </cell>
          <cell r="J721">
            <v>12.052826112775165</v>
          </cell>
          <cell r="K721">
            <v>12.473274508124971</v>
          </cell>
          <cell r="L721">
            <v>13.109568887826725</v>
          </cell>
          <cell r="M721">
            <v>13.212865025157177</v>
          </cell>
          <cell r="N721">
            <v>13.212865316611483</v>
          </cell>
          <cell r="O721">
            <v>13.212871001564448</v>
          </cell>
        </row>
        <row r="722">
          <cell r="A722" t="str">
            <v>ITOT-SWHELCHP</v>
          </cell>
          <cell r="B722" t="str">
            <v>VAR_ncap</v>
          </cell>
          <cell r="C722" t="str">
            <v>-</v>
          </cell>
          <cell r="E722">
            <v>1.59534800341419E-2</v>
          </cell>
          <cell r="F722">
            <v>0.119579770590565</v>
          </cell>
          <cell r="G722">
            <v>0.12755222193513999</v>
          </cell>
          <cell r="H722">
            <v>0.17753122199889401</v>
          </cell>
          <cell r="I722">
            <v>0.14218446994211101</v>
          </cell>
          <cell r="J722">
            <v>0.34152639358504999</v>
          </cell>
          <cell r="K722">
            <v>0.20633819329258599</v>
          </cell>
          <cell r="L722">
            <v>0.20073636917527099</v>
          </cell>
          <cell r="M722">
            <v>0.31709875750077199</v>
          </cell>
          <cell r="N722">
            <v>0.22781302787356</v>
          </cell>
          <cell r="O722">
            <v>0.173648229997523</v>
          </cell>
        </row>
        <row r="723">
          <cell r="A723" t="str">
            <v>ITOT-SWHELCHP</v>
          </cell>
          <cell r="B723" t="str">
            <v>VAR_cap</v>
          </cell>
          <cell r="C723" t="str">
            <v>-</v>
          </cell>
          <cell r="D723">
            <v>6.02631234918991E-2</v>
          </cell>
          <cell r="E723">
            <v>7.6216537849257499E-2</v>
          </cell>
          <cell r="F723">
            <v>0.19579616261843355</v>
          </cell>
          <cell r="G723">
            <v>0.32334819060084397</v>
          </cell>
          <cell r="H723">
            <v>0.44846405394673444</v>
          </cell>
          <cell r="I723">
            <v>0.44811205036336232</v>
          </cell>
          <cell r="J723">
            <v>0.66124162354753802</v>
          </cell>
          <cell r="K723">
            <v>0.69004823583486008</v>
          </cell>
          <cell r="L723">
            <v>0.72519665465794969</v>
          </cell>
          <cell r="M723">
            <v>0.72417241319187309</v>
          </cell>
          <cell r="N723">
            <v>0.71855769384619794</v>
          </cell>
          <cell r="O723">
            <v>0.718558971611724</v>
          </cell>
        </row>
        <row r="724">
          <cell r="A724" t="str">
            <v>RHES-SHCONBR8</v>
          </cell>
          <cell r="B724" t="str">
            <v>VAR_fout</v>
          </cell>
          <cell r="C724" t="str">
            <v>RHES-SHCON</v>
          </cell>
          <cell r="E724">
            <v>1.3287979481960881E-5</v>
          </cell>
          <cell r="F724">
            <v>1.3826349328059024E-5</v>
          </cell>
          <cell r="G724">
            <v>7.726894889248755E-6</v>
          </cell>
          <cell r="H724">
            <v>1.1871060839706286E-5</v>
          </cell>
          <cell r="I724">
            <v>1.1231616457053328E-5</v>
          </cell>
          <cell r="J724">
            <v>1.3373266418488972E-5</v>
          </cell>
          <cell r="K724">
            <v>1.556326597534382E-5</v>
          </cell>
          <cell r="L724">
            <v>8.9560198716783523E-6</v>
          </cell>
          <cell r="M724">
            <v>1.7419989802740689E-5</v>
          </cell>
          <cell r="N724">
            <v>1.300442298868097E-5</v>
          </cell>
          <cell r="O724">
            <v>2.2015828398931424E-5</v>
          </cell>
        </row>
        <row r="725">
          <cell r="A725" t="str">
            <v>RHES-SHCONBR8</v>
          </cell>
          <cell r="B725" t="str">
            <v>VAR_fin</v>
          </cell>
          <cell r="C725" t="str">
            <v>CON</v>
          </cell>
          <cell r="E725">
            <v>1.3287979481960881E-5</v>
          </cell>
          <cell r="F725">
            <v>1.3826349328059024E-5</v>
          </cell>
          <cell r="G725">
            <v>7.726894889248755E-6</v>
          </cell>
          <cell r="H725">
            <v>1.1871060839706286E-5</v>
          </cell>
          <cell r="I725">
            <v>1.1231616457053328E-5</v>
          </cell>
          <cell r="J725">
            <v>1.3373266418488972E-5</v>
          </cell>
          <cell r="K725">
            <v>1.556326597534382E-5</v>
          </cell>
          <cell r="L725">
            <v>8.9560198716783523E-6</v>
          </cell>
          <cell r="M725">
            <v>1.7419989802740689E-5</v>
          </cell>
          <cell r="N725">
            <v>1.300442298868097E-5</v>
          </cell>
          <cell r="O725">
            <v>2.2015828398931424E-5</v>
          </cell>
        </row>
        <row r="726">
          <cell r="A726" t="str">
            <v>RHES-SHCONBR8</v>
          </cell>
          <cell r="B726" t="str">
            <v>VAR_ncap</v>
          </cell>
          <cell r="C726" t="str">
            <v>-</v>
          </cell>
          <cell r="E726">
            <v>3.74966419916342E-8</v>
          </cell>
          <cell r="F726">
            <v>1.7801765638090699E-8</v>
          </cell>
          <cell r="G726">
            <v>2.57397603105795E-7</v>
          </cell>
          <cell r="K726">
            <v>1.4077489335760799E-7</v>
          </cell>
          <cell r="L726">
            <v>9.6668878042975604E-8</v>
          </cell>
          <cell r="M726">
            <v>1.2968708324243801E-7</v>
          </cell>
          <cell r="N726">
            <v>3.8316770595887099E-7</v>
          </cell>
          <cell r="O726">
            <v>1.4310568945223E-8</v>
          </cell>
        </row>
        <row r="727">
          <cell r="A727" t="str">
            <v>RHES-SHCONBR8</v>
          </cell>
          <cell r="B727" t="str">
            <v>VAR_cap</v>
          </cell>
          <cell r="C727" t="str">
            <v>-</v>
          </cell>
          <cell r="E727">
            <v>3.74966419916342E-8</v>
          </cell>
          <cell r="F727">
            <v>5.5298407629725001E-8</v>
          </cell>
          <cell r="G727">
            <v>3.1269601073552002E-7</v>
          </cell>
          <cell r="H727">
            <v>3.1269601073552002E-7</v>
          </cell>
          <cell r="I727">
            <v>3.1269601073552002E-7</v>
          </cell>
          <cell r="J727">
            <v>3.1269601073552002E-7</v>
          </cell>
          <cell r="K727">
            <v>4.41279352216129E-7</v>
          </cell>
          <cell r="L727">
            <v>4.3118467537230999E-7</v>
          </cell>
          <cell r="M727">
            <v>3.67130854643022E-7</v>
          </cell>
          <cell r="N727">
            <v>7.5029856060189304E-7</v>
          </cell>
          <cell r="O727">
            <v>7.6460912954711598E-7</v>
          </cell>
        </row>
        <row r="728">
          <cell r="A728" t="str">
            <v>RHEM-SHWODBR</v>
          </cell>
          <cell r="B728" t="str">
            <v>VAR_fout</v>
          </cell>
          <cell r="C728" t="str">
            <v>RHEM-SHWOD</v>
          </cell>
          <cell r="D728">
            <v>4.743919285956804</v>
          </cell>
          <cell r="E728">
            <v>4.6741205392522627</v>
          </cell>
          <cell r="F728">
            <v>3.5327964444704509</v>
          </cell>
          <cell r="G728">
            <v>2.4255335406547145</v>
          </cell>
          <cell r="H728">
            <v>2.2962369606886206</v>
          </cell>
          <cell r="I728">
            <v>1.680450242021162</v>
          </cell>
          <cell r="J728">
            <v>1.4203266323175987</v>
          </cell>
          <cell r="K728">
            <v>1.4048989226889628</v>
          </cell>
          <cell r="L728">
            <v>1.0659710898374255</v>
          </cell>
          <cell r="M728">
            <v>0.97219881699436206</v>
          </cell>
          <cell r="N728">
            <v>0.96163767138745304</v>
          </cell>
          <cell r="O728">
            <v>0.69267261695239069</v>
          </cell>
        </row>
        <row r="729">
          <cell r="A729" t="str">
            <v>RHEM-SHWODBR</v>
          </cell>
          <cell r="B729" t="str">
            <v>VAR_fin</v>
          </cell>
          <cell r="C729" t="str">
            <v>RHEMWODBRC</v>
          </cell>
          <cell r="D729">
            <v>4.743919285956804</v>
          </cell>
          <cell r="E729">
            <v>4.6741205392522627</v>
          </cell>
          <cell r="F729">
            <v>3.5327964444704509</v>
          </cell>
          <cell r="G729">
            <v>2.4255335406547145</v>
          </cell>
          <cell r="H729">
            <v>2.2962369606886206</v>
          </cell>
          <cell r="I729">
            <v>1.680450242021162</v>
          </cell>
          <cell r="J729">
            <v>1.4203266323175987</v>
          </cell>
          <cell r="K729">
            <v>1.4048989226889628</v>
          </cell>
          <cell r="L729">
            <v>1.0659710898374255</v>
          </cell>
          <cell r="M729">
            <v>0.97219881699436206</v>
          </cell>
          <cell r="N729">
            <v>0.96163767138745304</v>
          </cell>
          <cell r="O729">
            <v>0.69267261695239069</v>
          </cell>
        </row>
        <row r="730">
          <cell r="A730" t="str">
            <v>RHEM-SHWODBR</v>
          </cell>
          <cell r="B730" t="str">
            <v>VAR_fin</v>
          </cell>
          <cell r="C730" t="str">
            <v>RWOD</v>
          </cell>
          <cell r="D730">
            <v>6.5887767860511222</v>
          </cell>
          <cell r="E730">
            <v>6.4918340822948002</v>
          </cell>
          <cell r="F730">
            <v>4.9066617284311844</v>
          </cell>
          <cell r="G730">
            <v>3.3687965842426641</v>
          </cell>
          <cell r="H730">
            <v>3.1892180009564197</v>
          </cell>
          <cell r="I730">
            <v>2.3339586694738355</v>
          </cell>
          <cell r="J730">
            <v>1.9726758782188871</v>
          </cell>
          <cell r="K730">
            <v>1.951248503734671</v>
          </cell>
          <cell r="L730">
            <v>1.4805154025519809</v>
          </cell>
          <cell r="M730">
            <v>1.3502761347143926</v>
          </cell>
          <cell r="N730">
            <v>1.3356078769270188</v>
          </cell>
          <cell r="O730">
            <v>0.96204530132276456</v>
          </cell>
        </row>
        <row r="731">
          <cell r="A731" t="str">
            <v>RHEM-SHWODBR</v>
          </cell>
          <cell r="B731" t="str">
            <v>VAR_ncap</v>
          </cell>
          <cell r="C731" t="str">
            <v>-</v>
          </cell>
          <cell r="D731">
            <v>7.1500190844967801E-7</v>
          </cell>
          <cell r="E731">
            <v>5.4348230114481498E-8</v>
          </cell>
          <cell r="F731">
            <v>6.1552515446926303E-8</v>
          </cell>
          <cell r="G731">
            <v>9.68966140940316E-7</v>
          </cell>
          <cell r="H731">
            <v>7.57101471080317E-2</v>
          </cell>
          <cell r="I731">
            <v>4.2989305198126E-2</v>
          </cell>
          <cell r="J731">
            <v>1.6307316130931901E-7</v>
          </cell>
          <cell r="K731">
            <v>5.7076816916259702E-2</v>
          </cell>
          <cell r="L731">
            <v>1.2237871712818199E-2</v>
          </cell>
          <cell r="M731">
            <v>1.18086244485166E-6</v>
          </cell>
          <cell r="N731">
            <v>5.0027502186653097E-2</v>
          </cell>
          <cell r="O731">
            <v>3.10384631764802E-6</v>
          </cell>
        </row>
        <row r="732">
          <cell r="A732" t="str">
            <v>RHEM-SHWODBR</v>
          </cell>
          <cell r="B732" t="str">
            <v>VAR_cap</v>
          </cell>
          <cell r="C732" t="str">
            <v>-</v>
          </cell>
          <cell r="D732">
            <v>0.33507249395690147</v>
          </cell>
          <cell r="E732">
            <v>0.33507192667824492</v>
          </cell>
          <cell r="F732">
            <v>0.33507077393026197</v>
          </cell>
          <cell r="G732">
            <v>0.3350709537211104</v>
          </cell>
          <cell r="H732">
            <v>0.16260624242636362</v>
          </cell>
          <cell r="I732">
            <v>0.11870015987363458</v>
          </cell>
          <cell r="J732">
            <v>0.102591014447594</v>
          </cell>
          <cell r="K732">
            <v>0.10006605797248505</v>
          </cell>
          <cell r="L732">
            <v>7.5920160127417216E-2</v>
          </cell>
          <cell r="M732">
            <v>6.9315358849444009E-2</v>
          </cell>
          <cell r="N732">
            <v>6.8496205760377349E-2</v>
          </cell>
          <cell r="O732">
            <v>5.0031597101126778E-2</v>
          </cell>
        </row>
        <row r="733">
          <cell r="A733" t="str">
            <v>RHES-SHCONBR9</v>
          </cell>
          <cell r="B733" t="str">
            <v>VAR_fout</v>
          </cell>
          <cell r="C733" t="str">
            <v>RHES-SHCON</v>
          </cell>
          <cell r="E733">
            <v>1.2831274465129326E-5</v>
          </cell>
          <cell r="F733">
            <v>1.3168511864118264E-5</v>
          </cell>
          <cell r="G733">
            <v>3.9257322613661448E-6</v>
          </cell>
          <cell r="H733">
            <v>8.0092614290727215E-6</v>
          </cell>
          <cell r="I733">
            <v>7.334473743703056E-6</v>
          </cell>
          <cell r="J733">
            <v>9.4323041264038469E-6</v>
          </cell>
          <cell r="K733">
            <v>1.0067949535355641E-5</v>
          </cell>
          <cell r="L733">
            <v>3.4703652537700901E-6</v>
          </cell>
          <cell r="M733">
            <v>1.2924250398985521E-5</v>
          </cell>
          <cell r="N733">
            <v>4.5824353341011374E-6</v>
          </cell>
          <cell r="O733">
            <v>1.6205713655712106E-5</v>
          </cell>
        </row>
        <row r="734">
          <cell r="A734" t="str">
            <v>RHES-SHCONBR9</v>
          </cell>
          <cell r="B734" t="str">
            <v>VAR_fin</v>
          </cell>
          <cell r="C734" t="str">
            <v>CON</v>
          </cell>
          <cell r="E734">
            <v>1.2831274465129326E-5</v>
          </cell>
          <cell r="F734">
            <v>1.3168511864118264E-5</v>
          </cell>
          <cell r="G734">
            <v>3.9257322613661448E-6</v>
          </cell>
          <cell r="H734">
            <v>8.0092614290727215E-6</v>
          </cell>
          <cell r="I734">
            <v>7.334473743703056E-6</v>
          </cell>
          <cell r="J734">
            <v>9.4323041264038469E-6</v>
          </cell>
          <cell r="K734">
            <v>1.0067949535355641E-5</v>
          </cell>
          <cell r="L734">
            <v>3.4703652537700901E-6</v>
          </cell>
          <cell r="M734">
            <v>1.2924250398985521E-5</v>
          </cell>
          <cell r="N734">
            <v>4.5824353341011374E-6</v>
          </cell>
          <cell r="O734">
            <v>1.6205713655712106E-5</v>
          </cell>
        </row>
        <row r="735">
          <cell r="A735" t="str">
            <v>RHES-SHCONBR9</v>
          </cell>
          <cell r="B735" t="str">
            <v>VAR_ncap</v>
          </cell>
          <cell r="C735" t="str">
            <v>-</v>
          </cell>
          <cell r="N735">
            <v>5.4847646431119099E-8</v>
          </cell>
        </row>
        <row r="736">
          <cell r="A736" t="str">
            <v>RHES-SHCONBR9</v>
          </cell>
          <cell r="B736" t="str">
            <v>VAR_cap</v>
          </cell>
          <cell r="C736" t="str">
            <v>-</v>
          </cell>
          <cell r="N736">
            <v>5.4847646431119099E-8</v>
          </cell>
          <cell r="O736">
            <v>5.4847646431119099E-8</v>
          </cell>
        </row>
        <row r="737">
          <cell r="A737" t="str">
            <v>D-RHNS_LTH_CHPNGA</v>
          </cell>
          <cell r="B737" t="str">
            <v>VAR_fout</v>
          </cell>
          <cell r="C737" t="str">
            <v>RHSA_LTH</v>
          </cell>
          <cell r="D737">
            <v>5.4608711338257062E-6</v>
          </cell>
          <cell r="E737">
            <v>1.93438591459336E-5</v>
          </cell>
          <cell r="F737">
            <v>7.0054974124814904E-6</v>
          </cell>
          <cell r="G737">
            <v>7.773638974951794E-5</v>
          </cell>
          <cell r="H737">
            <v>4.1571619367668983E-6</v>
          </cell>
          <cell r="I737">
            <v>3.3547640970242712E-5</v>
          </cell>
          <cell r="J737">
            <v>6.2830060145076072E-6</v>
          </cell>
          <cell r="K737">
            <v>7.2780757798368729E-6</v>
          </cell>
          <cell r="L737">
            <v>4.218235907874071E-5</v>
          </cell>
          <cell r="M737">
            <v>1.7237294109766053E-5</v>
          </cell>
          <cell r="N737">
            <v>8.576273999904675E-5</v>
          </cell>
          <cell r="O737">
            <v>1.6127975298913509E-4</v>
          </cell>
        </row>
        <row r="738">
          <cell r="A738" t="str">
            <v>D-RHNS_LTH_CHPNGA</v>
          </cell>
          <cell r="B738" t="str">
            <v>VAR_fout</v>
          </cell>
          <cell r="C738" t="str">
            <v>LTH</v>
          </cell>
          <cell r="H738">
            <v>2.3370989536333267E-7</v>
          </cell>
          <cell r="I738">
            <v>6.9121147207415567E-7</v>
          </cell>
          <cell r="J738">
            <v>5.3393957001536917E-6</v>
          </cell>
          <cell r="K738">
            <v>5.4433005391686997E-6</v>
          </cell>
          <cell r="L738">
            <v>8.191116761127994E-7</v>
          </cell>
          <cell r="M738">
            <v>1.357358366323112E-6</v>
          </cell>
          <cell r="N738">
            <v>8.8118075289846752E-7</v>
          </cell>
          <cell r="O738">
            <v>3.4858112822866815E-6</v>
          </cell>
        </row>
        <row r="739">
          <cell r="A739" t="str">
            <v>D-RHNS_LTH_CHPNGA</v>
          </cell>
          <cell r="B739" t="str">
            <v>VAR_fout</v>
          </cell>
          <cell r="C739" t="str">
            <v>RHNS_LTH_CHPNGA_ON</v>
          </cell>
          <cell r="D739">
            <v>1.765484258991755E-6</v>
          </cell>
          <cell r="E739">
            <v>1.0153648339485905E-3</v>
          </cell>
          <cell r="F739">
            <v>1.0909269790702458E-3</v>
          </cell>
          <cell r="G739">
            <v>8.8479750174108552E-4</v>
          </cell>
          <cell r="H739">
            <v>1.0796864815186577E-3</v>
          </cell>
          <cell r="I739">
            <v>6.0530178436169466E-4</v>
          </cell>
          <cell r="J739">
            <v>2.2155775971241225E-6</v>
          </cell>
          <cell r="K739">
            <v>1.8109389114960827E-6</v>
          </cell>
          <cell r="L739">
            <v>6.8011895249888777E-4</v>
          </cell>
          <cell r="M739">
            <v>6.524505797118721E-4</v>
          </cell>
          <cell r="N739">
            <v>5.1475411775236436E-4</v>
          </cell>
          <cell r="O739">
            <v>1.0657827007039163E-3</v>
          </cell>
        </row>
        <row r="740">
          <cell r="A740" t="str">
            <v>D-RHNS_LTH_CHPNGA</v>
          </cell>
          <cell r="B740" t="str">
            <v>VAR_fin</v>
          </cell>
          <cell r="C740" t="str">
            <v>RHNS_LTH_CHPNGA</v>
          </cell>
          <cell r="D740">
            <v>7.2263553928174621E-6</v>
          </cell>
          <cell r="E740">
            <v>1.0348692807541486E-3</v>
          </cell>
          <cell r="F740">
            <v>1.0983207821030098E-3</v>
          </cell>
          <cell r="G740">
            <v>9.6319014882980845E-4</v>
          </cell>
          <cell r="H740">
            <v>1.0849288327168763E-3</v>
          </cell>
          <cell r="I740">
            <v>6.402394588803671E-4</v>
          </cell>
          <cell r="J740">
            <v>1.3837979311785424E-5</v>
          </cell>
          <cell r="K740">
            <v>1.4532315230501659E-5</v>
          </cell>
          <cell r="L740">
            <v>7.2393029364344074E-4</v>
          </cell>
          <cell r="M740">
            <v>6.7193146375080909E-4</v>
          </cell>
          <cell r="N740">
            <v>6.0241979507013135E-4</v>
          </cell>
          <cell r="O740">
            <v>1.2312929207399113E-3</v>
          </cell>
        </row>
        <row r="741">
          <cell r="A741" t="str">
            <v>D-SLFO</v>
          </cell>
          <cell r="B741" t="str">
            <v>VAR_fout</v>
          </cell>
          <cell r="C741" t="str">
            <v>CO2</v>
          </cell>
          <cell r="D741">
            <v>2267.7886650247201</v>
          </cell>
          <cell r="E741">
            <v>1993.20104146464</v>
          </cell>
          <cell r="F741">
            <v>1878.46239161217</v>
          </cell>
          <cell r="G741">
            <v>1572.0255581706199</v>
          </cell>
          <cell r="H741">
            <v>1085.96073393503</v>
          </cell>
          <cell r="I741">
            <v>568.66382149458798</v>
          </cell>
          <cell r="J741">
            <v>309.79579712841399</v>
          </cell>
          <cell r="L741">
            <v>4.7729782549884E-3</v>
          </cell>
          <cell r="M741">
            <v>7.1540518707051502E-3</v>
          </cell>
          <cell r="N741">
            <v>6.8024276418061098E-3</v>
          </cell>
          <cell r="O741">
            <v>1.0660288425387399E-2</v>
          </cell>
        </row>
        <row r="742">
          <cell r="A742" t="str">
            <v>D-SLFO</v>
          </cell>
          <cell r="B742" t="str">
            <v>VAR_fout</v>
          </cell>
          <cell r="C742" t="str">
            <v>SLFO</v>
          </cell>
          <cell r="D742">
            <v>30.256634348009488</v>
          </cell>
          <cell r="E742">
            <v>26.593110735479414</v>
          </cell>
          <cell r="F742">
            <v>25.062296503556279</v>
          </cell>
          <cell r="G742">
            <v>20.973962256174357</v>
          </cell>
          <cell r="H742">
            <v>14.489003499419281</v>
          </cell>
          <cell r="I742">
            <v>7.5871251163467388</v>
          </cell>
          <cell r="J742">
            <v>4.1335523939468546</v>
          </cell>
          <cell r="K742">
            <v>0.8703759017586522</v>
          </cell>
          <cell r="L742">
            <v>1.0526977208833614</v>
          </cell>
          <cell r="M742">
            <v>0.86329243471081873</v>
          </cell>
          <cell r="N742">
            <v>0.8635296893204828</v>
          </cell>
          <cell r="O742">
            <v>0.86378236847573542</v>
          </cell>
        </row>
        <row r="743">
          <cell r="A743" t="str">
            <v>D-SLFO</v>
          </cell>
          <cell r="B743" t="str">
            <v>VAR_fin</v>
          </cell>
          <cell r="C743" t="str">
            <v>LFO</v>
          </cell>
          <cell r="D743">
            <v>30.770538195722082</v>
          </cell>
          <cell r="E743">
            <v>27.044790250537872</v>
          </cell>
          <cell r="F743">
            <v>25.487956466922341</v>
          </cell>
          <cell r="G743">
            <v>21.330061847633939</v>
          </cell>
          <cell r="H743">
            <v>14.734881057463072</v>
          </cell>
          <cell r="I743">
            <v>7.715927021636193</v>
          </cell>
          <cell r="J743">
            <v>4.2034707887166007</v>
          </cell>
          <cell r="L743">
            <v>6.4762255834306594E-5</v>
          </cell>
          <cell r="M743">
            <v>9.7069903266012932E-5</v>
          </cell>
          <cell r="N743">
            <v>9.2298882521114201E-5</v>
          </cell>
          <cell r="O743">
            <v>1.4464434769860822E-4</v>
          </cell>
        </row>
        <row r="744">
          <cell r="A744" t="str">
            <v>D-SLFO</v>
          </cell>
          <cell r="B744" t="str">
            <v>VAR_fin</v>
          </cell>
          <cell r="C744" t="str">
            <v>BDS</v>
          </cell>
          <cell r="F744">
            <v>1.9047365356159798E-5</v>
          </cell>
          <cell r="G744">
            <v>1.3975071485325315E-4</v>
          </cell>
          <cell r="H744">
            <v>2.1573688634151598E-4</v>
          </cell>
          <cell r="I744">
            <v>6.4832543992870625E-5</v>
          </cell>
          <cell r="J744">
            <v>2.9020443730574182E-4</v>
          </cell>
          <cell r="K744">
            <v>0.88515923002811814</v>
          </cell>
          <cell r="L744">
            <v>1.0705133586958857</v>
          </cell>
          <cell r="M744">
            <v>0.8778589794402647</v>
          </cell>
          <cell r="N744">
            <v>0.87810491469457885</v>
          </cell>
          <cell r="O744">
            <v>0.87830963317718869</v>
          </cell>
        </row>
        <row r="745">
          <cell r="A745" t="str">
            <v>D-RCOA</v>
          </cell>
          <cell r="B745" t="str">
            <v>VAR_fout</v>
          </cell>
          <cell r="C745" t="str">
            <v>CO2</v>
          </cell>
          <cell r="D745">
            <v>9.2700412864716402</v>
          </cell>
          <cell r="E745">
            <v>9.2700133145970405</v>
          </cell>
          <cell r="F745">
            <v>5.3640066552239199E-2</v>
          </cell>
          <cell r="G745">
            <v>3.2382614697499597E-2</v>
          </cell>
          <cell r="H745">
            <v>1.23472012021514E-2</v>
          </cell>
        </row>
        <row r="746">
          <cell r="A746" t="str">
            <v>D-RCOA</v>
          </cell>
          <cell r="B746" t="str">
            <v>VAR_fout</v>
          </cell>
          <cell r="C746" t="str">
            <v>RCOA</v>
          </cell>
          <cell r="D746">
            <v>0.10000044537725621</v>
          </cell>
          <cell r="E746">
            <v>0.1000001436310361</v>
          </cell>
          <cell r="F746">
            <v>5.7864149463041168E-4</v>
          </cell>
          <cell r="G746">
            <v>3.4932701939050268E-4</v>
          </cell>
          <cell r="H746">
            <v>1.3319526647412544E-4</v>
          </cell>
        </row>
        <row r="747">
          <cell r="A747" t="str">
            <v>D-RCOA</v>
          </cell>
          <cell r="B747" t="str">
            <v>VAR_fin</v>
          </cell>
          <cell r="C747" t="str">
            <v>COA</v>
          </cell>
          <cell r="D747">
            <v>0.10000044537725621</v>
          </cell>
          <cell r="E747">
            <v>0.1000001436310361</v>
          </cell>
          <cell r="F747">
            <v>5.7864149463041168E-4</v>
          </cell>
          <cell r="G747">
            <v>3.4932701939050268E-4</v>
          </cell>
          <cell r="H747">
            <v>1.3319526647412544E-4</v>
          </cell>
        </row>
        <row r="748">
          <cell r="A748" t="str">
            <v>SCOM-ELCSPECDC</v>
          </cell>
          <cell r="B748" t="str">
            <v>VAR_fout</v>
          </cell>
          <cell r="C748" t="str">
            <v>SCOM-ELSDC</v>
          </cell>
          <cell r="F748">
            <v>10.166015736999416</v>
          </cell>
          <cell r="G748">
            <v>9.4002629187538513</v>
          </cell>
          <cell r="H748">
            <v>9.4002629187538513</v>
          </cell>
          <cell r="I748">
            <v>8.5871820412315873</v>
          </cell>
          <cell r="J748">
            <v>8.1145446338317555</v>
          </cell>
          <cell r="K748">
            <v>7.6419072264318952</v>
          </cell>
          <cell r="L748">
            <v>7.6419072264318952</v>
          </cell>
          <cell r="M748">
            <v>7.6419072264318952</v>
          </cell>
          <cell r="N748">
            <v>7.6419072264318952</v>
          </cell>
          <cell r="O748">
            <v>7.6419072264318952</v>
          </cell>
        </row>
        <row r="749">
          <cell r="A749" t="str">
            <v>SCOM-ELCSPECDC</v>
          </cell>
          <cell r="B749" t="str">
            <v>VAR_fin</v>
          </cell>
          <cell r="C749" t="str">
            <v>SCOM_ELC</v>
          </cell>
          <cell r="F749">
            <v>10.166015736999416</v>
          </cell>
          <cell r="G749">
            <v>9.4002629187538513</v>
          </cell>
          <cell r="H749">
            <v>9.4002629187538513</v>
          </cell>
          <cell r="I749">
            <v>8.5871820412315873</v>
          </cell>
          <cell r="J749">
            <v>8.1145446338317555</v>
          </cell>
          <cell r="K749">
            <v>7.6419072264318952</v>
          </cell>
          <cell r="L749">
            <v>7.6419072264318952</v>
          </cell>
          <cell r="M749">
            <v>7.6419072264318952</v>
          </cell>
          <cell r="N749">
            <v>7.6419072264318952</v>
          </cell>
          <cell r="O749">
            <v>7.6419072264318952</v>
          </cell>
        </row>
        <row r="750">
          <cell r="A750" t="str">
            <v>D-RHEM_KEV_WOD_ELC_CHP</v>
          </cell>
          <cell r="B750" t="str">
            <v>VAR_fout</v>
          </cell>
          <cell r="C750" t="str">
            <v>ELC5</v>
          </cell>
          <cell r="G750">
            <v>8.183979635395324E-5</v>
          </cell>
          <cell r="H750">
            <v>1.4993285431045384E-4</v>
          </cell>
          <cell r="I750">
            <v>2.5858762981204961E-2</v>
          </cell>
          <cell r="J750">
            <v>4.391390551422903E-2</v>
          </cell>
          <cell r="K750">
            <v>4.3789339098689067E-2</v>
          </cell>
          <cell r="L750">
            <v>4.3266220210203224E-2</v>
          </cell>
          <cell r="M750">
            <v>4.2292411408587728E-2</v>
          </cell>
          <cell r="N750">
            <v>4.3103156905227667E-2</v>
          </cell>
          <cell r="O750">
            <v>4.2370957435478418E-2</v>
          </cell>
        </row>
        <row r="751">
          <cell r="A751" t="str">
            <v>D-RHEM_KEV_WOD_ELC_CHP</v>
          </cell>
          <cell r="B751" t="str">
            <v>VAR_fout</v>
          </cell>
          <cell r="C751" t="str">
            <v>RHEM_ELC</v>
          </cell>
          <cell r="G751">
            <v>8.1771204589981323E-5</v>
          </cell>
          <cell r="H751">
            <v>1.4983905050570013E-4</v>
          </cell>
          <cell r="I751">
            <v>2.5836174460861956E-2</v>
          </cell>
          <cell r="J751">
            <v>4.3849412057498274E-2</v>
          </cell>
          <cell r="K751">
            <v>4.3789303385426616E-2</v>
          </cell>
          <cell r="L751">
            <v>4.3228784802336377E-2</v>
          </cell>
          <cell r="M751">
            <v>4.2288936176828898E-2</v>
          </cell>
          <cell r="N751">
            <v>4.3114100777108824E-2</v>
          </cell>
          <cell r="O751">
            <v>4.2378492429836476E-2</v>
          </cell>
        </row>
        <row r="752">
          <cell r="A752" t="str">
            <v>D-RHEM_KEV_WOD_ELC_CHP</v>
          </cell>
          <cell r="B752" t="str">
            <v>VAR_fin</v>
          </cell>
          <cell r="C752" t="str">
            <v>RHEM_KEV_WOD_ELC_CHP</v>
          </cell>
          <cell r="G752">
            <v>1.6291518044733245E-4</v>
          </cell>
          <cell r="H752">
            <v>2.9872864175810987E-4</v>
          </cell>
          <cell r="I752">
            <v>5.1693691854350757E-2</v>
          </cell>
          <cell r="J752">
            <v>8.7761391513492049E-2</v>
          </cell>
          <cell r="K752">
            <v>8.7575800677608978E-2</v>
          </cell>
          <cell r="L752">
            <v>8.6493758252044278E-2</v>
          </cell>
          <cell r="M752">
            <v>8.4578811510982926E-2</v>
          </cell>
          <cell r="N752">
            <v>8.6215383278768931E-2</v>
          </cell>
          <cell r="O752">
            <v>8.4746571811685739E-2</v>
          </cell>
        </row>
        <row r="753">
          <cell r="A753" t="str">
            <v>RHES-SHSTG-SOL</v>
          </cell>
          <cell r="B753" t="str">
            <v>VAR_fout</v>
          </cell>
          <cell r="C753" t="str">
            <v>RHES-SHASOL</v>
          </cell>
          <cell r="D753">
            <v>5.6366786314168324E-6</v>
          </cell>
          <cell r="E753">
            <v>6.4195569996748632E-6</v>
          </cell>
          <cell r="F753">
            <v>6.1592547470659904E-2</v>
          </cell>
          <cell r="G753">
            <v>5.8093231249108819E-2</v>
          </cell>
          <cell r="H753">
            <v>7.1069431921749346E-2</v>
          </cell>
          <cell r="I753">
            <v>7.0702652590138443E-2</v>
          </cell>
          <cell r="J753">
            <v>6.5683459706105826E-2</v>
          </cell>
          <cell r="K753">
            <v>0.16404014585466239</v>
          </cell>
          <cell r="L753">
            <v>0.17185287535517352</v>
          </cell>
          <cell r="M753">
            <v>0.14407286196247321</v>
          </cell>
          <cell r="N753">
            <v>0.1579313764977745</v>
          </cell>
          <cell r="O753">
            <v>0.13998549642061153</v>
          </cell>
        </row>
        <row r="754">
          <cell r="A754" t="str">
            <v>RHES-SHSTG-SOL</v>
          </cell>
          <cell r="B754" t="str">
            <v>VAR_fin</v>
          </cell>
          <cell r="C754" t="str">
            <v>RHES-SHASOL</v>
          </cell>
          <cell r="D754">
            <v>6.89044569455229E-8</v>
          </cell>
          <cell r="E754">
            <v>1.84357981247317E-7</v>
          </cell>
          <cell r="F754">
            <v>6.159188921083792E-2</v>
          </cell>
          <cell r="G754">
            <v>5.8091238678726898E-2</v>
          </cell>
          <cell r="H754">
            <v>7.1070532807720743E-2</v>
          </cell>
          <cell r="I754">
            <v>7.0706371460696846E-2</v>
          </cell>
          <cell r="J754">
            <v>6.5681421857190517E-2</v>
          </cell>
          <cell r="K754">
            <v>0.16404626365050376</v>
          </cell>
          <cell r="L754">
            <v>0.17186181200602874</v>
          </cell>
          <cell r="M754">
            <v>0.14407722765380812</v>
          </cell>
          <cell r="N754">
            <v>0.15793796335640281</v>
          </cell>
          <cell r="O754">
            <v>0.139986076959766</v>
          </cell>
        </row>
        <row r="755">
          <cell r="A755" t="str">
            <v>RHES-SHSTG-SOL</v>
          </cell>
          <cell r="B755" t="str">
            <v>VAR_ncap</v>
          </cell>
          <cell r="C755" t="str">
            <v>-</v>
          </cell>
          <cell r="D755">
            <v>1.19951947945286E-3</v>
          </cell>
          <cell r="E755">
            <v>9.9564316388591097E-3</v>
          </cell>
          <cell r="F755">
            <v>3.3471186260191801E-7</v>
          </cell>
          <cell r="G755">
            <v>1.7087057102864499E-7</v>
          </cell>
          <cell r="H755">
            <v>5.3876970101700197E-3</v>
          </cell>
          <cell r="I755">
            <v>5.0609822052253397E-3</v>
          </cell>
          <cell r="J755">
            <v>1.37630055945652E-7</v>
          </cell>
          <cell r="K755">
            <v>2.0547122874497899E-2</v>
          </cell>
          <cell r="L755">
            <v>5.7366554078058102E-3</v>
          </cell>
          <cell r="M755">
            <v>2.9350005023181901E-4</v>
          </cell>
          <cell r="N755">
            <v>1.7896105056073999E-2</v>
          </cell>
          <cell r="O755">
            <v>6.7352146482747002E-3</v>
          </cell>
        </row>
        <row r="756">
          <cell r="A756" t="str">
            <v>RHES-SHSTG-SOL</v>
          </cell>
          <cell r="B756" t="str">
            <v>VAR_cap</v>
          </cell>
          <cell r="C756" t="str">
            <v>-</v>
          </cell>
          <cell r="D756">
            <v>1.19951947945286E-3</v>
          </cell>
          <cell r="E756">
            <v>1.1155951118312E-2</v>
          </cell>
          <cell r="F756">
            <v>1.1156285830174599E-2</v>
          </cell>
          <cell r="G756">
            <v>1.1156456700745601E-2</v>
          </cell>
          <cell r="H756">
            <v>1.0800395404352899E-2</v>
          </cell>
          <cell r="I756">
            <v>1.0448887866843099E-2</v>
          </cell>
          <cell r="J756">
            <v>1.0448816845451301E-2</v>
          </cell>
          <cell r="K756">
            <v>2.5608242709779201E-2</v>
          </cell>
          <cell r="L756">
            <v>2.70615382310322E-2</v>
          </cell>
          <cell r="M756">
            <v>2.6577278332535498E-2</v>
          </cell>
          <cell r="N756">
            <v>2.5747008134062499E-2</v>
          </cell>
          <cell r="O756">
            <v>2.49248197545805E-2</v>
          </cell>
        </row>
        <row r="757">
          <cell r="A757" t="str">
            <v>D-ITOT_LTH</v>
          </cell>
          <cell r="B757" t="str">
            <v>VAR_fout</v>
          </cell>
          <cell r="C757" t="str">
            <v>ITOT_LTH_DH</v>
          </cell>
          <cell r="D757">
            <v>7.1200030228718028</v>
          </cell>
          <cell r="E757">
            <v>7.6289063055985551</v>
          </cell>
          <cell r="F757">
            <v>7.2432865305200318</v>
          </cell>
          <cell r="G757">
            <v>7.7665858044076135</v>
          </cell>
          <cell r="H757">
            <v>7.9947016272820388</v>
          </cell>
          <cell r="I757">
            <v>7.1253117982600767</v>
          </cell>
          <cell r="J757">
            <v>8.0631180784436314</v>
          </cell>
          <cell r="K757">
            <v>8.1429869315679451</v>
          </cell>
          <cell r="L757">
            <v>8.0784808356595903</v>
          </cell>
          <cell r="M757">
            <v>9.1372925104046008</v>
          </cell>
          <cell r="N757">
            <v>8.0395633775211746</v>
          </cell>
          <cell r="O757">
            <v>8.017527512820724</v>
          </cell>
        </row>
        <row r="758">
          <cell r="A758" t="str">
            <v>D-ITOT_LTH</v>
          </cell>
          <cell r="B758" t="str">
            <v>VAR_fin</v>
          </cell>
          <cell r="C758" t="str">
            <v>LTH</v>
          </cell>
          <cell r="D758">
            <v>7.7403389767846855</v>
          </cell>
          <cell r="E758">
            <v>8.2914012114362592</v>
          </cell>
          <cell r="F758">
            <v>7.8691920024160638</v>
          </cell>
          <cell r="G758">
            <v>8.4321725027416612</v>
          </cell>
          <cell r="H758">
            <v>8.6741443765228183</v>
          </cell>
          <cell r="I758">
            <v>7.7258006078463595</v>
          </cell>
          <cell r="J758">
            <v>8.7369140571315231</v>
          </cell>
          <cell r="K758">
            <v>8.8176811400876627</v>
          </cell>
          <cell r="L758">
            <v>8.7478303359427283</v>
          </cell>
          <cell r="M758">
            <v>9.8943707656110789</v>
          </cell>
          <cell r="N758">
            <v>8.7056883382296988</v>
          </cell>
          <cell r="O758">
            <v>8.68182667294551</v>
          </cell>
        </row>
        <row r="759">
          <cell r="A759" t="str">
            <v>D-ITOT_LTH</v>
          </cell>
          <cell r="B759" t="str">
            <v>VAR_ncap</v>
          </cell>
          <cell r="C759" t="str">
            <v>-</v>
          </cell>
          <cell r="D759">
            <v>0.79547231242279903</v>
          </cell>
          <cell r="F759">
            <v>1.06937848926369E-8</v>
          </cell>
          <cell r="G759">
            <v>1.20373850999753E-8</v>
          </cell>
          <cell r="H759">
            <v>1.63312028422259E-8</v>
          </cell>
          <cell r="I759">
            <v>2.3077549961891199E-8</v>
          </cell>
          <cell r="J759">
            <v>2.5203904797924301E-8</v>
          </cell>
          <cell r="K759">
            <v>7.7844730984745397E-8</v>
          </cell>
          <cell r="L759">
            <v>4.35423558939124E-8</v>
          </cell>
          <cell r="M759">
            <v>2.85722373437879E-7</v>
          </cell>
          <cell r="N759">
            <v>1.0553314084236E-7</v>
          </cell>
          <cell r="O759">
            <v>1.7486222882256299E-6</v>
          </cell>
        </row>
        <row r="760">
          <cell r="A760" t="str">
            <v>D-ITOT_LTH</v>
          </cell>
          <cell r="B760" t="str">
            <v>VAR_cap</v>
          </cell>
          <cell r="C760" t="str">
            <v>-</v>
          </cell>
          <cell r="D760">
            <v>0.79547231242279903</v>
          </cell>
          <cell r="E760">
            <v>0.79547231242279903</v>
          </cell>
          <cell r="F760">
            <v>0.795472323116584</v>
          </cell>
          <cell r="G760">
            <v>0.79547233515396898</v>
          </cell>
          <cell r="H760">
            <v>0.79547235148517204</v>
          </cell>
          <cell r="I760">
            <v>0.79547237456272202</v>
          </cell>
          <cell r="J760">
            <v>0.79547239976662698</v>
          </cell>
          <cell r="K760">
            <v>0.79547247761135798</v>
          </cell>
          <cell r="L760">
            <v>0.79547252115371403</v>
          </cell>
          <cell r="M760">
            <v>0.79547280687608701</v>
          </cell>
          <cell r="N760">
            <v>0.79547291240922802</v>
          </cell>
          <cell r="O760">
            <v>0.79547466103151698</v>
          </cell>
        </row>
        <row r="761">
          <cell r="A761" t="str">
            <v>D-IH2</v>
          </cell>
          <cell r="B761" t="str">
            <v>VAR_fout</v>
          </cell>
          <cell r="C761" t="str">
            <v>IH2</v>
          </cell>
          <cell r="G761">
            <v>3.2078941168936232E-4</v>
          </cell>
          <cell r="H761">
            <v>2.0621821263322984</v>
          </cell>
          <cell r="I761">
            <v>5.4729238648872505</v>
          </cell>
          <cell r="J761">
            <v>12.344659946172083</v>
          </cell>
          <cell r="K761">
            <v>21.465597302820694</v>
          </cell>
          <cell r="L761">
            <v>25.123773137598349</v>
          </cell>
          <cell r="M761">
            <v>25.839681577440491</v>
          </cell>
          <cell r="N761">
            <v>25.925159436908711</v>
          </cell>
          <cell r="O761">
            <v>25.827295681179859</v>
          </cell>
        </row>
        <row r="762">
          <cell r="A762" t="str">
            <v>D-IH2</v>
          </cell>
          <cell r="B762" t="str">
            <v>VAR_fin</v>
          </cell>
          <cell r="C762" t="str">
            <v>H2</v>
          </cell>
          <cell r="G762">
            <v>3.2323330989979129E-4</v>
          </cell>
          <cell r="H762">
            <v>2.0778926299352101</v>
          </cell>
          <cell r="I762">
            <v>5.5146187224848662</v>
          </cell>
          <cell r="J762">
            <v>12.438706355596649</v>
          </cell>
          <cell r="K762">
            <v>21.6291305521193</v>
          </cell>
          <cell r="L762">
            <v>25.315175789845679</v>
          </cell>
          <cell r="M762">
            <v>26.036538297968107</v>
          </cell>
          <cell r="N762">
            <v>26.122667360936756</v>
          </cell>
          <cell r="O762">
            <v>26.024058041143807</v>
          </cell>
        </row>
        <row r="763">
          <cell r="A763" t="str">
            <v>D-IH2</v>
          </cell>
          <cell r="B763" t="str">
            <v>VAR_ncap</v>
          </cell>
          <cell r="C763" t="str">
            <v>-</v>
          </cell>
          <cell r="G763">
            <v>5.6335836567397497E-5</v>
          </cell>
          <cell r="H763">
            <v>0.13725103551058199</v>
          </cell>
          <cell r="I763">
            <v>5.6407372680941398E-2</v>
          </cell>
          <cell r="J763">
            <v>0.27169030373624797</v>
          </cell>
          <cell r="K763">
            <v>0.38885963192079698</v>
          </cell>
          <cell r="L763">
            <v>0.110000176841419</v>
          </cell>
          <cell r="M763">
            <v>1.93487321435627E-2</v>
          </cell>
          <cell r="N763">
            <v>1.7954183820214E-6</v>
          </cell>
          <cell r="O763">
            <v>1.4275447563631099E-5</v>
          </cell>
        </row>
        <row r="764">
          <cell r="A764" t="str">
            <v>D-IH2</v>
          </cell>
          <cell r="B764" t="str">
            <v>VAR_cap</v>
          </cell>
          <cell r="C764" t="str">
            <v>-</v>
          </cell>
          <cell r="G764">
            <v>5.6335836567397497E-5</v>
          </cell>
          <cell r="H764">
            <v>0.13730737134714999</v>
          </cell>
          <cell r="I764">
            <v>0.193714744028091</v>
          </cell>
          <cell r="J764">
            <v>0.465405047764339</v>
          </cell>
          <cell r="K764">
            <v>0.85426467968513498</v>
          </cell>
          <cell r="L764">
            <v>0.96426485652655503</v>
          </cell>
          <cell r="M764">
            <v>0.98361358867011806</v>
          </cell>
          <cell r="N764">
            <v>0.98359752485705099</v>
          </cell>
          <cell r="O764">
            <v>0.98357332369949602</v>
          </cell>
        </row>
        <row r="765">
          <cell r="A765" t="str">
            <v>D-RHNM_LTH_CHPWOD</v>
          </cell>
          <cell r="B765" t="str">
            <v>VAR_fout</v>
          </cell>
          <cell r="C765" t="str">
            <v>RHNM_LTH_CHPWOD_ON</v>
          </cell>
          <cell r="D765">
            <v>2.7032380550802605E-6</v>
          </cell>
          <cell r="E765">
            <v>7.4312672045412637E-6</v>
          </cell>
          <cell r="F765">
            <v>1.5348383282509498E-6</v>
          </cell>
          <cell r="G765">
            <v>3.0053959376333706E-4</v>
          </cell>
          <cell r="H765">
            <v>6.3091022044220837E-4</v>
          </cell>
          <cell r="I765">
            <v>3.1435813154265459E-3</v>
          </cell>
          <cell r="J765">
            <v>3.0233466667538731E-3</v>
          </cell>
          <cell r="K765">
            <v>1.6688692602872019E-3</v>
          </cell>
          <cell r="L765">
            <v>7.9371940725836095E-4</v>
          </cell>
          <cell r="M765">
            <v>2.4600281227066295E-3</v>
          </cell>
          <cell r="N765">
            <v>8.7046625339821698E-4</v>
          </cell>
          <cell r="O765">
            <v>1.4962235549705752E-3</v>
          </cell>
        </row>
        <row r="766">
          <cell r="A766" t="str">
            <v>D-RHNM_LTH_CHPWOD</v>
          </cell>
          <cell r="B766" t="str">
            <v>VAR_fout</v>
          </cell>
          <cell r="C766" t="str">
            <v>RHSA_LTH</v>
          </cell>
          <cell r="D766">
            <v>5.347099437597079E-6</v>
          </cell>
          <cell r="E766">
            <v>5.9372612616115466E-6</v>
          </cell>
          <cell r="F766">
            <v>6.9038020578778413E-6</v>
          </cell>
          <cell r="G766">
            <v>4.4595076488608059E-5</v>
          </cell>
          <cell r="H766">
            <v>2.3058248161492081E-6</v>
          </cell>
          <cell r="I766">
            <v>4.8822278878036001E-6</v>
          </cell>
          <cell r="J766">
            <v>4.2508600431798762E-6</v>
          </cell>
          <cell r="K766">
            <v>2.4774888458413109E-6</v>
          </cell>
          <cell r="L766">
            <v>7.6674375289819855E-5</v>
          </cell>
          <cell r="M766">
            <v>1.8781242699787498E-5</v>
          </cell>
          <cell r="N766">
            <v>7.8083860896479421E-5</v>
          </cell>
          <cell r="O766">
            <v>4.0113681635273704E-6</v>
          </cell>
        </row>
        <row r="767">
          <cell r="A767" t="str">
            <v>D-RHNM_LTH_CHPWOD</v>
          </cell>
          <cell r="B767" t="str">
            <v>VAR_fout</v>
          </cell>
          <cell r="C767" t="str">
            <v>LTH</v>
          </cell>
          <cell r="I767">
            <v>4.9202971837257986E-6</v>
          </cell>
          <cell r="J767">
            <v>4.4227491069097617E-6</v>
          </cell>
          <cell r="K767">
            <v>2.2710118484168043E-6</v>
          </cell>
          <cell r="L767">
            <v>1.1447995274063775E-6</v>
          </cell>
          <cell r="M767">
            <v>6.1400504531521564E-6</v>
          </cell>
          <cell r="N767">
            <v>1.9129010829173263E-6</v>
          </cell>
          <cell r="O767">
            <v>4.5551468944882491E-6</v>
          </cell>
        </row>
        <row r="768">
          <cell r="A768" t="str">
            <v>D-RHNM_LTH_CHPWOD</v>
          </cell>
          <cell r="B768" t="str">
            <v>VAR_fin</v>
          </cell>
          <cell r="C768" t="str">
            <v>RHNM_LTH_CHPWOD</v>
          </cell>
          <cell r="D768">
            <v>8.0503374926773399E-6</v>
          </cell>
          <cell r="E768">
            <v>1.358170084769022E-5</v>
          </cell>
          <cell r="F768">
            <v>8.7160713968238923E-6</v>
          </cell>
          <cell r="G768">
            <v>3.4539761470106403E-4</v>
          </cell>
          <cell r="H768">
            <v>6.3387790742658106E-4</v>
          </cell>
          <cell r="I768">
            <v>3.1537678832552424E-3</v>
          </cell>
          <cell r="J768">
            <v>3.0329705445031286E-3</v>
          </cell>
          <cell r="K768">
            <v>1.6746173409874711E-3</v>
          </cell>
          <cell r="L768">
            <v>8.7238652145092829E-4</v>
          </cell>
          <cell r="M768">
            <v>2.485402249426138E-3</v>
          </cell>
          <cell r="N768">
            <v>9.5144611709840096E-4</v>
          </cell>
          <cell r="O768">
            <v>1.5053307866031581E-3</v>
          </cell>
        </row>
        <row r="769">
          <cell r="A769" t="str">
            <v>RHNS-SHWODBR</v>
          </cell>
          <cell r="B769" t="str">
            <v>VAR_fout</v>
          </cell>
          <cell r="C769" t="str">
            <v>RHNS-SHWOD</v>
          </cell>
          <cell r="E769">
            <v>2.6568694594272982E-2</v>
          </cell>
          <cell r="F769">
            <v>9.4757273988171062E-2</v>
          </cell>
          <cell r="G769">
            <v>0.10862572914413775</v>
          </cell>
          <cell r="H769">
            <v>0.2334877250978224</v>
          </cell>
          <cell r="I769">
            <v>0.15387672748997488</v>
          </cell>
          <cell r="J769">
            <v>0.16257864050957355</v>
          </cell>
          <cell r="K769">
            <v>0.25790227976664043</v>
          </cell>
          <cell r="L769">
            <v>0.15931503922300755</v>
          </cell>
          <cell r="M769">
            <v>0.15860559909664457</v>
          </cell>
          <cell r="N769">
            <v>0.15865295132443061</v>
          </cell>
          <cell r="O769">
            <v>9.906167710457324E-2</v>
          </cell>
        </row>
        <row r="770">
          <cell r="A770" t="str">
            <v>RHNS-SHWODBR</v>
          </cell>
          <cell r="B770" t="str">
            <v>VAR_fin</v>
          </cell>
          <cell r="C770" t="str">
            <v>RHNSWODBRC</v>
          </cell>
          <cell r="E770">
            <v>2.6568694594272982E-2</v>
          </cell>
          <cell r="F770">
            <v>9.4757273988171062E-2</v>
          </cell>
          <cell r="G770">
            <v>0.10862572914413775</v>
          </cell>
          <cell r="H770">
            <v>0.2334877250978224</v>
          </cell>
          <cell r="I770">
            <v>0.15387672748997488</v>
          </cell>
          <cell r="J770">
            <v>0.16257864050957355</v>
          </cell>
          <cell r="K770">
            <v>0.25790227976664043</v>
          </cell>
          <cell r="L770">
            <v>0.15931503922300755</v>
          </cell>
          <cell r="M770">
            <v>0.15860559909664457</v>
          </cell>
          <cell r="N770">
            <v>0.15865295132443061</v>
          </cell>
          <cell r="O770">
            <v>9.906167710457324E-2</v>
          </cell>
        </row>
        <row r="771">
          <cell r="A771" t="str">
            <v>RHNS-SHWODBR</v>
          </cell>
          <cell r="B771" t="str">
            <v>VAR_fin</v>
          </cell>
          <cell r="C771" t="str">
            <v>RWOD</v>
          </cell>
          <cell r="E771">
            <v>3.6900964714267986E-2</v>
          </cell>
          <cell r="F771">
            <v>0.13160732498357094</v>
          </cell>
          <cell r="G771">
            <v>0.15086906825574695</v>
          </cell>
          <cell r="H771">
            <v>0.32428850708030865</v>
          </cell>
          <cell r="I771">
            <v>0.21371767706940933</v>
          </cell>
          <cell r="J771">
            <v>0.22580366737440774</v>
          </cell>
          <cell r="K771">
            <v>0.35819761078700024</v>
          </cell>
          <cell r="L771">
            <v>0.22127088780973284</v>
          </cell>
          <cell r="M771">
            <v>0.22028555430089508</v>
          </cell>
          <cell r="N771">
            <v>0.2203513212839314</v>
          </cell>
          <cell r="O771">
            <v>0.13758566264524075</v>
          </cell>
        </row>
        <row r="772">
          <cell r="A772" t="str">
            <v>RHNS-SHWODBR</v>
          </cell>
          <cell r="B772" t="str">
            <v>VAR_ncap</v>
          </cell>
          <cell r="C772" t="str">
            <v>-</v>
          </cell>
          <cell r="E772">
            <v>1.9447085965070699E-3</v>
          </cell>
          <cell r="F772">
            <v>6.1446064857076004E-3</v>
          </cell>
          <cell r="H772">
            <v>9.9301726913683906E-3</v>
          </cell>
          <cell r="J772">
            <v>1.8791080923453701E-2</v>
          </cell>
          <cell r="L772">
            <v>4.2362272160808802E-7</v>
          </cell>
          <cell r="M772">
            <v>1.1564269097642899E-2</v>
          </cell>
          <cell r="N772">
            <v>1.3111424487067599E-6</v>
          </cell>
          <cell r="O772">
            <v>2.3167510313634699E-7</v>
          </cell>
        </row>
        <row r="773">
          <cell r="A773" t="str">
            <v>RHNS-SHWODBR</v>
          </cell>
          <cell r="B773" t="str">
            <v>VAR_cap</v>
          </cell>
          <cell r="C773" t="str">
            <v>-</v>
          </cell>
          <cell r="E773">
            <v>1.9447085965070699E-3</v>
          </cell>
          <cell r="F773">
            <v>8.0892368487806739E-3</v>
          </cell>
          <cell r="G773">
            <v>8.0891922425357053E-3</v>
          </cell>
          <cell r="H773">
            <v>1.7070933651007515E-2</v>
          </cell>
          <cell r="I773">
            <v>1.1220457114635622E-2</v>
          </cell>
          <cell r="J773">
            <v>1.8811105972620191E-2</v>
          </cell>
          <cell r="K773">
            <v>1.8791065845434246E-2</v>
          </cell>
          <cell r="L773">
            <v>1.513645995313107E-2</v>
          </cell>
          <cell r="M773">
            <v>1.1564656637343206E-2</v>
          </cell>
          <cell r="N773">
            <v>1.1565776042180195E-2</v>
          </cell>
          <cell r="O773">
            <v>1.1563979853512233E-2</v>
          </cell>
        </row>
        <row r="774">
          <cell r="A774" t="str">
            <v>D-RHNM_NKEV_GAS_ELC_CHP</v>
          </cell>
          <cell r="B774" t="str">
            <v>VAR_fout</v>
          </cell>
          <cell r="C774" t="str">
            <v>ELC5</v>
          </cell>
          <cell r="E774">
            <v>7.0466442507007053E-4</v>
          </cell>
          <cell r="F774">
            <v>1.442683103426251E-3</v>
          </cell>
          <cell r="G774">
            <v>1.3490195704403617E-3</v>
          </cell>
          <cell r="H774">
            <v>1.4428121666173364E-3</v>
          </cell>
          <cell r="I774">
            <v>8.8889546103052518E-4</v>
          </cell>
          <cell r="L774">
            <v>2.9440784621371558E-4</v>
          </cell>
          <cell r="M774">
            <v>9.2318446842740642E-4</v>
          </cell>
          <cell r="N774">
            <v>3.8778187308355854E-4</v>
          </cell>
          <cell r="O774">
            <v>6.8641279464860708E-4</v>
          </cell>
        </row>
        <row r="775">
          <cell r="A775" t="str">
            <v>D-RHNM_NKEV_GAS_ELC_CHP</v>
          </cell>
          <cell r="B775" t="str">
            <v>VAR_fout</v>
          </cell>
          <cell r="C775" t="str">
            <v>RHNM_ELC</v>
          </cell>
          <cell r="E775">
            <v>7.0453978730339697E-4</v>
          </cell>
          <cell r="F775">
            <v>1.441537679057848E-3</v>
          </cell>
          <cell r="G775">
            <v>1.3481338388841202E-3</v>
          </cell>
          <cell r="H775">
            <v>1.4421570550079115E-3</v>
          </cell>
          <cell r="I775">
            <v>8.8859975385883799E-4</v>
          </cell>
          <cell r="L775">
            <v>2.9455004221123459E-4</v>
          </cell>
          <cell r="M775">
            <v>9.2355335160218153E-4</v>
          </cell>
          <cell r="N775">
            <v>3.8807544455512951E-4</v>
          </cell>
          <cell r="O775">
            <v>6.8723145554311924E-4</v>
          </cell>
        </row>
        <row r="776">
          <cell r="A776" t="str">
            <v>D-RHNM_NKEV_GAS_ELC_CHP</v>
          </cell>
          <cell r="B776" t="str">
            <v>VAR_fin</v>
          </cell>
          <cell r="C776" t="str">
            <v>RHNM_NKEV_GAS_ELC_CHP</v>
          </cell>
          <cell r="E776">
            <v>1.4092042123734685E-3</v>
          </cell>
          <cell r="F776">
            <v>2.8826791701411533E-3</v>
          </cell>
          <cell r="G776">
            <v>2.6961297612647854E-3</v>
          </cell>
          <cell r="H776">
            <v>2.8833493014033271E-3</v>
          </cell>
          <cell r="I776">
            <v>1.7749827328860576E-3</v>
          </cell>
          <cell r="L776">
            <v>5.8895788842495001E-4</v>
          </cell>
          <cell r="M776">
            <v>1.8467378200295902E-3</v>
          </cell>
          <cell r="N776">
            <v>7.7585731763868784E-4</v>
          </cell>
          <cell r="O776">
            <v>1.3736442501917263E-3</v>
          </cell>
        </row>
        <row r="777">
          <cell r="A777" t="str">
            <v>D-RLFO</v>
          </cell>
          <cell r="B777" t="str">
            <v>VAR_fout</v>
          </cell>
          <cell r="C777" t="str">
            <v>CO2</v>
          </cell>
          <cell r="D777">
            <v>4514.4826325335198</v>
          </cell>
          <cell r="E777">
            <v>3846.5256089701402</v>
          </cell>
          <cell r="F777">
            <v>3783.0496795793902</v>
          </cell>
          <cell r="G777">
            <v>3112.9694114064901</v>
          </cell>
          <cell r="H777">
            <v>1615.6393318630201</v>
          </cell>
          <cell r="I777">
            <v>903.05108592947602</v>
          </cell>
          <cell r="J777">
            <v>710.32004954949605</v>
          </cell>
          <cell r="L777">
            <v>4.7361052367794303E-3</v>
          </cell>
          <cell r="M777">
            <v>7.1303193367605504E-3</v>
          </cell>
          <cell r="N777">
            <v>6.7340345005500101E-3</v>
          </cell>
          <cell r="O777">
            <v>1.06156063899782E-2</v>
          </cell>
        </row>
        <row r="778">
          <cell r="A778" t="str">
            <v>D-RLFO</v>
          </cell>
          <cell r="B778" t="str">
            <v>VAR_fout</v>
          </cell>
          <cell r="C778" t="str">
            <v>RLFO</v>
          </cell>
          <cell r="D778">
            <v>60.231825120934438</v>
          </cell>
          <cell r="E778">
            <v>51.320002015970651</v>
          </cell>
          <cell r="F778">
            <v>50.473130550113375</v>
          </cell>
          <cell r="G778">
            <v>41.533098256574348</v>
          </cell>
          <cell r="H778">
            <v>21.555928131350459</v>
          </cell>
          <cell r="I778">
            <v>12.048491755545056</v>
          </cell>
          <cell r="J778">
            <v>9.4773291882716073</v>
          </cell>
          <cell r="K778">
            <v>9.4771832498632307</v>
          </cell>
          <cell r="L778">
            <v>9.4770826493044726</v>
          </cell>
          <cell r="M778">
            <v>7.2053701930022775</v>
          </cell>
          <cell r="N778">
            <v>5.6645548893531874</v>
          </cell>
          <cell r="O778">
            <v>1.3808836201523973</v>
          </cell>
        </row>
        <row r="779">
          <cell r="A779" t="str">
            <v>D-RLFO</v>
          </cell>
          <cell r="B779" t="str">
            <v>VAR_fin</v>
          </cell>
          <cell r="C779" t="str">
            <v>LFO</v>
          </cell>
          <cell r="D779">
            <v>61.254852544552506</v>
          </cell>
          <cell r="E779">
            <v>52.191663622389918</v>
          </cell>
          <cell r="F779">
            <v>51.33038913947609</v>
          </cell>
          <cell r="G779">
            <v>42.238390928175008</v>
          </cell>
          <cell r="H779">
            <v>21.921836253229547</v>
          </cell>
          <cell r="I779">
            <v>12.253067651688966</v>
          </cell>
          <cell r="J779">
            <v>9.6379925312007693</v>
          </cell>
          <cell r="L779">
            <v>6.426194351125426E-5</v>
          </cell>
          <cell r="M779">
            <v>9.6747887880061696E-5</v>
          </cell>
          <cell r="N779">
            <v>9.1370888745590347E-5</v>
          </cell>
          <cell r="O779">
            <v>1.4403807856144078E-4</v>
          </cell>
        </row>
        <row r="780">
          <cell r="A780" t="str">
            <v>D-RLFO</v>
          </cell>
          <cell r="B780" t="str">
            <v>VAR_fin</v>
          </cell>
          <cell r="C780" t="str">
            <v>BDS</v>
          </cell>
          <cell r="F780">
            <v>1.905597017395063E-5</v>
          </cell>
          <cell r="G780">
            <v>1.4002760907675857E-4</v>
          </cell>
          <cell r="H780">
            <v>2.1570381907011014E-4</v>
          </cell>
          <cell r="I780">
            <v>6.5757340942694325E-5</v>
          </cell>
          <cell r="J780">
            <v>3.0754090616044223E-4</v>
          </cell>
          <cell r="K780">
            <v>9.6381508872886439</v>
          </cell>
          <cell r="L780">
            <v>9.6379850683754817</v>
          </cell>
          <cell r="M780">
            <v>7.3276554739106619</v>
          </cell>
          <cell r="N780">
            <v>5.7606750542211849</v>
          </cell>
          <cell r="O780">
            <v>1.4041936893889995</v>
          </cell>
        </row>
        <row r="781">
          <cell r="A781" t="str">
            <v>D-SCOM_LTH_CHPBIO</v>
          </cell>
          <cell r="B781" t="str">
            <v>VAR_fout</v>
          </cell>
          <cell r="C781" t="str">
            <v>SCOM_LTH_CHPBIO_ON</v>
          </cell>
          <cell r="D781">
            <v>1.4243088059541407</v>
          </cell>
          <cell r="E781">
            <v>1.5427981277860998</v>
          </cell>
          <cell r="F781">
            <v>1.3892809246083226</v>
          </cell>
          <cell r="G781">
            <v>1.1580875783764515</v>
          </cell>
          <cell r="H781">
            <v>0.94527208199010571</v>
          </cell>
          <cell r="I781">
            <v>0.92413689014910705</v>
          </cell>
          <cell r="J781">
            <v>1.605916098871818</v>
          </cell>
          <cell r="K781">
            <v>2.3083424291411552</v>
          </cell>
          <cell r="L781">
            <v>2.3431069378603082</v>
          </cell>
          <cell r="M781">
            <v>2.3797568745135504</v>
          </cell>
          <cell r="N781">
            <v>2.3360267603636387</v>
          </cell>
          <cell r="O781">
            <v>2.3941840715054781</v>
          </cell>
        </row>
        <row r="782">
          <cell r="A782" t="str">
            <v>D-SCOM_LTH_CHPBIO</v>
          </cell>
          <cell r="B782" t="str">
            <v>VAR_fout</v>
          </cell>
          <cell r="C782" t="str">
            <v>LTH</v>
          </cell>
          <cell r="E782">
            <v>3.551691748775937E-2</v>
          </cell>
          <cell r="F782">
            <v>9.2389077427847313E-2</v>
          </cell>
          <cell r="G782">
            <v>0.16538772140911581</v>
          </cell>
          <cell r="H782">
            <v>0.21735251959119647</v>
          </cell>
          <cell r="I782">
            <v>0.2916234403529121</v>
          </cell>
          <cell r="J782">
            <v>0.67737575522281612</v>
          </cell>
          <cell r="K782">
            <v>1.1774452440087086</v>
          </cell>
          <cell r="L782">
            <v>1.5290471710491591</v>
          </cell>
          <cell r="M782">
            <v>2.3465022776744506</v>
          </cell>
          <cell r="N782">
            <v>2.9562672657588425</v>
          </cell>
          <cell r="O782">
            <v>3.9234314551190925</v>
          </cell>
        </row>
        <row r="783">
          <cell r="A783" t="str">
            <v>D-SCOM_LTH_CHPBIO</v>
          </cell>
          <cell r="B783" t="str">
            <v>VAR_fin</v>
          </cell>
          <cell r="C783" t="str">
            <v>SCOM_LTH_CHPBIO</v>
          </cell>
          <cell r="D783">
            <v>1.4243088059541407</v>
          </cell>
          <cell r="E783">
            <v>1.578315045273861</v>
          </cell>
          <cell r="F783">
            <v>1.4816700020361704</v>
          </cell>
          <cell r="G783">
            <v>1.3234752997855672</v>
          </cell>
          <cell r="H783">
            <v>1.1626246015813015</v>
          </cell>
          <cell r="I783">
            <v>1.215760330502019</v>
          </cell>
          <cell r="J783">
            <v>2.2832918540946343</v>
          </cell>
          <cell r="K783">
            <v>3.4857876731498614</v>
          </cell>
          <cell r="L783">
            <v>3.8721541089094695</v>
          </cell>
          <cell r="M783">
            <v>4.7262591521879962</v>
          </cell>
          <cell r="N783">
            <v>5.2922940261224785</v>
          </cell>
          <cell r="O783">
            <v>6.3176155266245688</v>
          </cell>
        </row>
        <row r="784">
          <cell r="A784" t="str">
            <v>D-SCOM_LTH_CHPHFC</v>
          </cell>
          <cell r="B784" t="str">
            <v>VAR_fout</v>
          </cell>
          <cell r="C784" t="str">
            <v>SCOM_LTH_CHPHFC_ON</v>
          </cell>
          <cell r="G784">
            <v>2.3957114246360198E-4</v>
          </cell>
          <cell r="H784">
            <v>8.3598093815788477E-4</v>
          </cell>
          <cell r="I784">
            <v>1.2536122231522455E-3</v>
          </cell>
          <cell r="J784">
            <v>1.4213377864343117E-3</v>
          </cell>
          <cell r="K784">
            <v>8.8786065552494443E-3</v>
          </cell>
          <cell r="L784">
            <v>1.5480512656829145E-2</v>
          </cell>
          <cell r="M784">
            <v>1.5086484822307225E-2</v>
          </cell>
          <cell r="N784">
            <v>6.24886981006145E-3</v>
          </cell>
          <cell r="O784">
            <v>3.6972713575935755E-2</v>
          </cell>
        </row>
        <row r="785">
          <cell r="A785" t="str">
            <v>D-SCOM_LTH_CHPHFC</v>
          </cell>
          <cell r="B785" t="str">
            <v>VAR_fout</v>
          </cell>
          <cell r="C785" t="str">
            <v>LTH</v>
          </cell>
          <cell r="H785">
            <v>1.7336077318067611E-7</v>
          </cell>
          <cell r="I785">
            <v>1.387741511712822E-6</v>
          </cell>
          <cell r="J785">
            <v>1.7690738233762369E-6</v>
          </cell>
          <cell r="K785">
            <v>1.7587906349956298E-5</v>
          </cell>
          <cell r="L785">
            <v>4.5796508330570318E-5</v>
          </cell>
          <cell r="M785">
            <v>4.8476797461788778E-5</v>
          </cell>
          <cell r="N785">
            <v>2.2282148266398881E-5</v>
          </cell>
          <cell r="O785">
            <v>1.9683831442651639E-4</v>
          </cell>
        </row>
        <row r="786">
          <cell r="A786" t="str">
            <v>D-SCOM_LTH_CHPHFC</v>
          </cell>
          <cell r="B786" t="str">
            <v>VAR_fin</v>
          </cell>
          <cell r="C786" t="str">
            <v>SCOM_LTH_CHPHFC</v>
          </cell>
          <cell r="G786">
            <v>2.3976145523530386E-4</v>
          </cell>
          <cell r="H786">
            <v>8.3684128691432385E-4</v>
          </cell>
          <cell r="I786">
            <v>1.2556518958921903E-3</v>
          </cell>
          <cell r="J786">
            <v>1.4238569701177065E-3</v>
          </cell>
          <cell r="K786">
            <v>8.8964800116946071E-3</v>
          </cell>
          <cell r="L786">
            <v>1.5526420982148499E-2</v>
          </cell>
          <cell r="M786">
            <v>1.5134961619769001E-2</v>
          </cell>
          <cell r="N786">
            <v>6.27145663236694E-3</v>
          </cell>
          <cell r="O786">
            <v>3.7169551890362279E-2</v>
          </cell>
        </row>
        <row r="787">
          <cell r="A787" t="str">
            <v>D-SCOM_NKEV_GAS_ELC_CHP</v>
          </cell>
          <cell r="B787" t="str">
            <v>VAR_fout</v>
          </cell>
          <cell r="C787" t="str">
            <v>ELC5</v>
          </cell>
          <cell r="D787">
            <v>0.23397126771127322</v>
          </cell>
          <cell r="E787">
            <v>0.31289659569565825</v>
          </cell>
          <cell r="F787">
            <v>0.48153346378261308</v>
          </cell>
          <cell r="G787">
            <v>0.54407669819488536</v>
          </cell>
          <cell r="H787">
            <v>0.50318815621183655</v>
          </cell>
          <cell r="I787">
            <v>0.30580325370784639</v>
          </cell>
          <cell r="L787">
            <v>5.9701946891734328E-4</v>
          </cell>
          <cell r="M787">
            <v>7.0021479552446651E-4</v>
          </cell>
          <cell r="N787">
            <v>5.276102292749858E-4</v>
          </cell>
          <cell r="O787">
            <v>9.751529907714477E-4</v>
          </cell>
        </row>
        <row r="788">
          <cell r="A788" t="str">
            <v>D-SCOM_NKEV_GAS_ELC_CHP</v>
          </cell>
          <cell r="B788" t="str">
            <v>VAR_fout</v>
          </cell>
          <cell r="C788" t="str">
            <v>SCOM_ELC</v>
          </cell>
          <cell r="D788">
            <v>0.36042850880985444</v>
          </cell>
          <cell r="E788">
            <v>0.31296911494572771</v>
          </cell>
          <cell r="F788">
            <v>0.47893328649234784</v>
          </cell>
          <cell r="G788">
            <v>0.54184241474911232</v>
          </cell>
          <cell r="H788">
            <v>0.50058449083100109</v>
          </cell>
          <cell r="I788">
            <v>0.30583983651015817</v>
          </cell>
          <cell r="L788">
            <v>5.9681212369210544E-4</v>
          </cell>
          <cell r="M788">
            <v>7.0015248792786424E-4</v>
          </cell>
          <cell r="N788">
            <v>5.2754573188924629E-4</v>
          </cell>
          <cell r="O788">
            <v>9.7531414694018411E-4</v>
          </cell>
        </row>
        <row r="789">
          <cell r="A789" t="str">
            <v>D-SCOM_NKEV_GAS_ELC_CHP</v>
          </cell>
          <cell r="B789" t="str">
            <v>VAR_fin</v>
          </cell>
          <cell r="C789" t="str">
            <v>SCOM_NKEV_GAS_ELC_CHP</v>
          </cell>
          <cell r="D789">
            <v>0.5943997765211273</v>
          </cell>
          <cell r="E789">
            <v>0.6258657106413863</v>
          </cell>
          <cell r="F789">
            <v>0.96046534662965544</v>
          </cell>
          <cell r="G789">
            <v>1.0859181335897903</v>
          </cell>
          <cell r="H789">
            <v>1.0037712170127806</v>
          </cell>
          <cell r="I789">
            <v>0.6116423901853324</v>
          </cell>
          <cell r="L789">
            <v>1.1938315926094483E-3</v>
          </cell>
          <cell r="M789">
            <v>1.4003672834523291E-3</v>
          </cell>
          <cell r="N789">
            <v>1.0551559611642319E-3</v>
          </cell>
          <cell r="O789">
            <v>1.9504671377116329E-3</v>
          </cell>
        </row>
        <row r="790">
          <cell r="A790" t="str">
            <v>RHEM-SHLTHDH</v>
          </cell>
          <cell r="B790" t="str">
            <v>VAR_fout</v>
          </cell>
          <cell r="C790" t="str">
            <v>RHEM-SHLTHD</v>
          </cell>
          <cell r="D790">
            <v>2.0334978255133946</v>
          </cell>
          <cell r="E790">
            <v>3.7887237855935472</v>
          </cell>
          <cell r="F790">
            <v>4.0154218848529482</v>
          </cell>
          <cell r="G790">
            <v>3.1651217776532286</v>
          </cell>
          <cell r="H790">
            <v>3.0792517243177508</v>
          </cell>
          <cell r="I790">
            <v>3.7758846930206302</v>
          </cell>
          <cell r="J790">
            <v>2.7705692169019156</v>
          </cell>
          <cell r="K790">
            <v>3.604501648650948</v>
          </cell>
          <cell r="L790">
            <v>3.4680240641178628</v>
          </cell>
          <cell r="M790">
            <v>3.3314523633390301</v>
          </cell>
          <cell r="N790">
            <v>3.332705414651743</v>
          </cell>
          <cell r="O790">
            <v>2.6762341263667904</v>
          </cell>
        </row>
        <row r="791">
          <cell r="A791" t="str">
            <v>RHEM-SHLTHDH</v>
          </cell>
          <cell r="B791" t="str">
            <v>VAR_fin</v>
          </cell>
          <cell r="C791" t="str">
            <v>RHEMLTHDHC</v>
          </cell>
          <cell r="D791">
            <v>2.0334978255133946</v>
          </cell>
          <cell r="E791">
            <v>3.7887237855935472</v>
          </cell>
          <cell r="F791">
            <v>4.0154218848529482</v>
          </cell>
          <cell r="G791">
            <v>3.1651217776532286</v>
          </cell>
          <cell r="H791">
            <v>3.0792517243177508</v>
          </cell>
          <cell r="I791">
            <v>3.7758846930206302</v>
          </cell>
          <cell r="J791">
            <v>2.7705692169019156</v>
          </cell>
          <cell r="K791">
            <v>3.604501648650948</v>
          </cell>
          <cell r="L791">
            <v>3.4680240641178628</v>
          </cell>
          <cell r="M791">
            <v>3.3314523633390301</v>
          </cell>
          <cell r="N791">
            <v>3.332705414651743</v>
          </cell>
          <cell r="O791">
            <v>2.6762341263667904</v>
          </cell>
        </row>
        <row r="792">
          <cell r="A792" t="str">
            <v>RHEM-SHLTHDH</v>
          </cell>
          <cell r="B792" t="str">
            <v>VAR_fin</v>
          </cell>
          <cell r="C792" t="str">
            <v>RHEM_LTH_DH</v>
          </cell>
          <cell r="D792">
            <v>2.054038207589286</v>
          </cell>
          <cell r="E792">
            <v>3.8269937228217654</v>
          </cell>
          <cell r="F792">
            <v>4.055981701871664</v>
          </cell>
          <cell r="G792">
            <v>3.1970927047002267</v>
          </cell>
          <cell r="H792">
            <v>3.1103552770886425</v>
          </cell>
          <cell r="I792">
            <v>3.8140249424450809</v>
          </cell>
          <cell r="J792">
            <v>2.7985547645473883</v>
          </cell>
          <cell r="K792">
            <v>3.6409107562130778</v>
          </cell>
          <cell r="L792">
            <v>3.5030546102200613</v>
          </cell>
          <cell r="M792">
            <v>3.3651033973121542</v>
          </cell>
          <cell r="N792">
            <v>3.3663691057088299</v>
          </cell>
          <cell r="O792">
            <v>2.7032667943098878</v>
          </cell>
        </row>
        <row r="793">
          <cell r="A793" t="str">
            <v>RHEM-SHLTHDH</v>
          </cell>
          <cell r="B793" t="str">
            <v>VAR_ncap</v>
          </cell>
          <cell r="C793" t="str">
            <v>-</v>
          </cell>
          <cell r="E793">
            <v>1.71992719191364E-8</v>
          </cell>
          <cell r="F793">
            <v>1.1141750138230699E-8</v>
          </cell>
          <cell r="H793">
            <v>1.6636662739766899E-8</v>
          </cell>
          <cell r="I793">
            <v>2.0117083547135199E-8</v>
          </cell>
          <cell r="J793">
            <v>2.5281432996860901E-8</v>
          </cell>
          <cell r="K793">
            <v>3.61564488698576E-8</v>
          </cell>
          <cell r="L793">
            <v>4.1225392615385999E-8</v>
          </cell>
          <cell r="M793">
            <v>7.3491340208845206E-8</v>
          </cell>
          <cell r="N793">
            <v>1.1739562560171301E-7</v>
          </cell>
          <cell r="O793">
            <v>7.1550348369399104E-7</v>
          </cell>
        </row>
        <row r="794">
          <cell r="A794" t="str">
            <v>RHEM-SHLTHDH</v>
          </cell>
          <cell r="B794" t="str">
            <v>VAR_cap</v>
          </cell>
          <cell r="C794" t="str">
            <v>-</v>
          </cell>
          <cell r="D794">
            <v>0.31562546711168799</v>
          </cell>
          <cell r="E794">
            <v>0.31562548431095988</v>
          </cell>
          <cell r="F794">
            <v>0.31562549545271007</v>
          </cell>
          <cell r="G794">
            <v>0.31562549545271007</v>
          </cell>
          <cell r="H794">
            <v>0.31562551208937278</v>
          </cell>
          <cell r="I794">
            <v>0.31562553220645634</v>
          </cell>
          <cell r="J794">
            <v>0.31562555748788934</v>
          </cell>
          <cell r="K794">
            <v>0.31562559364433818</v>
          </cell>
          <cell r="L794">
            <v>0.31562563486973083</v>
          </cell>
          <cell r="M794">
            <v>0.31562570836107101</v>
          </cell>
          <cell r="N794">
            <v>0.31562582575669662</v>
          </cell>
          <cell r="O794">
            <v>0.3156265412601803</v>
          </cell>
        </row>
        <row r="795">
          <cell r="A795" t="str">
            <v>D-ITOT_SOLELC</v>
          </cell>
          <cell r="B795" t="str">
            <v>VAR_fout</v>
          </cell>
          <cell r="C795" t="str">
            <v>ITOT_ELC</v>
          </cell>
          <cell r="D795">
            <v>3.5172818328917042</v>
          </cell>
          <cell r="E795">
            <v>4.8481980033745398</v>
          </cell>
          <cell r="F795">
            <v>11.918230154259579</v>
          </cell>
          <cell r="G795">
            <v>14.056103656172512</v>
          </cell>
          <cell r="H795">
            <v>17.109851527772946</v>
          </cell>
          <cell r="I795">
            <v>20.353791283295283</v>
          </cell>
          <cell r="J795">
            <v>19.414162825298391</v>
          </cell>
          <cell r="K795">
            <v>22.190918171661792</v>
          </cell>
          <cell r="L795">
            <v>21.423776367746328</v>
          </cell>
          <cell r="M795">
            <v>23.939703833541785</v>
          </cell>
          <cell r="N795">
            <v>25.278444013268345</v>
          </cell>
          <cell r="O795">
            <v>26.292681250958605</v>
          </cell>
        </row>
        <row r="796">
          <cell r="A796" t="str">
            <v>D-ITOT_SOLELC</v>
          </cell>
          <cell r="B796" t="str">
            <v>VAR_fout</v>
          </cell>
          <cell r="C796" t="str">
            <v>ELC5</v>
          </cell>
          <cell r="D796">
            <v>6.7216681582775168E-4</v>
          </cell>
          <cell r="E796">
            <v>4.2461344179131979E-4</v>
          </cell>
          <cell r="F796">
            <v>8.7011851869462521E-3</v>
          </cell>
          <cell r="G796">
            <v>6.0475507012422533E-2</v>
          </cell>
          <cell r="H796">
            <v>2.6744226381115821</v>
          </cell>
          <cell r="I796">
            <v>0.43999179721814607</v>
          </cell>
          <cell r="J796">
            <v>2.4371889535224391</v>
          </cell>
          <cell r="K796">
            <v>0.57229310187461124</v>
          </cell>
          <cell r="L796">
            <v>2.4685425873538311</v>
          </cell>
          <cell r="M796">
            <v>1.0938177013140009</v>
          </cell>
          <cell r="N796">
            <v>1.0293218237424457</v>
          </cell>
          <cell r="O796">
            <v>1.2745168091303747</v>
          </cell>
        </row>
        <row r="797">
          <cell r="A797" t="str">
            <v>D-ITOT_SOLELC</v>
          </cell>
          <cell r="B797" t="str">
            <v>VAR_fin</v>
          </cell>
          <cell r="C797" t="str">
            <v>ITOT_SOL_ELC</v>
          </cell>
          <cell r="D797">
            <v>3.517953999707534</v>
          </cell>
          <cell r="E797">
            <v>4.8486222317880792</v>
          </cell>
          <cell r="F797">
            <v>11.92693133944652</v>
          </cell>
          <cell r="G797">
            <v>14.11657916318493</v>
          </cell>
          <cell r="H797">
            <v>19.78427416588455</v>
          </cell>
          <cell r="I797">
            <v>20.793783080513439</v>
          </cell>
          <cell r="J797">
            <v>21.851351778820831</v>
          </cell>
          <cell r="K797">
            <v>22.763211273536385</v>
          </cell>
          <cell r="L797">
            <v>23.892318955100166</v>
          </cell>
          <cell r="M797">
            <v>25.03352153485579</v>
          </cell>
          <cell r="N797">
            <v>26.307765837010788</v>
          </cell>
          <cell r="O797">
            <v>27.567198060088973</v>
          </cell>
        </row>
        <row r="798">
          <cell r="A798" t="str">
            <v>D-SWOD</v>
          </cell>
          <cell r="B798" t="str">
            <v>VAR_fout</v>
          </cell>
          <cell r="C798" t="str">
            <v>SWOD</v>
          </cell>
          <cell r="D798">
            <v>8.5743683089933977</v>
          </cell>
          <cell r="E798">
            <v>9.8309880699511254</v>
          </cell>
          <cell r="F798">
            <v>9.7624329340088885</v>
          </cell>
          <cell r="G798">
            <v>7.4811197438477874</v>
          </cell>
          <cell r="H798">
            <v>8.3293022337995772</v>
          </cell>
          <cell r="I798">
            <v>9.3953634104083541</v>
          </cell>
          <cell r="J798">
            <v>5.7193092571481721</v>
          </cell>
          <cell r="K798">
            <v>4.4473855925369623</v>
          </cell>
          <cell r="L798">
            <v>0.52701783291487903</v>
          </cell>
          <cell r="M798">
            <v>0.53091899616859262</v>
          </cell>
          <cell r="N798">
            <v>0.53082144440171342</v>
          </cell>
          <cell r="O798">
            <v>0.53250304174032059</v>
          </cell>
        </row>
        <row r="799">
          <cell r="A799" t="str">
            <v>D-SWOD</v>
          </cell>
          <cell r="B799" t="str">
            <v>VAR_fin</v>
          </cell>
          <cell r="C799" t="str">
            <v>WOD</v>
          </cell>
          <cell r="D799">
            <v>8.5743683089933977</v>
          </cell>
          <cell r="E799">
            <v>9.8309880699511254</v>
          </cell>
          <cell r="F799">
            <v>9.7624329340088885</v>
          </cell>
          <cell r="G799">
            <v>7.4811197438477874</v>
          </cell>
          <cell r="H799">
            <v>8.3293022337995772</v>
          </cell>
          <cell r="I799">
            <v>9.3953634104083541</v>
          </cell>
          <cell r="J799">
            <v>5.7193092571481721</v>
          </cell>
          <cell r="K799">
            <v>4.4473855925369623</v>
          </cell>
          <cell r="L799">
            <v>0.52701783291487903</v>
          </cell>
          <cell r="M799">
            <v>0.53091899616859262</v>
          </cell>
          <cell r="N799">
            <v>0.53082144440171342</v>
          </cell>
          <cell r="O799">
            <v>0.53250304174032059</v>
          </cell>
        </row>
        <row r="800">
          <cell r="A800" t="str">
            <v>ITOT-PROCESSCO2CCS</v>
          </cell>
          <cell r="B800" t="str">
            <v>VAR_fout</v>
          </cell>
          <cell r="C800" t="str">
            <v>CO2_O</v>
          </cell>
          <cell r="I800">
            <v>2.9539679440699764E-2</v>
          </cell>
          <cell r="J800">
            <v>1035.2918142915414</v>
          </cell>
          <cell r="K800">
            <v>1031.8768963287014</v>
          </cell>
          <cell r="L800">
            <v>1031.8780231141075</v>
          </cell>
          <cell r="M800">
            <v>1031.8790657550776</v>
          </cell>
          <cell r="N800">
            <v>1031.8793468857282</v>
          </cell>
          <cell r="O800">
            <v>1031.8800711048309</v>
          </cell>
        </row>
        <row r="801">
          <cell r="A801" t="str">
            <v>ITOT-PROCESSCO2CCS</v>
          </cell>
          <cell r="B801" t="str">
            <v>VAR_fout</v>
          </cell>
          <cell r="C801" t="str">
            <v>CO2</v>
          </cell>
          <cell r="I801">
            <v>-2.9539679440699799E-2</v>
          </cell>
          <cell r="J801">
            <v>-1035.29181429154</v>
          </cell>
          <cell r="K801">
            <v>-1031.8768963287</v>
          </cell>
          <cell r="L801">
            <v>-1031.87802311411</v>
          </cell>
          <cell r="M801">
            <v>-1031.8790657550801</v>
          </cell>
          <cell r="N801">
            <v>-1031.87934688573</v>
          </cell>
          <cell r="O801">
            <v>-1031.88007110483</v>
          </cell>
        </row>
        <row r="802">
          <cell r="A802" t="str">
            <v>ITOT-PROCESSCO2CCS</v>
          </cell>
          <cell r="B802" t="str">
            <v>VAR_fin</v>
          </cell>
          <cell r="C802" t="str">
            <v>ITOT_ELC</v>
          </cell>
          <cell r="I802">
            <v>6.2554615286187733E-5</v>
          </cell>
          <cell r="J802">
            <v>2.1923826655585565</v>
          </cell>
          <cell r="K802">
            <v>2.1851510745784273</v>
          </cell>
          <cell r="L802">
            <v>2.1851534607122272</v>
          </cell>
          <cell r="M802">
            <v>2.1851556686578122</v>
          </cell>
          <cell r="N802">
            <v>2.1851562639933069</v>
          </cell>
          <cell r="O802">
            <v>2.1851577976337606</v>
          </cell>
        </row>
        <row r="803">
          <cell r="A803" t="str">
            <v>ITOT-PROCESSCO2CCS</v>
          </cell>
          <cell r="B803" t="str">
            <v>VAR_fin</v>
          </cell>
          <cell r="C803" t="str">
            <v>ITOT_LTH_DH</v>
          </cell>
          <cell r="I803">
            <v>2.4326794833517462E-5</v>
          </cell>
          <cell r="J803">
            <v>0.85259325882832748</v>
          </cell>
          <cell r="K803">
            <v>0.84978097344716608</v>
          </cell>
          <cell r="L803">
            <v>0.84978190138808818</v>
          </cell>
          <cell r="M803">
            <v>0.84978276003359321</v>
          </cell>
          <cell r="N803">
            <v>0.84978299155295212</v>
          </cell>
          <cell r="O803">
            <v>0.84978358796868481</v>
          </cell>
        </row>
        <row r="804">
          <cell r="A804" t="str">
            <v>ITOT-PROCESSCO2CCS</v>
          </cell>
          <cell r="B804" t="str">
            <v>VAR_ncap</v>
          </cell>
          <cell r="C804" t="str">
            <v>-</v>
          </cell>
          <cell r="I804">
            <v>8.0865650524848606E-2</v>
          </cell>
          <cell r="J804">
            <v>2101.7884177158999</v>
          </cell>
          <cell r="K804">
            <v>1.07960711444456E-2</v>
          </cell>
          <cell r="L804">
            <v>40.215226763874199</v>
          </cell>
          <cell r="M804">
            <v>1.1802515696820099E-2</v>
          </cell>
          <cell r="N804">
            <v>339.567470250577</v>
          </cell>
          <cell r="O804">
            <v>1838.83173538816</v>
          </cell>
        </row>
        <row r="805">
          <cell r="A805" t="str">
            <v>ITOT-PROCESSCO2CCS</v>
          </cell>
          <cell r="B805" t="str">
            <v>VAR_cap</v>
          </cell>
          <cell r="C805" t="str">
            <v>-</v>
          </cell>
          <cell r="I805">
            <v>8.0865650524848606E-2</v>
          </cell>
          <cell r="J805">
            <v>2101.86928336643</v>
          </cell>
          <cell r="K805">
            <v>2101.8800794375702</v>
          </cell>
          <cell r="L805">
            <v>2142.0953062014401</v>
          </cell>
          <cell r="M805">
            <v>2142.1071087171399</v>
          </cell>
          <cell r="N805">
            <v>2152.5588000867101</v>
          </cell>
          <cell r="O805">
            <v>2218.6370309894501</v>
          </cell>
        </row>
        <row r="806">
          <cell r="A806" t="str">
            <v>D-RSH2R</v>
          </cell>
          <cell r="B806" t="str">
            <v>VAR_fout</v>
          </cell>
          <cell r="C806" t="str">
            <v>RSH2</v>
          </cell>
          <cell r="G806">
            <v>9.8357684558534201E-5</v>
          </cell>
          <cell r="H806">
            <v>2.0796818024170627E-4</v>
          </cell>
          <cell r="I806">
            <v>4.069371922433518E-3</v>
          </cell>
          <cell r="J806">
            <v>8.6464531290292225E-4</v>
          </cell>
          <cell r="K806">
            <v>9.3900831806132767E-4</v>
          </cell>
          <cell r="L806">
            <v>0.58851488048268108</v>
          </cell>
          <cell r="M806">
            <v>0.53482013013751306</v>
          </cell>
          <cell r="N806">
            <v>8.621373240389283E-3</v>
          </cell>
          <cell r="O806">
            <v>1.7137608032591206E-3</v>
          </cell>
        </row>
        <row r="807">
          <cell r="A807" t="str">
            <v>D-RSH2R</v>
          </cell>
          <cell r="B807" t="str">
            <v>VAR_fin</v>
          </cell>
          <cell r="C807" t="str">
            <v>H2</v>
          </cell>
          <cell r="G807">
            <v>9.8357684558534201E-5</v>
          </cell>
          <cell r="H807">
            <v>2.0796818024170627E-4</v>
          </cell>
          <cell r="I807">
            <v>4.069371922433518E-3</v>
          </cell>
          <cell r="J807">
            <v>8.6464531290292225E-4</v>
          </cell>
          <cell r="K807">
            <v>9.3900831806132767E-4</v>
          </cell>
          <cell r="L807">
            <v>0.58851488048268108</v>
          </cell>
          <cell r="M807">
            <v>0.53482013013751306</v>
          </cell>
          <cell r="N807">
            <v>8.621373240389283E-3</v>
          </cell>
          <cell r="O807">
            <v>1.7137608032591206E-3</v>
          </cell>
        </row>
        <row r="808">
          <cell r="A808" t="str">
            <v>D-RSH2R</v>
          </cell>
          <cell r="B808" t="str">
            <v>VAR_ncap</v>
          </cell>
          <cell r="C808" t="str">
            <v>-</v>
          </cell>
          <cell r="G808">
            <v>1.2778036409444101E-5</v>
          </cell>
          <cell r="H808">
            <v>1.84063461212413E-5</v>
          </cell>
          <cell r="I808">
            <v>2.55052691908801E-4</v>
          </cell>
          <cell r="J808">
            <v>4.0672711813381302E-5</v>
          </cell>
          <cell r="K808">
            <v>1.99162156909005E-7</v>
          </cell>
          <cell r="L808">
            <v>2.0729754331530698E-2</v>
          </cell>
          <cell r="M808">
            <v>3.10759033010042E-3</v>
          </cell>
          <cell r="N808">
            <v>1.3254884508656999E-6</v>
          </cell>
          <cell r="O808">
            <v>1.25640741012067E-4</v>
          </cell>
        </row>
        <row r="809">
          <cell r="A809" t="str">
            <v>D-RSH2R</v>
          </cell>
          <cell r="B809" t="str">
            <v>VAR_cap</v>
          </cell>
          <cell r="C809" t="str">
            <v>-</v>
          </cell>
          <cell r="G809">
            <v>1.2778036409444101E-5</v>
          </cell>
          <cell r="H809">
            <v>2.8107202944244099E-5</v>
          </cell>
          <cell r="I809">
            <v>2.5891796823156399E-4</v>
          </cell>
          <cell r="J809">
            <v>4.0672711813381302E-5</v>
          </cell>
          <cell r="K809">
            <v>4.0871873970290299E-5</v>
          </cell>
          <cell r="L809">
            <v>2.0736064317323201E-2</v>
          </cell>
          <cell r="M809">
            <v>1.88452492553462E-2</v>
          </cell>
          <cell r="N809">
            <v>5.5174786442575797E-4</v>
          </cell>
          <cell r="O809">
            <v>1.2696622946293301E-4</v>
          </cell>
        </row>
        <row r="810">
          <cell r="A810" t="str">
            <v>SCOM-SHLTHCHPBIO</v>
          </cell>
          <cell r="B810" t="str">
            <v>VAR_fout</v>
          </cell>
          <cell r="C810" t="str">
            <v>SCOM-SHLTHC-BIO</v>
          </cell>
          <cell r="D810">
            <v>1.4100657178946008</v>
          </cell>
          <cell r="E810">
            <v>1.527370146508241</v>
          </cell>
          <cell r="F810">
            <v>1.3753881153622374</v>
          </cell>
          <cell r="G810">
            <v>1.1465067025926867</v>
          </cell>
          <cell r="H810">
            <v>0.93581936117020459</v>
          </cell>
          <cell r="I810">
            <v>0.91489552124761631</v>
          </cell>
          <cell r="J810">
            <v>1.5898569378830993</v>
          </cell>
          <cell r="K810">
            <v>2.2852590048497454</v>
          </cell>
          <cell r="L810">
            <v>2.3196758684817085</v>
          </cell>
          <cell r="M810">
            <v>2.3559593057684136</v>
          </cell>
          <cell r="N810">
            <v>2.3126664927600014</v>
          </cell>
          <cell r="O810">
            <v>2.3702422307904261</v>
          </cell>
        </row>
        <row r="811">
          <cell r="A811" t="str">
            <v>SCOM-SHLTHCHPBIO</v>
          </cell>
          <cell r="B811" t="str">
            <v>VAR_fin</v>
          </cell>
          <cell r="C811" t="str">
            <v>SCOM_LTH_CHPBIO_ON</v>
          </cell>
          <cell r="D811">
            <v>1.4243088059541407</v>
          </cell>
          <cell r="E811">
            <v>1.5427981277860998</v>
          </cell>
          <cell r="F811">
            <v>1.3892809246083226</v>
          </cell>
          <cell r="G811">
            <v>1.1580875783764515</v>
          </cell>
          <cell r="H811">
            <v>0.94527208199010571</v>
          </cell>
          <cell r="I811">
            <v>0.92413689014910705</v>
          </cell>
          <cell r="J811">
            <v>1.605916098871818</v>
          </cell>
          <cell r="K811">
            <v>2.3083424291411552</v>
          </cell>
          <cell r="L811">
            <v>2.3431069378603082</v>
          </cell>
          <cell r="M811">
            <v>2.3797568745135504</v>
          </cell>
          <cell r="N811">
            <v>2.3360267603636387</v>
          </cell>
          <cell r="O811">
            <v>2.3941840715054781</v>
          </cell>
        </row>
        <row r="812">
          <cell r="A812" t="str">
            <v>SCOM-SHLTHCHPBIO</v>
          </cell>
          <cell r="B812" t="str">
            <v>VAR_fin</v>
          </cell>
          <cell r="C812" t="str">
            <v>SCOMLTHCHPC</v>
          </cell>
          <cell r="D812">
            <v>1.4100657178946008</v>
          </cell>
          <cell r="E812">
            <v>1.527370146508241</v>
          </cell>
          <cell r="F812">
            <v>1.3753881153622374</v>
          </cell>
          <cell r="G812">
            <v>1.1465067025926867</v>
          </cell>
          <cell r="H812">
            <v>0.93581936117020459</v>
          </cell>
          <cell r="I812">
            <v>0.91489552124761631</v>
          </cell>
          <cell r="J812">
            <v>1.5898569378830993</v>
          </cell>
          <cell r="K812">
            <v>2.2852590048497454</v>
          </cell>
          <cell r="L812">
            <v>2.3196758684817085</v>
          </cell>
          <cell r="M812">
            <v>2.3559593057684136</v>
          </cell>
          <cell r="N812">
            <v>2.3126664927600014</v>
          </cell>
          <cell r="O812">
            <v>2.3702422307904261</v>
          </cell>
        </row>
        <row r="813">
          <cell r="A813" t="str">
            <v>SCOM-SHLTHCHPBIO</v>
          </cell>
          <cell r="B813" t="str">
            <v>VAR_ncap</v>
          </cell>
          <cell r="C813" t="str">
            <v>-</v>
          </cell>
          <cell r="D813">
            <v>2.6687124132415899E-8</v>
          </cell>
          <cell r="E813">
            <v>1.6886768578830799E-2</v>
          </cell>
          <cell r="F813">
            <v>1.74572883719822E-2</v>
          </cell>
          <cell r="G813">
            <v>1.5283399234296601E-2</v>
          </cell>
          <cell r="H813">
            <v>5.27906057001057E-2</v>
          </cell>
          <cell r="I813">
            <v>3.7479547987523801E-2</v>
          </cell>
          <cell r="J813">
            <v>5.8609684273326197E-2</v>
          </cell>
          <cell r="K813">
            <v>0.132786178577531</v>
          </cell>
          <cell r="L813">
            <v>5.1960683665124803E-2</v>
          </cell>
          <cell r="M813">
            <v>8.6493484383530897E-2</v>
          </cell>
          <cell r="N813">
            <v>0.12677577868613299</v>
          </cell>
          <cell r="O813">
            <v>6.0077427516159597E-2</v>
          </cell>
        </row>
        <row r="814">
          <cell r="A814" t="str">
            <v>SCOM-SHLTHCHPBIO</v>
          </cell>
          <cell r="B814" t="str">
            <v>VAR_cap</v>
          </cell>
          <cell r="C814" t="str">
            <v>-</v>
          </cell>
          <cell r="D814">
            <v>0.10913971426616313</v>
          </cell>
          <cell r="E814">
            <v>0.1209407224821602</v>
          </cell>
          <cell r="F814">
            <v>0.1136346842441351</v>
          </cell>
          <cell r="G814">
            <v>0.1014505629618454</v>
          </cell>
          <cell r="H814">
            <v>8.9404082148894004E-2</v>
          </cell>
          <cell r="I814">
            <v>9.0223231430040199E-2</v>
          </cell>
          <cell r="J814">
            <v>0.1290382272783385</v>
          </cell>
          <cell r="K814">
            <v>0.2116060512934648</v>
          </cell>
          <cell r="L814">
            <v>0.21486659759745691</v>
          </cell>
          <cell r="M814">
            <v>0.23707212158826432</v>
          </cell>
          <cell r="N814">
            <v>0.2366619892525928</v>
          </cell>
          <cell r="O814">
            <v>0.23713920334490721</v>
          </cell>
        </row>
        <row r="815">
          <cell r="A815" t="str">
            <v>D-RSH2</v>
          </cell>
          <cell r="B815" t="str">
            <v>VAR_fout</v>
          </cell>
          <cell r="C815" t="str">
            <v>RSH2</v>
          </cell>
          <cell r="G815">
            <v>9.6617004255106494E-5</v>
          </cell>
          <cell r="H815">
            <v>2.3995845255202927E-4</v>
          </cell>
          <cell r="I815">
            <v>3.8244027995727098E-2</v>
          </cell>
          <cell r="J815">
            <v>4.8623940584728242E-2</v>
          </cell>
          <cell r="K815">
            <v>1.1190951982862281</v>
          </cell>
          <cell r="L815">
            <v>0.73261401587632025</v>
          </cell>
          <cell r="M815">
            <v>0.90408632867092387</v>
          </cell>
          <cell r="N815">
            <v>4.6131168906855355E-2</v>
          </cell>
          <cell r="O815">
            <v>4.0163624306132212E-2</v>
          </cell>
        </row>
        <row r="816">
          <cell r="A816" t="str">
            <v>D-RSH2</v>
          </cell>
          <cell r="B816" t="str">
            <v>VAR_fin</v>
          </cell>
          <cell r="C816" t="str">
            <v>H2</v>
          </cell>
          <cell r="G816">
            <v>9.7353070082692689E-5</v>
          </cell>
          <cell r="H816">
            <v>2.417865491518543E-4</v>
          </cell>
          <cell r="I816">
            <v>3.8535385840383365E-2</v>
          </cell>
          <cell r="J816">
            <v>4.8994376631084025E-2</v>
          </cell>
          <cell r="K816">
            <v>1.1276208997362487</v>
          </cell>
          <cell r="L816">
            <v>0.73819535371695011</v>
          </cell>
          <cell r="M816">
            <v>0.91097400912482762</v>
          </cell>
          <cell r="N816">
            <v>4.6482614051327982E-2</v>
          </cell>
          <cell r="O816">
            <v>4.0469606380319732E-2</v>
          </cell>
        </row>
        <row r="817">
          <cell r="A817" t="str">
            <v>D-RSH2</v>
          </cell>
          <cell r="B817" t="str">
            <v>VAR_ncap</v>
          </cell>
          <cell r="C817" t="str">
            <v>-</v>
          </cell>
          <cell r="G817">
            <v>1.9145102301346899E-5</v>
          </cell>
          <cell r="H817">
            <v>1.6528753914916598E-5</v>
          </cell>
          <cell r="I817">
            <v>4.3016870106623202E-3</v>
          </cell>
          <cell r="J817">
            <v>7.7576404823709896E-4</v>
          </cell>
          <cell r="K817">
            <v>3.5923738904783099E-2</v>
          </cell>
          <cell r="L817">
            <v>9.3072706564976397E-8</v>
          </cell>
          <cell r="M817">
            <v>1.72634465376373E-7</v>
          </cell>
          <cell r="N817">
            <v>1.5299619316194001E-7</v>
          </cell>
          <cell r="O817">
            <v>8.3203283644123697E-7</v>
          </cell>
        </row>
        <row r="818">
          <cell r="A818" t="str">
            <v>D-RSH2</v>
          </cell>
          <cell r="B818" t="str">
            <v>VAR_cap</v>
          </cell>
          <cell r="C818" t="str">
            <v>-</v>
          </cell>
          <cell r="G818">
            <v>1.9145102301346899E-5</v>
          </cell>
          <cell r="H818">
            <v>3.56738562162635E-5</v>
          </cell>
          <cell r="I818">
            <v>4.3373608668785804E-3</v>
          </cell>
          <cell r="J818">
            <v>5.1131249151156804E-3</v>
          </cell>
          <cell r="K818">
            <v>4.1036863819898801E-2</v>
          </cell>
          <cell r="L818">
            <v>4.1036956892605302E-2</v>
          </cell>
          <cell r="M818">
            <v>4.1037129527070698E-2</v>
          </cell>
          <cell r="N818">
            <v>4.1031213263731298E-2</v>
          </cell>
          <cell r="O818">
            <v>4.1018969453798897E-2</v>
          </cell>
        </row>
        <row r="819">
          <cell r="A819" t="str">
            <v>RHES-SHNGABR</v>
          </cell>
          <cell r="B819" t="str">
            <v>VAR_fout</v>
          </cell>
          <cell r="C819" t="str">
            <v>CO2_R</v>
          </cell>
          <cell r="D819">
            <v>1043.13512009287</v>
          </cell>
          <cell r="E819">
            <v>1215.05694857449</v>
          </cell>
          <cell r="F819">
            <v>1103.70747223792</v>
          </cell>
          <cell r="G819">
            <v>1103.7073888748</v>
          </cell>
          <cell r="H819">
            <v>1103.7069970652301</v>
          </cell>
          <cell r="I819">
            <v>924.74491768218502</v>
          </cell>
          <cell r="J819">
            <v>606.66833056338305</v>
          </cell>
          <cell r="K819">
            <v>190.90913735115299</v>
          </cell>
          <cell r="L819">
            <v>44.726468288700097</v>
          </cell>
          <cell r="M819">
            <v>1.31516680614852</v>
          </cell>
          <cell r="N819">
            <v>1.3149177351964501</v>
          </cell>
          <cell r="O819">
            <v>2.9367494972910101E-2</v>
          </cell>
        </row>
        <row r="820">
          <cell r="A820" t="str">
            <v>RHES-SHNGABR</v>
          </cell>
          <cell r="B820" t="str">
            <v>VAR_fout</v>
          </cell>
          <cell r="C820" t="str">
            <v>RHES-SHNGA</v>
          </cell>
          <cell r="D820">
            <v>17.570538370358587</v>
          </cell>
          <cell r="E820">
            <v>20.466384772088063</v>
          </cell>
          <cell r="F820">
            <v>18.590817351525214</v>
          </cell>
          <cell r="G820">
            <v>18.590815947359221</v>
          </cell>
          <cell r="H820">
            <v>18.59080934772987</v>
          </cell>
          <cell r="I820">
            <v>15.576377159540353</v>
          </cell>
          <cell r="J820">
            <v>10.218704149560523</v>
          </cell>
          <cell r="K820">
            <v>3.2156680936807627</v>
          </cell>
          <cell r="L820">
            <v>0.75337136301888552</v>
          </cell>
          <cell r="M820">
            <v>2.2152632373069095E-2</v>
          </cell>
          <cell r="N820">
            <v>2.2148437029018281E-2</v>
          </cell>
          <cell r="O820">
            <v>4.9466525220327338E-4</v>
          </cell>
        </row>
        <row r="821">
          <cell r="A821" t="str">
            <v>RHES-SHNGABR</v>
          </cell>
          <cell r="B821" t="str">
            <v>VAR_fin</v>
          </cell>
          <cell r="C821" t="str">
            <v>RNGA</v>
          </cell>
          <cell r="D821">
            <v>18.49530354774588</v>
          </cell>
          <cell r="E821">
            <v>21.54356291798743</v>
          </cell>
          <cell r="F821">
            <v>19.569281422658126</v>
          </cell>
          <cell r="G821">
            <v>19.56927994458864</v>
          </cell>
          <cell r="H821">
            <v>19.569272997610401</v>
          </cell>
          <cell r="I821">
            <v>16.396186483726694</v>
          </cell>
          <cell r="J821">
            <v>10.756530683747922</v>
          </cell>
          <cell r="K821">
            <v>3.3849137828218545</v>
          </cell>
          <cell r="L821">
            <v>0.79302248738830061</v>
          </cell>
          <cell r="M821">
            <v>2.3318560392704336E-2</v>
          </cell>
          <cell r="N821">
            <v>2.3314144241071873E-2</v>
          </cell>
          <cell r="O821">
            <v>5.2070026547712945E-4</v>
          </cell>
        </row>
        <row r="822">
          <cell r="A822" t="str">
            <v>RHES-SHNGABR</v>
          </cell>
          <cell r="B822" t="str">
            <v>VAR_ncap</v>
          </cell>
          <cell r="C822" t="str">
            <v>-</v>
          </cell>
          <cell r="E822">
            <v>0.231516310622535</v>
          </cell>
          <cell r="F822">
            <v>3.0510061506515997E-8</v>
          </cell>
          <cell r="G822">
            <v>9.7730509942451496E-8</v>
          </cell>
          <cell r="H822">
            <v>1.0205448781278199</v>
          </cell>
          <cell r="I822">
            <v>0.24004543423077199</v>
          </cell>
          <cell r="J822">
            <v>1.90388677009143E-7</v>
          </cell>
          <cell r="K822">
            <v>2.1950209405806401E-2</v>
          </cell>
          <cell r="L822">
            <v>2.1468837066044E-3</v>
          </cell>
          <cell r="M822">
            <v>3.1669858595620599E-7</v>
          </cell>
          <cell r="N822">
            <v>6.4630988056675902E-5</v>
          </cell>
          <cell r="O822">
            <v>9.3930012547638105E-7</v>
          </cell>
        </row>
        <row r="823">
          <cell r="A823" t="str">
            <v>RHES-SHNGABR</v>
          </cell>
          <cell r="B823" t="str">
            <v>VAR_cap</v>
          </cell>
          <cell r="C823" t="str">
            <v>-</v>
          </cell>
          <cell r="D823">
            <v>1.4219190615860799</v>
          </cell>
          <cell r="E823">
            <v>1.6534353588519028</v>
          </cell>
          <cell r="F823">
            <v>1.6534346045620436</v>
          </cell>
          <cell r="G823">
            <v>1.6534341876688197</v>
          </cell>
          <cell r="H823">
            <v>1.5079130821316231</v>
          </cell>
          <cell r="I823">
            <v>1.2605903172342727</v>
          </cell>
          <cell r="J823">
            <v>0.83794541633005992</v>
          </cell>
          <cell r="K823">
            <v>0.26199563975976137</v>
          </cell>
          <cell r="L823">
            <v>6.0981068604752289E-2</v>
          </cell>
          <cell r="M823">
            <v>3.8833575889330001E-3</v>
          </cell>
          <cell r="N823">
            <v>1.8385179852712899E-3</v>
          </cell>
          <cell r="O823">
            <v>6.5687921666058763E-5</v>
          </cell>
        </row>
        <row r="824">
          <cell r="A824" t="str">
            <v>SCOM-SHLTHCHPHFC</v>
          </cell>
          <cell r="B824" t="str">
            <v>VAR_fout</v>
          </cell>
          <cell r="C824" t="str">
            <v>SCOM-SHLTHC-HFC</v>
          </cell>
          <cell r="G824">
            <v>2.3717543103896573E-4</v>
          </cell>
          <cell r="H824">
            <v>8.276211287763062E-4</v>
          </cell>
          <cell r="I824">
            <v>1.2410761009207225E-3</v>
          </cell>
          <cell r="J824">
            <v>1.4071244085699678E-3</v>
          </cell>
          <cell r="K824">
            <v>8.7898204896969569E-3</v>
          </cell>
          <cell r="L824">
            <v>1.532570753026086E-2</v>
          </cell>
          <cell r="M824">
            <v>1.4935619974084146E-2</v>
          </cell>
          <cell r="N824">
            <v>6.186381111960842E-3</v>
          </cell>
          <cell r="O824">
            <v>3.6602986440176399E-2</v>
          </cell>
        </row>
        <row r="825">
          <cell r="A825" t="str">
            <v>SCOM-SHLTHCHPHFC</v>
          </cell>
          <cell r="B825" t="str">
            <v>VAR_fin</v>
          </cell>
          <cell r="C825" t="str">
            <v>SCOM_LTH_CHPHFC_ON</v>
          </cell>
          <cell r="G825">
            <v>2.3957114246360198E-4</v>
          </cell>
          <cell r="H825">
            <v>8.3598093815788477E-4</v>
          </cell>
          <cell r="I825">
            <v>1.2536122231522455E-3</v>
          </cell>
          <cell r="J825">
            <v>1.4213377864343117E-3</v>
          </cell>
          <cell r="K825">
            <v>8.8786065552494443E-3</v>
          </cell>
          <cell r="L825">
            <v>1.5480512656829145E-2</v>
          </cell>
          <cell r="M825">
            <v>1.5086484822307225E-2</v>
          </cell>
          <cell r="N825">
            <v>6.24886981006145E-3</v>
          </cell>
          <cell r="O825">
            <v>3.6972713575935755E-2</v>
          </cell>
        </row>
        <row r="826">
          <cell r="A826" t="str">
            <v>SCOM-SHLTHCHPHFC</v>
          </cell>
          <cell r="B826" t="str">
            <v>VAR_fin</v>
          </cell>
          <cell r="C826" t="str">
            <v>SCOMLTHCHPC</v>
          </cell>
          <cell r="G826">
            <v>2.3717543103896573E-4</v>
          </cell>
          <cell r="H826">
            <v>8.276211287763062E-4</v>
          </cell>
          <cell r="I826">
            <v>1.2410761009207225E-3</v>
          </cell>
          <cell r="J826">
            <v>1.4071244085699678E-3</v>
          </cell>
          <cell r="K826">
            <v>8.7898204896969569E-3</v>
          </cell>
          <cell r="L826">
            <v>1.532570753026086E-2</v>
          </cell>
          <cell r="M826">
            <v>1.4935619974084146E-2</v>
          </cell>
          <cell r="N826">
            <v>6.186381111960842E-3</v>
          </cell>
          <cell r="O826">
            <v>3.6602986440176399E-2</v>
          </cell>
        </row>
        <row r="827">
          <cell r="A827" t="str">
            <v>SCOM-SHLTHCHPHFC</v>
          </cell>
          <cell r="B827" t="str">
            <v>VAR_ncap</v>
          </cell>
          <cell r="C827" t="str">
            <v>-</v>
          </cell>
          <cell r="G827">
            <v>2.0216410225717701E-5</v>
          </cell>
          <cell r="H827">
            <v>5.8377615415456802E-5</v>
          </cell>
          <cell r="I827">
            <v>7.6170949685728004E-5</v>
          </cell>
          <cell r="J827">
            <v>7.3817706204467302E-5</v>
          </cell>
          <cell r="K827">
            <v>6.2069973223932804E-4</v>
          </cell>
          <cell r="L827">
            <v>8.8361150552064495E-4</v>
          </cell>
          <cell r="M827">
            <v>7.7070185707908798E-4</v>
          </cell>
          <cell r="N827">
            <v>2.6936449084567603E-4</v>
          </cell>
          <cell r="O827">
            <v>2.63520874226873E-3</v>
          </cell>
        </row>
        <row r="828">
          <cell r="A828" t="str">
            <v>SCOM-SHLTHCHPHFC</v>
          </cell>
          <cell r="B828" t="str">
            <v>VAR_cap</v>
          </cell>
          <cell r="C828" t="str">
            <v>-</v>
          </cell>
          <cell r="G828">
            <v>2.0216410225717701E-5</v>
          </cell>
          <cell r="H828">
            <v>6.8082922886606007E-5</v>
          </cell>
          <cell r="I828">
            <v>9.5710382354332105E-5</v>
          </cell>
          <cell r="J828">
            <v>1.0877570073352759E-4</v>
          </cell>
          <cell r="K828">
            <v>6.7930361449772443E-4</v>
          </cell>
          <cell r="L828">
            <v>1.1842421771793101E-3</v>
          </cell>
          <cell r="M828">
            <v>1.15437110110653E-3</v>
          </cell>
          <cell r="N828">
            <v>4.7834567057342017E-4</v>
          </cell>
          <cell r="O828">
            <v>2.8295151964781427E-3</v>
          </cell>
        </row>
        <row r="829">
          <cell r="A829" t="str">
            <v>RHSA-WHNGABR</v>
          </cell>
          <cell r="B829" t="str">
            <v>VAR_fout</v>
          </cell>
          <cell r="C829" t="str">
            <v>RHSA-WHNGA</v>
          </cell>
          <cell r="D829">
            <v>6.3804503229008249</v>
          </cell>
          <cell r="E829">
            <v>5.1135295910070697</v>
          </cell>
          <cell r="F829">
            <v>6.3803661914416505</v>
          </cell>
          <cell r="G829">
            <v>9.7893384676586717</v>
          </cell>
          <cell r="H829">
            <v>7.4234533138739698</v>
          </cell>
          <cell r="I829">
            <v>6.6153877339712457</v>
          </cell>
          <cell r="J829">
            <v>3.3321956392236265</v>
          </cell>
          <cell r="K829">
            <v>1.0110113011889739</v>
          </cell>
          <cell r="L829">
            <v>0.52537928912091592</v>
          </cell>
          <cell r="M829">
            <v>0.391113272216293</v>
          </cell>
          <cell r="N829">
            <v>0.39111154149764438</v>
          </cell>
          <cell r="O829">
            <v>0.28337216050125397</v>
          </cell>
        </row>
        <row r="830">
          <cell r="A830" t="str">
            <v>RHSA-WHNGABR</v>
          </cell>
          <cell r="B830" t="str">
            <v>VAR_fout</v>
          </cell>
          <cell r="C830" t="str">
            <v>CO2_R</v>
          </cell>
          <cell r="D830">
            <v>479.80986428214197</v>
          </cell>
          <cell r="E830">
            <v>382.49743890291597</v>
          </cell>
          <cell r="F830">
            <v>473.490333154354</v>
          </cell>
          <cell r="G830">
            <v>717.03725918954501</v>
          </cell>
          <cell r="H830">
            <v>536.77277808011797</v>
          </cell>
          <cell r="I830">
            <v>472.28844075440298</v>
          </cell>
          <cell r="J830">
            <v>236.39727553737399</v>
          </cell>
          <cell r="K830">
            <v>71.276296733822704</v>
          </cell>
          <cell r="L830">
            <v>37.039239883024599</v>
          </cell>
          <cell r="M830">
            <v>27.573485691248699</v>
          </cell>
          <cell r="N830">
            <v>27.573363675583899</v>
          </cell>
          <cell r="O830">
            <v>19.977737315338398</v>
          </cell>
        </row>
        <row r="831">
          <cell r="A831" t="str">
            <v>RHSA-WHNGABR</v>
          </cell>
          <cell r="B831" t="str">
            <v>VAR_fin</v>
          </cell>
          <cell r="C831" t="str">
            <v>RNGA</v>
          </cell>
          <cell r="D831">
            <v>8.5072670972010993</v>
          </cell>
          <cell r="E831">
            <v>6.7818694840942584</v>
          </cell>
          <cell r="F831">
            <v>8.3952186729495448</v>
          </cell>
          <cell r="G831">
            <v>12.713426581374909</v>
          </cell>
          <cell r="H831">
            <v>9.5172478382999657</v>
          </cell>
          <cell r="I831">
            <v>8.3739085240142277</v>
          </cell>
          <cell r="J831">
            <v>4.1914410556271999</v>
          </cell>
          <cell r="K831">
            <v>1.2637641264862178</v>
          </cell>
          <cell r="L831">
            <v>0.65672411140114506</v>
          </cell>
          <cell r="M831">
            <v>0.48889159027036588</v>
          </cell>
          <cell r="N831">
            <v>0.48888942687205561</v>
          </cell>
          <cell r="O831">
            <v>0.35421520062656747</v>
          </cell>
        </row>
        <row r="832">
          <cell r="A832" t="str">
            <v>RHSA-WHNGABR</v>
          </cell>
          <cell r="B832" t="str">
            <v>VAR_ncap</v>
          </cell>
          <cell r="C832" t="str">
            <v>-</v>
          </cell>
          <cell r="E832">
            <v>1.5118283179336299E-7</v>
          </cell>
          <cell r="F832">
            <v>3.1651398308892402E-7</v>
          </cell>
          <cell r="G832">
            <v>0.234514057236234</v>
          </cell>
          <cell r="H832">
            <v>0.18761779229071801</v>
          </cell>
          <cell r="I832">
            <v>7.4646063364894294E-2</v>
          </cell>
          <cell r="J832">
            <v>1.72037324340429E-7</v>
          </cell>
          <cell r="K832">
            <v>8.8788310875594295E-7</v>
          </cell>
          <cell r="L832">
            <v>2.4449423416259702E-2</v>
          </cell>
          <cell r="M832">
            <v>3.9660986015421602E-3</v>
          </cell>
          <cell r="N832">
            <v>7.4459285170291201E-3</v>
          </cell>
          <cell r="O832">
            <v>9.17308310836569E-3</v>
          </cell>
        </row>
        <row r="833">
          <cell r="A833" t="str">
            <v>RHSA-WHNGABR</v>
          </cell>
          <cell r="B833" t="str">
            <v>VAR_cap</v>
          </cell>
          <cell r="C833" t="str">
            <v>-</v>
          </cell>
          <cell r="D833">
            <v>0.43610075802020798</v>
          </cell>
          <cell r="E833">
            <v>0.43610082760314411</v>
          </cell>
          <cell r="F833">
            <v>0.43610102631074427</v>
          </cell>
          <cell r="G833">
            <v>0.67061489541128982</v>
          </cell>
          <cell r="H833">
            <v>0.53522761167405897</v>
          </cell>
          <cell r="I833">
            <v>0.45216226813929622</v>
          </cell>
          <cell r="J833">
            <v>0.26226330085637733</v>
          </cell>
          <cell r="K833">
            <v>7.4646105974849719E-2</v>
          </cell>
          <cell r="L833">
            <v>3.5919745226130222E-2</v>
          </cell>
          <cell r="M833">
            <v>2.8416053734935869E-2</v>
          </cell>
          <cell r="N833">
            <v>2.8110405865131274E-2</v>
          </cell>
          <cell r="O833">
            <v>2.0584755689096124E-2</v>
          </cell>
        </row>
        <row r="834">
          <cell r="A834" t="str">
            <v>ITOT-SWHWSTBR</v>
          </cell>
          <cell r="B834" t="str">
            <v>VAR_fout</v>
          </cell>
          <cell r="C834" t="str">
            <v>ITOT-SWH</v>
          </cell>
          <cell r="D834">
            <v>4.1173658723014723</v>
          </cell>
          <cell r="E834">
            <v>4.266316737020408</v>
          </cell>
          <cell r="F834">
            <v>2.9611644730867388</v>
          </cell>
          <cell r="G834">
            <v>2.9280926985193911</v>
          </cell>
          <cell r="H834">
            <v>2.8950245180013665</v>
          </cell>
          <cell r="I834">
            <v>2.8803925141178843</v>
          </cell>
          <cell r="J834">
            <v>1.4360528866444323E-3</v>
          </cell>
          <cell r="K834">
            <v>1.1428482317042267E-4</v>
          </cell>
          <cell r="L834">
            <v>3.7388108446473095E-4</v>
          </cell>
          <cell r="M834">
            <v>9.1875602204543946E-5</v>
          </cell>
          <cell r="N834">
            <v>1.3388352381306007E-4</v>
          </cell>
          <cell r="O834">
            <v>3.2455513947141057E-5</v>
          </cell>
        </row>
        <row r="835">
          <cell r="A835" t="str">
            <v>ITOT-SWHWSTBR</v>
          </cell>
          <cell r="B835" t="str">
            <v>VAR_fout</v>
          </cell>
          <cell r="C835" t="str">
            <v>CO2_I</v>
          </cell>
          <cell r="D835">
            <v>723.65824422268201</v>
          </cell>
          <cell r="E835">
            <v>749.83748711267594</v>
          </cell>
          <cell r="F835">
            <v>520.44708920918401</v>
          </cell>
          <cell r="G835">
            <v>514.63447428522704</v>
          </cell>
          <cell r="H835">
            <v>508.82249104266498</v>
          </cell>
          <cell r="I835">
            <v>506.25080551162802</v>
          </cell>
          <cell r="J835">
            <v>0.24863005201605101</v>
          </cell>
          <cell r="K835">
            <v>1.9495646305542701E-2</v>
          </cell>
          <cell r="L835">
            <v>6.3779714408689403E-2</v>
          </cell>
          <cell r="M835">
            <v>1.56728968466575E-2</v>
          </cell>
          <cell r="N835">
            <v>2.2838954062227801E-2</v>
          </cell>
          <cell r="O835">
            <v>5.5365288498064099E-3</v>
          </cell>
        </row>
        <row r="836">
          <cell r="A836" t="str">
            <v>ITOT-SWHWSTBR</v>
          </cell>
          <cell r="B836" t="str">
            <v>VAR_fin</v>
          </cell>
          <cell r="C836" t="str">
            <v>IWST</v>
          </cell>
          <cell r="D836">
            <v>7.7980414248133894</v>
          </cell>
          <cell r="E836">
            <v>8.080145335265918</v>
          </cell>
          <cell r="F836">
            <v>5.6082660475127621</v>
          </cell>
          <cell r="G836">
            <v>5.5456301108321737</v>
          </cell>
          <cell r="H836">
            <v>5.4830009810631894</v>
          </cell>
          <cell r="I836">
            <v>5.4552888524959897</v>
          </cell>
          <cell r="J836">
            <v>2.6792031467246869E-3</v>
          </cell>
          <cell r="K836">
            <v>2.100823955338654E-4</v>
          </cell>
          <cell r="L836">
            <v>6.8728140526604911E-4</v>
          </cell>
          <cell r="M836">
            <v>1.6888897464070567E-4</v>
          </cell>
          <cell r="N836">
            <v>2.4610941877400733E-4</v>
          </cell>
          <cell r="O836">
            <v>5.9660871226362268E-5</v>
          </cell>
        </row>
        <row r="837">
          <cell r="A837" t="str">
            <v>ITOT-SWHWSTBR</v>
          </cell>
          <cell r="B837" t="str">
            <v>VAR_ncap</v>
          </cell>
          <cell r="C837" t="str">
            <v>-</v>
          </cell>
          <cell r="E837">
            <v>1.7651959300962099E-6</v>
          </cell>
          <cell r="F837">
            <v>1.9471680827833401E-6</v>
          </cell>
          <cell r="G837">
            <v>3.6075306371275901E-6</v>
          </cell>
          <cell r="H837">
            <v>0.109457353518269</v>
          </cell>
          <cell r="I837">
            <v>5.76996052595646E-2</v>
          </cell>
          <cell r="J837">
            <v>3.0381140838398901E-6</v>
          </cell>
          <cell r="K837">
            <v>6.8815005914949097E-6</v>
          </cell>
          <cell r="L837">
            <v>2.7803106662177799E-5</v>
          </cell>
          <cell r="M837">
            <v>3.35445226812655E-6</v>
          </cell>
          <cell r="N837">
            <v>6.7775334339016E-6</v>
          </cell>
          <cell r="O837">
            <v>1.3359250923107899E-6</v>
          </cell>
        </row>
        <row r="838">
          <cell r="A838" t="str">
            <v>ITOT-SWHWSTBR</v>
          </cell>
          <cell r="B838" t="str">
            <v>VAR_cap</v>
          </cell>
          <cell r="C838" t="str">
            <v>-</v>
          </cell>
          <cell r="D838">
            <v>0.35954682816669398</v>
          </cell>
          <cell r="E838">
            <v>0.3085649334091507</v>
          </cell>
          <cell r="F838">
            <v>0.30795989589624923</v>
          </cell>
          <cell r="G838">
            <v>0.30720990284724392</v>
          </cell>
          <cell r="H838">
            <v>0.1891246851358811</v>
          </cell>
          <cell r="I838">
            <v>0.16715686464994903</v>
          </cell>
          <cell r="J838">
            <v>1.3095783345498657E-4</v>
          </cell>
          <cell r="K838">
            <v>1.0579952645903279E-5</v>
          </cell>
          <cell r="L838">
            <v>3.4964036581781183E-5</v>
          </cell>
          <cell r="M838">
            <v>8.5667499205888966E-6</v>
          </cell>
          <cell r="N838">
            <v>1.21797346044067E-5</v>
          </cell>
          <cell r="O838">
            <v>2.5844830115532505E-6</v>
          </cell>
        </row>
        <row r="839">
          <cell r="A839" t="str">
            <v>SCOM-SHSTG-ELC</v>
          </cell>
          <cell r="B839" t="str">
            <v>VAR_fout</v>
          </cell>
          <cell r="C839" t="str">
            <v>SCOM-SHAELCB</v>
          </cell>
          <cell r="D839">
            <v>2.6211198990319806E-6</v>
          </cell>
          <cell r="E839">
            <v>3.1471065884429833E-5</v>
          </cell>
          <cell r="F839">
            <v>3.8196050419322447E-2</v>
          </cell>
          <cell r="G839">
            <v>6.3880244891867E-2</v>
          </cell>
          <cell r="H839">
            <v>1.4735492558239542</v>
          </cell>
          <cell r="I839">
            <v>1.4964972979154383</v>
          </cell>
          <cell r="J839">
            <v>1.2804173136220358</v>
          </cell>
          <cell r="K839">
            <v>0.12880355062399854</v>
          </cell>
          <cell r="L839">
            <v>0.13647350833097574</v>
          </cell>
          <cell r="M839">
            <v>5.1706391836244002E-2</v>
          </cell>
          <cell r="N839">
            <v>1.1800207471447703</v>
          </cell>
          <cell r="O839">
            <v>1.2190249669564179</v>
          </cell>
        </row>
        <row r="840">
          <cell r="A840" t="str">
            <v>SCOM-SHSTG-ELC</v>
          </cell>
          <cell r="B840" t="str">
            <v>VAR_fin</v>
          </cell>
          <cell r="C840" t="str">
            <v>SCOM-SHAELCB</v>
          </cell>
          <cell r="D840">
            <v>2.8056465221005969E-6</v>
          </cell>
          <cell r="E840">
            <v>4.3498489185625116E-5</v>
          </cell>
          <cell r="F840">
            <v>4.930227424090286E-2</v>
          </cell>
          <cell r="G840">
            <v>7.9864901184344139E-2</v>
          </cell>
          <cell r="H840">
            <v>1.7861342021251689</v>
          </cell>
          <cell r="I840">
            <v>1.7605970044227981</v>
          </cell>
          <cell r="J840">
            <v>1.4633438281336013</v>
          </cell>
          <cell r="K840">
            <v>0.14313049676405115</v>
          </cell>
          <cell r="L840">
            <v>0.15165158630003436</v>
          </cell>
          <cell r="M840">
            <v>5.7460019128983922E-2</v>
          </cell>
          <cell r="N840">
            <v>1.3111407803132231</v>
          </cell>
          <cell r="O840">
            <v>1.354478837844693</v>
          </cell>
        </row>
        <row r="841">
          <cell r="A841" t="str">
            <v>SCOM-SHSTG-ELC</v>
          </cell>
          <cell r="B841" t="str">
            <v>VAR_ncap</v>
          </cell>
          <cell r="C841" t="str">
            <v>-</v>
          </cell>
          <cell r="D841">
            <v>2.4444539381851698E-3</v>
          </cell>
          <cell r="E841">
            <v>9.3945249978216704E-3</v>
          </cell>
          <cell r="F841">
            <v>2.97519056400712E-2</v>
          </cell>
          <cell r="G841">
            <v>1.74316938908866E-5</v>
          </cell>
          <cell r="H841">
            <v>8.6625920850955298E-3</v>
          </cell>
          <cell r="I841">
            <v>2.16808790977564E-2</v>
          </cell>
          <cell r="J841">
            <v>5.5424211685925302E-5</v>
          </cell>
          <cell r="K841">
            <v>3.3756636566566203E-2</v>
          </cell>
          <cell r="L841">
            <v>1.40834826148753E-2</v>
          </cell>
          <cell r="M841">
            <v>8.1097678648445003E-5</v>
          </cell>
          <cell r="N841">
            <v>6.7768902006310498E-3</v>
          </cell>
          <cell r="O841">
            <v>1.1130914916221301E-2</v>
          </cell>
        </row>
        <row r="842">
          <cell r="A842" t="str">
            <v>SCOM-SHSTG-ELC</v>
          </cell>
          <cell r="B842" t="str">
            <v>VAR_cap</v>
          </cell>
          <cell r="C842" t="str">
            <v>-</v>
          </cell>
          <cell r="D842">
            <v>2.4444539381851698E-3</v>
          </cell>
          <cell r="E842">
            <v>1.1825345719952179E-2</v>
          </cell>
          <cell r="F842">
            <v>4.1571538172825967E-2</v>
          </cell>
          <cell r="G842">
            <v>4.157180906856707E-2</v>
          </cell>
          <cell r="H842">
            <v>4.3826924445796112E-2</v>
          </cell>
          <cell r="I842">
            <v>3.6585913869859051E-2</v>
          </cell>
          <cell r="J842">
            <v>3.0361285504616108E-2</v>
          </cell>
          <cell r="K842">
            <v>5.5438916389086483E-2</v>
          </cell>
          <cell r="L842">
            <v>5.1163733022294183E-2</v>
          </cell>
          <cell r="M842">
            <v>2.2980279646016802E-2</v>
          </cell>
          <cell r="N842">
            <v>1.792574195192435E-2</v>
          </cell>
          <cell r="O842">
            <v>1.7921461932069935E-2</v>
          </cell>
        </row>
        <row r="843">
          <cell r="A843" t="str">
            <v>SCOM-SHNGABR</v>
          </cell>
          <cell r="B843" t="str">
            <v>VAR_fout</v>
          </cell>
          <cell r="C843" t="str">
            <v>CO2_S</v>
          </cell>
          <cell r="D843">
            <v>1440.94597310516</v>
          </cell>
          <cell r="E843">
            <v>1508.6876444415</v>
          </cell>
          <cell r="F843">
            <v>1464.2465877186801</v>
          </cell>
          <cell r="G843">
            <v>1424.55761565285</v>
          </cell>
          <cell r="H843">
            <v>1445.4258035705</v>
          </cell>
          <cell r="I843">
            <v>1497.6971009855799</v>
          </cell>
          <cell r="J843">
            <v>1375.00936809926</v>
          </cell>
          <cell r="K843">
            <v>209.43446705461801</v>
          </cell>
          <cell r="L843">
            <v>232.61286016246399</v>
          </cell>
          <cell r="M843">
            <v>105.359302051882</v>
          </cell>
          <cell r="N843">
            <v>48.578262538497398</v>
          </cell>
          <cell r="O843">
            <v>30.691427338838601</v>
          </cell>
        </row>
        <row r="844">
          <cell r="A844" t="str">
            <v>SCOM-SHNGABR</v>
          </cell>
          <cell r="B844" t="str">
            <v>VAR_fout</v>
          </cell>
          <cell r="C844" t="str">
            <v>SCOM-SHNGA</v>
          </cell>
          <cell r="D844">
            <v>24.189714728829024</v>
          </cell>
          <cell r="E844">
            <v>25.326920242057891</v>
          </cell>
          <cell r="F844">
            <v>24.580871115693913</v>
          </cell>
          <cell r="G844">
            <v>23.914597063736199</v>
          </cell>
          <cell r="H844">
            <v>24.264919367318285</v>
          </cell>
          <cell r="I844">
            <v>25.142417758359095</v>
          </cell>
          <cell r="J844">
            <v>23.082811558931983</v>
          </cell>
          <cell r="K844">
            <v>3.5158570182324169</v>
          </cell>
          <cell r="L844">
            <v>3.9049616256336321</v>
          </cell>
          <cell r="M844">
            <v>1.7687071605963278</v>
          </cell>
          <cell r="N844">
            <v>0.81550199296934278</v>
          </cell>
          <cell r="O844">
            <v>0.51522880510725799</v>
          </cell>
        </row>
        <row r="845">
          <cell r="A845" t="str">
            <v>SCOM-SHNGABR</v>
          </cell>
          <cell r="B845" t="str">
            <v>VAR_fin</v>
          </cell>
          <cell r="C845" t="str">
            <v>SNGA</v>
          </cell>
          <cell r="D845">
            <v>25.548687466403656</v>
          </cell>
          <cell r="E845">
            <v>26.749780929813923</v>
          </cell>
          <cell r="F845">
            <v>25.961818931182286</v>
          </cell>
          <cell r="G845">
            <v>25.258113752710088</v>
          </cell>
          <cell r="H845">
            <v>25.628117084583355</v>
          </cell>
          <cell r="I845">
            <v>26.554913138042163</v>
          </cell>
          <cell r="J845">
            <v>24.379598725164104</v>
          </cell>
          <cell r="K845">
            <v>3.713377075436485</v>
          </cell>
          <cell r="L845">
            <v>4.1243414922422597</v>
          </cell>
          <cell r="M845">
            <v>1.8680727314163459</v>
          </cell>
          <cell r="N845">
            <v>0.86131671167548551</v>
          </cell>
          <cell r="O845">
            <v>0.54417424359642963</v>
          </cell>
        </row>
        <row r="846">
          <cell r="A846" t="str">
            <v>SCOM-SHNGABR</v>
          </cell>
          <cell r="B846" t="str">
            <v>VAR_ncap</v>
          </cell>
          <cell r="C846" t="str">
            <v>-</v>
          </cell>
          <cell r="D846">
            <v>4.6055687092411501E-8</v>
          </cell>
          <cell r="E846">
            <v>2.4251223141211399E-7</v>
          </cell>
          <cell r="F846">
            <v>2.61160008640496E-7</v>
          </cell>
          <cell r="G846">
            <v>5.3142281244303197E-7</v>
          </cell>
          <cell r="H846">
            <v>1.42197120229218</v>
          </cell>
          <cell r="I846">
            <v>0.56380432353643295</v>
          </cell>
          <cell r="J846">
            <v>5.8547473798570601E-2</v>
          </cell>
          <cell r="K846">
            <v>6.1213891334284198E-6</v>
          </cell>
          <cell r="L846">
            <v>0.63960616912066703</v>
          </cell>
          <cell r="M846">
            <v>0.114491024556499</v>
          </cell>
          <cell r="N846">
            <v>0.13003459760594499</v>
          </cell>
          <cell r="O846">
            <v>8.8259837848982697E-2</v>
          </cell>
        </row>
        <row r="847">
          <cell r="A847" t="str">
            <v>SCOM-SHNGABR</v>
          </cell>
          <cell r="B847" t="str">
            <v>VAR_cap</v>
          </cell>
          <cell r="C847" t="str">
            <v>-</v>
          </cell>
          <cell r="D847">
            <v>2.7746815439309072</v>
          </cell>
          <cell r="E847">
            <v>2.6876246143265834</v>
          </cell>
          <cell r="F847">
            <v>2.6875444326445517</v>
          </cell>
          <cell r="G847">
            <v>2.6483588792119894</v>
          </cell>
          <cell r="H847">
            <v>2.1087814760701344</v>
          </cell>
          <cell r="I847">
            <v>1.9857755767005938</v>
          </cell>
          <cell r="J847">
            <v>2.0443219921041837</v>
          </cell>
          <cell r="K847">
            <v>0.56905318799509763</v>
          </cell>
          <cell r="L847">
            <v>0.63961550265805001</v>
          </cell>
          <cell r="M847">
            <v>0.29082306458865403</v>
          </cell>
          <cell r="N847">
            <v>0.13524978788296893</v>
          </cell>
          <cell r="O847">
            <v>8.8264154470921008E-2</v>
          </cell>
        </row>
        <row r="848">
          <cell r="A848" t="str">
            <v>RHEM-SHELCHP</v>
          </cell>
          <cell r="B848" t="str">
            <v>VAR_fout</v>
          </cell>
          <cell r="C848" t="str">
            <v>RHEM-SHAELCH</v>
          </cell>
          <cell r="D848">
            <v>9.9025222608290875</v>
          </cell>
          <cell r="E848">
            <v>11.655196024073966</v>
          </cell>
          <cell r="F848">
            <v>11.655198752619881</v>
          </cell>
          <cell r="G848">
            <v>16.800693763028356</v>
          </cell>
          <cell r="H848">
            <v>23.61561831096866</v>
          </cell>
          <cell r="I848">
            <v>23.615687226093787</v>
          </cell>
          <cell r="J848">
            <v>26.755658922472477</v>
          </cell>
          <cell r="K848">
            <v>30.723399309295207</v>
          </cell>
          <cell r="L848">
            <v>30.723405073961139</v>
          </cell>
          <cell r="M848">
            <v>30.723407516585596</v>
          </cell>
          <cell r="N848">
            <v>30.723407061193814</v>
          </cell>
          <cell r="O848">
            <v>30.72340932037941</v>
          </cell>
        </row>
        <row r="849">
          <cell r="A849" t="str">
            <v>RHEM-SHELCHP</v>
          </cell>
          <cell r="B849" t="str">
            <v>VAR_fin</v>
          </cell>
          <cell r="C849" t="str">
            <v>RHEMELCHPC</v>
          </cell>
          <cell r="D849">
            <v>9.9025222608290875</v>
          </cell>
          <cell r="E849">
            <v>11.655196024073966</v>
          </cell>
          <cell r="F849">
            <v>11.655198752619881</v>
          </cell>
          <cell r="G849">
            <v>16.800693763028356</v>
          </cell>
          <cell r="H849">
            <v>23.61561831096866</v>
          </cell>
          <cell r="I849">
            <v>23.615687226093787</v>
          </cell>
          <cell r="J849">
            <v>26.755658922472477</v>
          </cell>
          <cell r="K849">
            <v>30.723399309295207</v>
          </cell>
          <cell r="L849">
            <v>30.723405073961139</v>
          </cell>
          <cell r="M849">
            <v>30.723407516585596</v>
          </cell>
          <cell r="N849">
            <v>30.723407061193814</v>
          </cell>
          <cell r="O849">
            <v>30.72340932037941</v>
          </cell>
        </row>
        <row r="850">
          <cell r="A850" t="str">
            <v>RHEM-SHELCHP</v>
          </cell>
          <cell r="B850" t="str">
            <v>VAR_fin</v>
          </cell>
          <cell r="C850" t="str">
            <v>RHEM_ELC</v>
          </cell>
          <cell r="D850">
            <v>3.09453819523663</v>
          </cell>
          <cell r="E850">
            <v>3.5825397491727546</v>
          </cell>
          <cell r="F850">
            <v>3.4965596257859612</v>
          </cell>
          <cell r="G850">
            <v>4.8463539701043326</v>
          </cell>
          <cell r="H850">
            <v>6.5904051100377634</v>
          </cell>
          <cell r="I850">
            <v>6.3826181692145347</v>
          </cell>
          <cell r="J850">
            <v>7.0409628743348653</v>
          </cell>
          <cell r="K850">
            <v>7.8777946946910831</v>
          </cell>
          <cell r="L850">
            <v>7.8777961728105543</v>
          </cell>
          <cell r="M850">
            <v>7.877796799124515</v>
          </cell>
          <cell r="N850">
            <v>7.8777966823573848</v>
          </cell>
          <cell r="O850">
            <v>7.8777972616357461</v>
          </cell>
        </row>
        <row r="851">
          <cell r="A851" t="str">
            <v>RHEM-SHELCHP</v>
          </cell>
          <cell r="B851" t="str">
            <v>VAR_ncap</v>
          </cell>
          <cell r="C851" t="str">
            <v>-</v>
          </cell>
          <cell r="D851">
            <v>2.3902271922994398E-7</v>
          </cell>
          <cell r="E851">
            <v>0.12376250324855501</v>
          </cell>
          <cell r="F851">
            <v>8.0324554065780898E-6</v>
          </cell>
          <cell r="G851">
            <v>0.36335057729932801</v>
          </cell>
          <cell r="H851">
            <v>1.0613623922239499</v>
          </cell>
          <cell r="I851">
            <v>0.31202926537855702</v>
          </cell>
          <cell r="J851">
            <v>0.51595798193198605</v>
          </cell>
          <cell r="K851">
            <v>1.34540521519476</v>
          </cell>
          <cell r="L851">
            <v>0.332531334503746</v>
          </cell>
          <cell r="M851">
            <v>0.49545226451544899</v>
          </cell>
          <cell r="N851">
            <v>1.2128596282613799</v>
          </cell>
          <cell r="O851">
            <v>0.46121123686932702</v>
          </cell>
        </row>
        <row r="852">
          <cell r="A852" t="str">
            <v>RHEM-SHELCHP</v>
          </cell>
          <cell r="B852" t="str">
            <v>VAR_cap</v>
          </cell>
          <cell r="C852" t="str">
            <v>-</v>
          </cell>
          <cell r="D852">
            <v>0.69925218941471834</v>
          </cell>
          <cell r="E852">
            <v>0.82301467825609875</v>
          </cell>
          <cell r="F852">
            <v>0.82302265073509118</v>
          </cell>
          <cell r="G852">
            <v>1.1863731964902291</v>
          </cell>
          <cell r="H852">
            <v>1.6694699678594818</v>
          </cell>
          <cell r="I852">
            <v>1.6676175206210939</v>
          </cell>
          <cell r="J852">
            <v>1.8893495767043651</v>
          </cell>
          <cell r="K852">
            <v>2.1733923369326966</v>
          </cell>
          <cell r="L852">
            <v>2.1734769164119108</v>
          </cell>
          <cell r="M852">
            <v>2.1733886840485859</v>
          </cell>
          <cell r="N852">
            <v>2.1737268278743587</v>
          </cell>
          <cell r="O852">
            <v>2.1695230136973724</v>
          </cell>
        </row>
        <row r="853">
          <cell r="A853" t="str">
            <v>RHNM-SHSTG-ELC</v>
          </cell>
          <cell r="B853" t="str">
            <v>VAR_fout</v>
          </cell>
          <cell r="C853" t="str">
            <v>RHNM-SHAELCB</v>
          </cell>
          <cell r="F853">
            <v>2.5822275877304991E-2</v>
          </cell>
          <cell r="G853">
            <v>5.3885328706806035E-4</v>
          </cell>
          <cell r="H853">
            <v>2.0161903601517468E-5</v>
          </cell>
          <cell r="I853">
            <v>1.2765158348119424E-5</v>
          </cell>
          <cell r="J853">
            <v>2.6533954587006034E-5</v>
          </cell>
          <cell r="K853">
            <v>2.159063374042266E-5</v>
          </cell>
          <cell r="L853">
            <v>2.8324998196116552E-5</v>
          </cell>
          <cell r="M853">
            <v>1.6107661077688854E-2</v>
          </cell>
          <cell r="N853">
            <v>4.3730393284936759E-5</v>
          </cell>
          <cell r="O853">
            <v>6.8478788936839974E-5</v>
          </cell>
        </row>
        <row r="854">
          <cell r="A854" t="str">
            <v>RHNM-SHSTG-ELC</v>
          </cell>
          <cell r="B854" t="str">
            <v>VAR_fin</v>
          </cell>
          <cell r="C854" t="str">
            <v>RHNM-SHAELCB</v>
          </cell>
          <cell r="E854">
            <v>1.0115256018051399E-8</v>
          </cell>
          <cell r="F854">
            <v>2.5823265194886345E-2</v>
          </cell>
          <cell r="G854">
            <v>5.3848137876792539E-4</v>
          </cell>
          <cell r="H854">
            <v>2.0118435794435853E-5</v>
          </cell>
          <cell r="I854">
            <v>1.2814515307191269E-5</v>
          </cell>
          <cell r="J854">
            <v>2.6444755466370887E-5</v>
          </cell>
          <cell r="K854">
            <v>2.1618852966718604E-5</v>
          </cell>
          <cell r="L854">
            <v>2.8259518675089798E-5</v>
          </cell>
          <cell r="M854">
            <v>1.61085185943508E-2</v>
          </cell>
          <cell r="N854">
            <v>4.3964943208686944E-5</v>
          </cell>
          <cell r="O854">
            <v>6.8622653038122609E-5</v>
          </cell>
        </row>
        <row r="855">
          <cell r="A855" t="str">
            <v>RHNM-SHSTG-ELC</v>
          </cell>
          <cell r="B855" t="str">
            <v>VAR_ncap</v>
          </cell>
          <cell r="C855" t="str">
            <v>-</v>
          </cell>
          <cell r="D855">
            <v>5.2531395788977102E-5</v>
          </cell>
          <cell r="E855">
            <v>2.8631268505143899E-3</v>
          </cell>
          <cell r="F855">
            <v>9.0966414640999693E-6</v>
          </cell>
          <cell r="G855">
            <v>6.48151112450845E-6</v>
          </cell>
          <cell r="H855">
            <v>4.5826184638827902E-6</v>
          </cell>
          <cell r="I855">
            <v>4.04242621531551E-6</v>
          </cell>
          <cell r="J855">
            <v>8.9061072048726807E-6</v>
          </cell>
          <cell r="K855">
            <v>8.9827745308277794E-6</v>
          </cell>
          <cell r="L855">
            <v>8.8005082594528698E-6</v>
          </cell>
          <cell r="M855">
            <v>1.73522392995074E-3</v>
          </cell>
          <cell r="N855">
            <v>8.7624062422123602E-6</v>
          </cell>
          <cell r="O855">
            <v>1.8888666293263001E-5</v>
          </cell>
        </row>
        <row r="856">
          <cell r="A856" t="str">
            <v>RHNM-SHSTG-ELC</v>
          </cell>
          <cell r="B856" t="str">
            <v>VAR_cap</v>
          </cell>
          <cell r="C856" t="str">
            <v>-</v>
          </cell>
          <cell r="D856">
            <v>5.2531395788977102E-5</v>
          </cell>
          <cell r="E856">
            <v>2.9139720941820319E-3</v>
          </cell>
          <cell r="F856">
            <v>2.9160204402936141E-3</v>
          </cell>
          <cell r="G856">
            <v>9.9166989395869844E-5</v>
          </cell>
          <cell r="H856">
            <v>9.5434259476600506E-6</v>
          </cell>
          <cell r="I856">
            <v>5.7680281097067006E-6</v>
          </cell>
          <cell r="J856">
            <v>9.2645215243084595E-6</v>
          </cell>
          <cell r="K856">
            <v>9.1053921094462002E-6</v>
          </cell>
          <cell r="L856">
            <v>9.5831659961004029E-6</v>
          </cell>
          <cell r="M856">
            <v>1.7390394154441673E-3</v>
          </cell>
          <cell r="N856">
            <v>1.457186478201998E-5</v>
          </cell>
          <cell r="O856">
            <v>2.4929998409549837E-5</v>
          </cell>
        </row>
        <row r="857">
          <cell r="A857" t="str">
            <v>D-RWOD</v>
          </cell>
          <cell r="B857" t="str">
            <v>VAR_fout</v>
          </cell>
          <cell r="C857" t="str">
            <v>RWOD</v>
          </cell>
          <cell r="D857">
            <v>13.722990789272432</v>
          </cell>
          <cell r="E857">
            <v>13.929124207407094</v>
          </cell>
          <cell r="F857">
            <v>11.844178213921053</v>
          </cell>
          <cell r="G857">
            <v>10.455570602409573</v>
          </cell>
          <cell r="H857">
            <v>9.3067317355969603</v>
          </cell>
          <cell r="I857">
            <v>7.118215414583144</v>
          </cell>
          <cell r="J857">
            <v>6.3403612056512371</v>
          </cell>
          <cell r="K857">
            <v>6.0410131320473948</v>
          </cell>
          <cell r="L857">
            <v>5.0430967137010247</v>
          </cell>
          <cell r="M857">
            <v>4.6216513320572741</v>
          </cell>
          <cell r="N857">
            <v>4.6113006923277533</v>
          </cell>
          <cell r="O857">
            <v>3.6959489313187008</v>
          </cell>
        </row>
        <row r="858">
          <cell r="A858" t="str">
            <v>D-RWOD</v>
          </cell>
          <cell r="B858" t="str">
            <v>VAR_fin</v>
          </cell>
          <cell r="C858" t="str">
            <v>WOD</v>
          </cell>
          <cell r="D858">
            <v>13.722990789272432</v>
          </cell>
          <cell r="E858">
            <v>13.929124207407094</v>
          </cell>
          <cell r="F858">
            <v>11.844178213921053</v>
          </cell>
          <cell r="G858">
            <v>10.455570602409573</v>
          </cell>
          <cell r="H858">
            <v>9.3067317355969603</v>
          </cell>
          <cell r="I858">
            <v>7.118215414583144</v>
          </cell>
          <cell r="J858">
            <v>6.3403612056512371</v>
          </cell>
          <cell r="K858">
            <v>6.0410131320473948</v>
          </cell>
          <cell r="L858">
            <v>5.0430967137010247</v>
          </cell>
          <cell r="M858">
            <v>4.6216513320572741</v>
          </cell>
          <cell r="N858">
            <v>4.6113006923277533</v>
          </cell>
          <cell r="O858">
            <v>3.6959489313187008</v>
          </cell>
        </row>
        <row r="859">
          <cell r="A859" t="str">
            <v>RHNS-SHLTHCHPWOD</v>
          </cell>
          <cell r="B859" t="str">
            <v>VAR_fout</v>
          </cell>
          <cell r="C859" t="str">
            <v>RHNS-SHLTHC-WOD</v>
          </cell>
          <cell r="G859">
            <v>2.0193156192951833E-4</v>
          </cell>
          <cell r="H859">
            <v>4.337395806617029E-4</v>
          </cell>
          <cell r="I859">
            <v>1.7851859468302315E-3</v>
          </cell>
          <cell r="J859">
            <v>1.5903476433613149E-3</v>
          </cell>
          <cell r="K859">
            <v>2.3772504003192669E-3</v>
          </cell>
          <cell r="L859">
            <v>1.0957071618675138E-3</v>
          </cell>
          <cell r="M859">
            <v>5.5745568798262594E-4</v>
          </cell>
          <cell r="N859">
            <v>4.4529106087762293E-4</v>
          </cell>
          <cell r="O859">
            <v>1.0734957021602499E-3</v>
          </cell>
        </row>
        <row r="860">
          <cell r="A860" t="str">
            <v>RHNS-SHLTHCHPWOD</v>
          </cell>
          <cell r="B860" t="str">
            <v>VAR_fin</v>
          </cell>
          <cell r="C860" t="str">
            <v>RHNS_LTH_CHPWOD_ON</v>
          </cell>
          <cell r="G860">
            <v>2.0397127467628118E-4</v>
          </cell>
          <cell r="H860">
            <v>4.3812078854717478E-4</v>
          </cell>
          <cell r="I860">
            <v>1.803218128111345E-3</v>
          </cell>
          <cell r="J860">
            <v>1.6064117609710272E-3</v>
          </cell>
          <cell r="K860">
            <v>2.4012630306255193E-3</v>
          </cell>
          <cell r="L860">
            <v>1.1067749109772863E-3</v>
          </cell>
          <cell r="M860">
            <v>5.6308655351780404E-4</v>
          </cell>
          <cell r="N860">
            <v>4.4978895038143735E-4</v>
          </cell>
          <cell r="O860">
            <v>1.0843390930911617E-3</v>
          </cell>
        </row>
        <row r="861">
          <cell r="A861" t="str">
            <v>RHNS-SHLTHCHPWOD</v>
          </cell>
          <cell r="B861" t="str">
            <v>VAR_fin</v>
          </cell>
          <cell r="C861" t="str">
            <v>RHNSLTHCHPC</v>
          </cell>
          <cell r="G861">
            <v>2.0193156192951833E-4</v>
          </cell>
          <cell r="H861">
            <v>4.337395806617029E-4</v>
          </cell>
          <cell r="I861">
            <v>1.7851859468302315E-3</v>
          </cell>
          <cell r="J861">
            <v>1.5903476433613149E-3</v>
          </cell>
          <cell r="K861">
            <v>2.3772504003192669E-3</v>
          </cell>
          <cell r="L861">
            <v>1.0957071618675138E-3</v>
          </cell>
          <cell r="M861">
            <v>5.5745568798262594E-4</v>
          </cell>
          <cell r="N861">
            <v>4.4529106087762293E-4</v>
          </cell>
          <cell r="O861">
            <v>1.0734957021602499E-3</v>
          </cell>
        </row>
        <row r="862">
          <cell r="A862" t="str">
            <v>RHNS-SHLTHCHPWOD</v>
          </cell>
          <cell r="B862" t="str">
            <v>VAR_ncap</v>
          </cell>
          <cell r="C862" t="str">
            <v>-</v>
          </cell>
          <cell r="G862">
            <v>2.5119952307113E-5</v>
          </cell>
          <cell r="H862">
            <v>3.8874164974938503E-5</v>
          </cell>
          <cell r="I862">
            <v>1.59452379057107E-4</v>
          </cell>
          <cell r="J862">
            <v>1.03361293170406E-4</v>
          </cell>
          <cell r="K862">
            <v>1.6518609121799E-4</v>
          </cell>
          <cell r="L862">
            <v>6.8919067679450106E-5</v>
          </cell>
          <cell r="M862">
            <v>4.3109357141435698E-5</v>
          </cell>
          <cell r="N862">
            <v>3.56125026904842E-5</v>
          </cell>
          <cell r="O862">
            <v>1.1080202519632999E-4</v>
          </cell>
        </row>
        <row r="863">
          <cell r="A863" t="str">
            <v>RHNS-SHLTHCHPWOD</v>
          </cell>
          <cell r="B863" t="str">
            <v>VAR_cap</v>
          </cell>
          <cell r="C863" t="str">
            <v>-</v>
          </cell>
          <cell r="G863">
            <v>2.5119952307113E-5</v>
          </cell>
          <cell r="H863">
            <v>4.8275574124355202E-5</v>
          </cell>
          <cell r="I863">
            <v>1.8123078389240601E-4</v>
          </cell>
          <cell r="J863">
            <v>1.5636517770703799E-4</v>
          </cell>
          <cell r="K863">
            <v>2.2386417445213297E-4</v>
          </cell>
          <cell r="L863">
            <v>1.0915028830301798E-4</v>
          </cell>
          <cell r="M863">
            <v>6.9127841459831979E-5</v>
          </cell>
          <cell r="N863">
            <v>5.5365804259142109E-5</v>
          </cell>
          <cell r="O863">
            <v>1.331110939042843E-4</v>
          </cell>
        </row>
        <row r="864">
          <cell r="A864" t="str">
            <v>RHNM-SHELCBR</v>
          </cell>
          <cell r="B864" t="str">
            <v>VAR_fout</v>
          </cell>
          <cell r="C864" t="str">
            <v>RHNM-SHAELCB</v>
          </cell>
          <cell r="E864">
            <v>0.15438597131222537</v>
          </cell>
          <cell r="F864">
            <v>0.15094853259294144</v>
          </cell>
          <cell r="G864">
            <v>2.9578861409153921E-3</v>
          </cell>
          <cell r="H864">
            <v>2.8281963488806445E-4</v>
          </cell>
          <cell r="I864">
            <v>1.7713543835379546E-4</v>
          </cell>
          <cell r="J864">
            <v>2.6459377674295054E-4</v>
          </cell>
          <cell r="K864">
            <v>3.0396747035582914E-4</v>
          </cell>
          <cell r="L864">
            <v>2.8385524315422252E-4</v>
          </cell>
          <cell r="M864">
            <v>8.6285000221583669E-2</v>
          </cell>
          <cell r="N864">
            <v>4.2761856096385257E-4</v>
          </cell>
          <cell r="O864">
            <v>7.366455664530022E-4</v>
          </cell>
        </row>
        <row r="865">
          <cell r="A865" t="str">
            <v>RHNM-SHELCBR</v>
          </cell>
          <cell r="B865" t="str">
            <v>VAR_fin</v>
          </cell>
          <cell r="C865" t="str">
            <v>RHNM_ELC</v>
          </cell>
          <cell r="E865">
            <v>0.1625115487497108</v>
          </cell>
          <cell r="F865">
            <v>0.15889319220309636</v>
          </cell>
          <cell r="G865">
            <v>3.1135643588583082E-3</v>
          </cell>
          <cell r="H865">
            <v>2.9770487882954146E-4</v>
          </cell>
          <cell r="I865">
            <v>1.8645835616188999E-4</v>
          </cell>
          <cell r="J865">
            <v>2.7851976499257934E-4</v>
          </cell>
          <cell r="K865">
            <v>3.1996575826929394E-4</v>
          </cell>
          <cell r="L865">
            <v>2.9879499279391865E-4</v>
          </cell>
          <cell r="M865">
            <v>9.0826316022719594E-2</v>
          </cell>
          <cell r="N865">
            <v>4.5012480101458153E-4</v>
          </cell>
          <cell r="O865">
            <v>7.7541638574000289E-4</v>
          </cell>
        </row>
        <row r="866">
          <cell r="A866" t="str">
            <v>RHNM-SHELCBR</v>
          </cell>
          <cell r="B866" t="str">
            <v>VAR_ncap</v>
          </cell>
          <cell r="C866" t="str">
            <v>-</v>
          </cell>
          <cell r="E866">
            <v>1.2393630271598E-2</v>
          </cell>
          <cell r="H866">
            <v>2.4825426617639998E-5</v>
          </cell>
          <cell r="J866">
            <v>3.9120064273375703E-5</v>
          </cell>
          <cell r="L866">
            <v>8.0347598752737805E-6</v>
          </cell>
          <cell r="M866">
            <v>7.3832598089336099E-3</v>
          </cell>
          <cell r="N866">
            <v>6.3452659018473696E-7</v>
          </cell>
          <cell r="O866">
            <v>4.46495357133882E-5</v>
          </cell>
        </row>
        <row r="867">
          <cell r="A867" t="str">
            <v>RHNM-SHELCBR</v>
          </cell>
          <cell r="B867" t="str">
            <v>VAR_cap</v>
          </cell>
          <cell r="C867" t="str">
            <v>-</v>
          </cell>
          <cell r="E867">
            <v>1.2393630271598E-2</v>
          </cell>
          <cell r="F867">
            <v>1.2393219354959448E-2</v>
          </cell>
          <cell r="G867">
            <v>4.2128536878699961E-4</v>
          </cell>
          <cell r="H867">
            <v>4.0617377876830257E-5</v>
          </cell>
          <cell r="I867">
            <v>2.4707772083345559E-5</v>
          </cell>
          <cell r="J867">
            <v>3.92380328116766E-5</v>
          </cell>
          <cell r="K867">
            <v>3.9071223941488406E-5</v>
          </cell>
          <cell r="L867">
            <v>4.0791569170694431E-5</v>
          </cell>
          <cell r="M867">
            <v>7.3911729694931625E-3</v>
          </cell>
          <cell r="N867">
            <v>6.229131611680018E-5</v>
          </cell>
          <cell r="O867">
            <v>1.0595687761731989E-4</v>
          </cell>
        </row>
        <row r="868">
          <cell r="A868" t="str">
            <v>RHNS-SHSTG-NGAHP</v>
          </cell>
          <cell r="B868" t="str">
            <v>VAR_fout</v>
          </cell>
          <cell r="C868" t="str">
            <v>RHNS-SHANGAH</v>
          </cell>
          <cell r="F868">
            <v>4.1177014872349374E-5</v>
          </cell>
          <cell r="G868">
            <v>4.4340792193949571E-5</v>
          </cell>
          <cell r="H868">
            <v>5.3365614355516838E-4</v>
          </cell>
          <cell r="I868">
            <v>5.7481066387453601E-2</v>
          </cell>
          <cell r="J868">
            <v>5.6708981964273666E-2</v>
          </cell>
          <cell r="K868">
            <v>5.3805246524695316E-2</v>
          </cell>
          <cell r="L868">
            <v>9.7187767059277817E-3</v>
          </cell>
          <cell r="M868">
            <v>4.8228196709369259E-5</v>
          </cell>
          <cell r="N868">
            <v>4.7379308096712898E-5</v>
          </cell>
          <cell r="O868">
            <v>3.7587125866259423E-5</v>
          </cell>
        </row>
        <row r="869">
          <cell r="A869" t="str">
            <v>RHNS-SHSTG-NGAHP</v>
          </cell>
          <cell r="B869" t="str">
            <v>VAR_fin</v>
          </cell>
          <cell r="C869" t="str">
            <v>RHNS-SHANGAH</v>
          </cell>
          <cell r="F869">
            <v>4.0026098378102952E-5</v>
          </cell>
          <cell r="G869">
            <v>4.2737013382291038E-5</v>
          </cell>
          <cell r="H869">
            <v>5.328942793070906E-4</v>
          </cell>
          <cell r="I869">
            <v>5.7485116218413262E-2</v>
          </cell>
          <cell r="J869">
            <v>5.6712691938253047E-2</v>
          </cell>
          <cell r="K869">
            <v>5.3808644632699347E-2</v>
          </cell>
          <cell r="L869">
            <v>9.7194421042465107E-3</v>
          </cell>
          <cell r="M869">
            <v>4.8245782632987195E-5</v>
          </cell>
          <cell r="N869">
            <v>4.7368924467701431E-5</v>
          </cell>
          <cell r="O869">
            <v>3.7777301028895144E-5</v>
          </cell>
        </row>
        <row r="870">
          <cell r="A870" t="str">
            <v>RHNS-SHSTG-NGAHP</v>
          </cell>
          <cell r="B870" t="str">
            <v>VAR_ncap</v>
          </cell>
          <cell r="C870" t="str">
            <v>-</v>
          </cell>
          <cell r="D870">
            <v>2.0333237808697601E-6</v>
          </cell>
          <cell r="E870">
            <v>1.5357634645132101E-6</v>
          </cell>
          <cell r="F870">
            <v>1.1732633387770599E-5</v>
          </cell>
          <cell r="G870">
            <v>4.9238166655788902E-6</v>
          </cell>
          <cell r="H870">
            <v>1.02362726187922E-4</v>
          </cell>
          <cell r="I870">
            <v>9.9543771605484499E-3</v>
          </cell>
          <cell r="J870">
            <v>1.9067368414055501E-5</v>
          </cell>
          <cell r="K870">
            <v>3.3323778951569201E-5</v>
          </cell>
          <cell r="L870">
            <v>2.1432882807604499E-5</v>
          </cell>
          <cell r="M870">
            <v>1.1356961770008199E-5</v>
          </cell>
          <cell r="N870">
            <v>1.2188306481897399E-5</v>
          </cell>
          <cell r="O870">
            <v>1.52436048543052E-5</v>
          </cell>
        </row>
        <row r="871">
          <cell r="A871" t="str">
            <v>RHNS-SHSTG-NGAHP</v>
          </cell>
          <cell r="B871" t="str">
            <v>VAR_cap</v>
          </cell>
          <cell r="C871" t="str">
            <v>-</v>
          </cell>
          <cell r="D871">
            <v>2.0333237808697601E-6</v>
          </cell>
          <cell r="E871">
            <v>1.0000618696539997E-8</v>
          </cell>
          <cell r="F871">
            <v>1.0991496501476368E-5</v>
          </cell>
          <cell r="G871">
            <v>1.1311446023906471E-5</v>
          </cell>
          <cell r="H871">
            <v>1.1019009157592301E-4</v>
          </cell>
          <cell r="I871">
            <v>1.005632208395364E-2</v>
          </cell>
          <cell r="J871">
            <v>1.0054188883232633E-2</v>
          </cell>
          <cell r="K871">
            <v>9.9546117348191694E-3</v>
          </cell>
          <cell r="L871">
            <v>1.5297360048690811E-3</v>
          </cell>
          <cell r="M871">
            <v>1.7573269924078995E-5</v>
          </cell>
          <cell r="N871">
            <v>1.7681855462997904E-5</v>
          </cell>
          <cell r="O871">
            <v>2.1847767100517201E-5</v>
          </cell>
        </row>
        <row r="872">
          <cell r="A872" t="str">
            <v>RHNS-SHLTHDH</v>
          </cell>
          <cell r="B872" t="str">
            <v>VAR_fout</v>
          </cell>
          <cell r="C872" t="str">
            <v>RHNS-SHLTHD</v>
          </cell>
          <cell r="E872">
            <v>5.3908306604535002E-2</v>
          </cell>
          <cell r="F872">
            <v>6.9807037025042998E-2</v>
          </cell>
          <cell r="G872">
            <v>0.11239142758476023</v>
          </cell>
          <cell r="H872">
            <v>0.17508203142767317</v>
          </cell>
          <cell r="I872">
            <v>0.24920076083956383</v>
          </cell>
          <cell r="J872">
            <v>0.34073861489466695</v>
          </cell>
          <cell r="K872">
            <v>0.45180419559613777</v>
          </cell>
          <cell r="L872">
            <v>0.4748507516172511</v>
          </cell>
          <cell r="M872">
            <v>0.49907322335563709</v>
          </cell>
          <cell r="N872">
            <v>0.52453157341842405</v>
          </cell>
          <cell r="O872">
            <v>0.55128950611073779</v>
          </cell>
        </row>
        <row r="873">
          <cell r="A873" t="str">
            <v>RHNS-SHLTHDH</v>
          </cell>
          <cell r="B873" t="str">
            <v>VAR_fin</v>
          </cell>
          <cell r="C873" t="str">
            <v>RHNS_LTH_DH</v>
          </cell>
          <cell r="E873">
            <v>5.4452834954075741E-2</v>
          </cell>
          <cell r="F873">
            <v>7.0512158611154549E-2</v>
          </cell>
          <cell r="G873">
            <v>0.11352669453006085</v>
          </cell>
          <cell r="H873">
            <v>0.17685053679562937</v>
          </cell>
          <cell r="I873">
            <v>0.25171794024198396</v>
          </cell>
          <cell r="J873">
            <v>0.34418041908552244</v>
          </cell>
          <cell r="K873">
            <v>0.45636787433953313</v>
          </cell>
          <cell r="L873">
            <v>0.4796472238558091</v>
          </cell>
          <cell r="M873">
            <v>0.50411436702589585</v>
          </cell>
          <cell r="N873">
            <v>0.52982987213982258</v>
          </cell>
          <cell r="O873">
            <v>0.5568580869805434</v>
          </cell>
        </row>
        <row r="874">
          <cell r="A874" t="str">
            <v>RHNS-SHLTHDH</v>
          </cell>
          <cell r="B874" t="str">
            <v>VAR_fin</v>
          </cell>
          <cell r="C874" t="str">
            <v>RHNSLTHDHC</v>
          </cell>
          <cell r="E874">
            <v>5.3908306604535002E-2</v>
          </cell>
          <cell r="F874">
            <v>6.9807037025042998E-2</v>
          </cell>
          <cell r="G874">
            <v>0.11239142758476023</v>
          </cell>
          <cell r="H874">
            <v>0.17508203142767317</v>
          </cell>
          <cell r="I874">
            <v>0.24920076083956383</v>
          </cell>
          <cell r="J874">
            <v>0.34073861489466695</v>
          </cell>
          <cell r="K874">
            <v>0.45180419559613777</v>
          </cell>
          <cell r="L874">
            <v>0.4748507516172511</v>
          </cell>
          <cell r="M874">
            <v>0.49907322335563709</v>
          </cell>
          <cell r="N874">
            <v>0.52453157341842405</v>
          </cell>
          <cell r="O874">
            <v>0.55128950611073779</v>
          </cell>
        </row>
        <row r="875">
          <cell r="A875" t="str">
            <v>RHNS-SHLTHDH</v>
          </cell>
          <cell r="B875" t="str">
            <v>VAR_ncap</v>
          </cell>
          <cell r="C875" t="str">
            <v>-</v>
          </cell>
          <cell r="E875">
            <v>4.6155476526767297E-3</v>
          </cell>
          <cell r="F875">
            <v>1.0759335070263799E-3</v>
          </cell>
          <cell r="G875">
            <v>2.4982663736891801E-3</v>
          </cell>
          <cell r="H875">
            <v>6.0336204145342801E-3</v>
          </cell>
          <cell r="I875">
            <v>5.6791354448147303E-3</v>
          </cell>
          <cell r="J875">
            <v>5.6324030082868098E-3</v>
          </cell>
          <cell r="K875">
            <v>9.8924003686701803E-3</v>
          </cell>
          <cell r="L875">
            <v>5.7301110418068503E-4</v>
          </cell>
          <cell r="M875">
            <v>3.4243820074515301E-4</v>
          </cell>
          <cell r="N875">
            <v>1.8480022395966501E-3</v>
          </cell>
          <cell r="O875">
            <v>2.14210236706185E-3</v>
          </cell>
        </row>
        <row r="876">
          <cell r="A876" t="str">
            <v>RHNS-SHLTHDH</v>
          </cell>
          <cell r="B876" t="str">
            <v>VAR_cap</v>
          </cell>
          <cell r="C876" t="str">
            <v>-</v>
          </cell>
          <cell r="E876">
            <v>4.6155476526767297E-3</v>
          </cell>
          <cell r="F876">
            <v>5.6914811597031101E-3</v>
          </cell>
          <cell r="G876">
            <v>8.1897475333922998E-3</v>
          </cell>
          <cell r="H876">
            <v>1.4223367947926601E-2</v>
          </cell>
          <cell r="I876">
            <v>1.99025033927413E-2</v>
          </cell>
          <cell r="J876">
            <v>2.5534906401028099E-2</v>
          </cell>
          <cell r="K876">
            <v>3.5427306769698297E-2</v>
          </cell>
          <cell r="L876">
            <v>3.6000317873879001E-2</v>
          </cell>
          <cell r="M876">
            <v>3.6342756074624102E-2</v>
          </cell>
          <cell r="N876">
            <v>3.81907583142208E-2</v>
          </cell>
          <cell r="O876">
            <v>4.0332860681282598E-2</v>
          </cell>
        </row>
        <row r="877">
          <cell r="A877" t="str">
            <v>ITOT-SWHNGAHP</v>
          </cell>
          <cell r="B877" t="str">
            <v>VAR_fout</v>
          </cell>
          <cell r="C877" t="str">
            <v>ITOT-SWHANGAH</v>
          </cell>
          <cell r="F877">
            <v>2.5753115436128802E-3</v>
          </cell>
          <cell r="G877">
            <v>1.1212300939512151E-3</v>
          </cell>
          <cell r="H877">
            <v>9.1996421260770716E-4</v>
          </cell>
          <cell r="I877">
            <v>0.85300937268460009</v>
          </cell>
          <cell r="J877">
            <v>0.84261446194527057</v>
          </cell>
          <cell r="K877">
            <v>0.75672477103810143</v>
          </cell>
          <cell r="L877">
            <v>0.12042990754671302</v>
          </cell>
          <cell r="M877">
            <v>1.7136551475783829E-2</v>
          </cell>
          <cell r="N877">
            <v>1.713436413397915E-2</v>
          </cell>
          <cell r="O877">
            <v>1.7131572444806981E-2</v>
          </cell>
        </row>
        <row r="878">
          <cell r="A878" t="str">
            <v>ITOT-SWHNGAHP</v>
          </cell>
          <cell r="B878" t="str">
            <v>VAR_fout</v>
          </cell>
          <cell r="C878" t="str">
            <v>CO2_I</v>
          </cell>
          <cell r="F878">
            <v>7.70370839913746E-2</v>
          </cell>
          <cell r="G878">
            <v>3.2897411104292701E-2</v>
          </cell>
          <cell r="H878">
            <v>2.6484655802991301E-2</v>
          </cell>
          <cell r="I878">
            <v>24.103893071019399</v>
          </cell>
          <cell r="J878">
            <v>23.3786933832728</v>
          </cell>
          <cell r="K878">
            <v>20.621955657807199</v>
          </cell>
          <cell r="L878">
            <v>3.28190685484656</v>
          </cell>
          <cell r="M878">
            <v>0.46699833041880301</v>
          </cell>
          <cell r="N878">
            <v>0.46693872186965601</v>
          </cell>
          <cell r="O878">
            <v>0.46686264389187399</v>
          </cell>
        </row>
        <row r="879">
          <cell r="A879" t="str">
            <v>ITOT-SWHNGAHP</v>
          </cell>
          <cell r="B879" t="str">
            <v>VAR_fin</v>
          </cell>
          <cell r="C879" t="str">
            <v>ITOTELCHPC</v>
          </cell>
          <cell r="F879">
            <v>2.5753115436128802E-3</v>
          </cell>
          <cell r="G879">
            <v>1.1212300939512151E-3</v>
          </cell>
          <cell r="H879">
            <v>9.1996421260770716E-4</v>
          </cell>
          <cell r="I879">
            <v>0.85300937268460009</v>
          </cell>
          <cell r="J879">
            <v>0.84261446194527057</v>
          </cell>
          <cell r="K879">
            <v>0.75672477103810143</v>
          </cell>
          <cell r="L879">
            <v>0.12042990754671302</v>
          </cell>
          <cell r="M879">
            <v>1.7136551475783829E-2</v>
          </cell>
          <cell r="N879">
            <v>1.713436413397915E-2</v>
          </cell>
          <cell r="O879">
            <v>1.7131572444806981E-2</v>
          </cell>
        </row>
        <row r="880">
          <cell r="A880" t="str">
            <v>ITOT-SWHNGAHP</v>
          </cell>
          <cell r="B880" t="str">
            <v>VAR_fin</v>
          </cell>
          <cell r="C880" t="str">
            <v>INGA</v>
          </cell>
          <cell r="F880">
            <v>1.3659057445279184E-3</v>
          </cell>
          <cell r="G880">
            <v>5.8328743092717615E-4</v>
          </cell>
          <cell r="H880">
            <v>4.6958609579771722E-4</v>
          </cell>
          <cell r="I880">
            <v>0.42737399062091103</v>
          </cell>
          <cell r="J880">
            <v>0.41451584012895121</v>
          </cell>
          <cell r="K880">
            <v>0.36563751166324815</v>
          </cell>
          <cell r="L880">
            <v>5.8189837851889255E-2</v>
          </cell>
          <cell r="M880">
            <v>8.2801122414681363E-3</v>
          </cell>
          <cell r="N880">
            <v>8.2790553522988745E-3</v>
          </cell>
          <cell r="O880">
            <v>8.2777064519835748E-3</v>
          </cell>
        </row>
        <row r="881">
          <cell r="A881" t="str">
            <v>ITOT-SWHNGAHP</v>
          </cell>
          <cell r="B881" t="str">
            <v>VAR_ncap</v>
          </cell>
          <cell r="C881" t="str">
            <v>-</v>
          </cell>
          <cell r="E881">
            <v>1.5913356727910701E-4</v>
          </cell>
          <cell r="F881">
            <v>1.4690116436050399E-6</v>
          </cell>
          <cell r="G881">
            <v>2.2691929777420801E-7</v>
          </cell>
          <cell r="H881">
            <v>3.4488237530731899E-5</v>
          </cell>
          <cell r="I881">
            <v>4.6510965259575203E-2</v>
          </cell>
          <cell r="J881">
            <v>3.5947697258649998E-6</v>
          </cell>
          <cell r="K881">
            <v>3.0255455463952899E-6</v>
          </cell>
          <cell r="L881">
            <v>3.3960566053252098E-6</v>
          </cell>
          <cell r="M881">
            <v>1.0145491822800899E-3</v>
          </cell>
          <cell r="N881">
            <v>1.08649011927805E-5</v>
          </cell>
          <cell r="O881">
            <v>1.18466107810447E-4</v>
          </cell>
        </row>
        <row r="882">
          <cell r="A882" t="str">
            <v>ITOT-SWHNGAHP</v>
          </cell>
          <cell r="B882" t="str">
            <v>VAR_cap</v>
          </cell>
          <cell r="C882" t="str">
            <v>-</v>
          </cell>
          <cell r="E882">
            <v>1.5913356727910701E-4</v>
          </cell>
          <cell r="F882">
            <v>1.6049229703738032E-4</v>
          </cell>
          <cell r="G882">
            <v>1.189546979485637E-4</v>
          </cell>
          <cell r="H882">
            <v>9.5519890928447897E-5</v>
          </cell>
          <cell r="I882">
            <v>4.6545521784771275E-2</v>
          </cell>
          <cell r="J882">
            <v>4.6548647321475393E-2</v>
          </cell>
          <cell r="K882">
            <v>4.6515175262866172E-2</v>
          </cell>
          <cell r="L882">
            <v>7.15471477041242E-3</v>
          </cell>
          <cell r="M882">
            <v>1.0201802912398531E-3</v>
          </cell>
          <cell r="N882">
            <v>1.0272466592567793E-3</v>
          </cell>
          <cell r="O882">
            <v>1.1428715179394918E-3</v>
          </cell>
        </row>
        <row r="883">
          <cell r="A883" t="str">
            <v>RHSA-WHLFOBR</v>
          </cell>
          <cell r="B883" t="str">
            <v>VAR_fout</v>
          </cell>
          <cell r="C883" t="str">
            <v>CO2_R</v>
          </cell>
          <cell r="D883">
            <v>726.71235759029105</v>
          </cell>
          <cell r="E883">
            <v>615.73850725819</v>
          </cell>
          <cell r="F883">
            <v>400.50382331105499</v>
          </cell>
          <cell r="G883">
            <v>106.08444116609201</v>
          </cell>
          <cell r="H883">
            <v>50.362783250072603</v>
          </cell>
          <cell r="I883">
            <v>3.8907760734490399E-2</v>
          </cell>
          <cell r="J883">
            <v>2.85648302139123E-2</v>
          </cell>
          <cell r="K883">
            <v>1.79316900852046E-2</v>
          </cell>
          <cell r="L883">
            <v>1.0785491186566999E-2</v>
          </cell>
          <cell r="M883">
            <v>1.9695933344054999E-2</v>
          </cell>
          <cell r="N883">
            <v>1.68012499713894E-2</v>
          </cell>
          <cell r="O883">
            <v>4.1165195665375402E-2</v>
          </cell>
        </row>
        <row r="884">
          <cell r="A884" t="str">
            <v>RHSA-WHLFOBR</v>
          </cell>
          <cell r="B884" t="str">
            <v>VAR_fout</v>
          </cell>
          <cell r="C884" t="str">
            <v>RHSA-WHLFO</v>
          </cell>
          <cell r="D884">
            <v>6.9844584345516445</v>
          </cell>
          <cell r="E884">
            <v>5.9701014243995729</v>
          </cell>
          <cell r="F884">
            <v>3.9341666271085312</v>
          </cell>
          <cell r="G884">
            <v>1.0645628848361208</v>
          </cell>
          <cell r="H884">
            <v>0.51073180944605268</v>
          </cell>
          <cell r="I884">
            <v>3.9869016469506904E-4</v>
          </cell>
          <cell r="J884">
            <v>2.9270553348437358E-4</v>
          </cell>
          <cell r="K884">
            <v>1.8374710696197059E-4</v>
          </cell>
          <cell r="L884">
            <v>1.1051957697677884E-4</v>
          </cell>
          <cell r="M884">
            <v>2.0182541376130534E-4</v>
          </cell>
          <cell r="N884">
            <v>1.7216341911546434E-4</v>
          </cell>
          <cell r="O884">
            <v>4.2182223622508417E-4</v>
          </cell>
        </row>
        <row r="885">
          <cell r="A885" t="str">
            <v>RHSA-WHLFOBR</v>
          </cell>
          <cell r="B885" t="str">
            <v>VAR_fin</v>
          </cell>
          <cell r="C885" t="str">
            <v>RLFO</v>
          </cell>
          <cell r="D885">
            <v>9.8604119076023107</v>
          </cell>
          <cell r="E885">
            <v>8.3546608854571307</v>
          </cell>
          <cell r="F885">
            <v>5.4342445496750953</v>
          </cell>
          <cell r="G885">
            <v>1.4394089710460232</v>
          </cell>
          <cell r="H885">
            <v>0.68334848371876045</v>
          </cell>
          <cell r="I885">
            <v>5.2792076980312682E-4</v>
          </cell>
          <cell r="J885">
            <v>3.8758249951034262E-4</v>
          </cell>
          <cell r="K885">
            <v>2.4330651404619555E-4</v>
          </cell>
          <cell r="L885">
            <v>1.4634316399683811E-4</v>
          </cell>
          <cell r="M885">
            <v>2.6724468580807361E-4</v>
          </cell>
          <cell r="N885">
            <v>2.2796811358737339E-4</v>
          </cell>
          <cell r="O885">
            <v>5.5855082313942251E-4</v>
          </cell>
        </row>
        <row r="886">
          <cell r="A886" t="str">
            <v>RHSA-WHLFOBR</v>
          </cell>
          <cell r="B886" t="str">
            <v>VAR_ncap</v>
          </cell>
          <cell r="C886" t="str">
            <v>-</v>
          </cell>
          <cell r="E886">
            <v>3.9362366192088103E-8</v>
          </cell>
          <cell r="F886">
            <v>2.83440370093985E-8</v>
          </cell>
          <cell r="G886">
            <v>6.7874119109785103E-8</v>
          </cell>
          <cell r="H886">
            <v>1.04732470155349E-5</v>
          </cell>
          <cell r="I886">
            <v>2.1239014861469902E-5</v>
          </cell>
          <cell r="J886">
            <v>2.1312836884956199E-7</v>
          </cell>
          <cell r="L886">
            <v>8.9414105099309997E-6</v>
          </cell>
          <cell r="M886">
            <v>1.28687164722947E-5</v>
          </cell>
          <cell r="N886">
            <v>5.1750962246114103E-7</v>
          </cell>
          <cell r="O886">
            <v>3.2762666684032703E-5</v>
          </cell>
        </row>
        <row r="887">
          <cell r="A887" t="str">
            <v>RHSA-WHLFOBR</v>
          </cell>
          <cell r="B887" t="str">
            <v>VAR_cap</v>
          </cell>
          <cell r="C887" t="str">
            <v>-</v>
          </cell>
          <cell r="D887">
            <v>0.47738433216181703</v>
          </cell>
          <cell r="E887">
            <v>0.47738321377879889</v>
          </cell>
          <cell r="F887">
            <v>0.27660300429867224</v>
          </cell>
          <cell r="G887">
            <v>0.13959476926802833</v>
          </cell>
          <cell r="H887">
            <v>3.6212098742148979E-2</v>
          </cell>
          <cell r="I887">
            <v>3.1697407043028195E-5</v>
          </cell>
          <cell r="J887">
            <v>3.1416105767135419E-5</v>
          </cell>
          <cell r="K887">
            <v>2.0863464682655741E-5</v>
          </cell>
          <cell r="L887">
            <v>1.2184863678698664E-5</v>
          </cell>
          <cell r="M887">
            <v>2.1743195773693309E-5</v>
          </cell>
          <cell r="N887">
            <v>1.9178197607888862E-5</v>
          </cell>
          <cell r="O887">
            <v>4.5889045514063107E-5</v>
          </cell>
        </row>
        <row r="888">
          <cell r="A888" t="str">
            <v>D-IWST</v>
          </cell>
          <cell r="B888" t="str">
            <v>VAR_fout</v>
          </cell>
          <cell r="C888" t="str">
            <v>CO2</v>
          </cell>
          <cell r="D888">
            <v>1068.12827247874</v>
          </cell>
          <cell r="E888">
            <v>1094.48198944725</v>
          </cell>
          <cell r="F888">
            <v>1024.64113946363</v>
          </cell>
          <cell r="G888">
            <v>1013.19792821762</v>
          </cell>
          <cell r="H888">
            <v>1001.75481733878</v>
          </cell>
          <cell r="I888">
            <v>996.69829168767899</v>
          </cell>
          <cell r="J888">
            <v>991.64172892650402</v>
          </cell>
          <cell r="K888">
            <v>986.58517969803302</v>
          </cell>
          <cell r="L888">
            <v>986.58514596658495</v>
          </cell>
          <cell r="M888">
            <v>986.58516806404896</v>
          </cell>
          <cell r="N888">
            <v>986.58516956524602</v>
          </cell>
          <cell r="O888">
            <v>986.58524704932597</v>
          </cell>
        </row>
        <row r="889">
          <cell r="A889" t="str">
            <v>D-IWST</v>
          </cell>
          <cell r="B889" t="str">
            <v>VAR_fout</v>
          </cell>
          <cell r="C889" t="str">
            <v>IWST</v>
          </cell>
          <cell r="D889">
            <v>11.51000293619334</v>
          </cell>
          <cell r="E889">
            <v>11.793986955250512</v>
          </cell>
          <cell r="F889">
            <v>11.041391589047704</v>
          </cell>
          <cell r="G889">
            <v>10.918081123034646</v>
          </cell>
          <cell r="H889">
            <v>10.79477173856448</v>
          </cell>
          <cell r="I889">
            <v>10.740283315599973</v>
          </cell>
          <cell r="J889">
            <v>10.685794492742513</v>
          </cell>
          <cell r="K889">
            <v>10.631305815711556</v>
          </cell>
          <cell r="L889">
            <v>10.631305452226139</v>
          </cell>
          <cell r="M889">
            <v>10.631305690345348</v>
          </cell>
          <cell r="N889">
            <v>10.631305706522051</v>
          </cell>
          <cell r="O889">
            <v>10.631306541479805</v>
          </cell>
        </row>
        <row r="890">
          <cell r="A890" t="str">
            <v>D-IWST</v>
          </cell>
          <cell r="B890" t="str">
            <v>VAR_fin</v>
          </cell>
          <cell r="C890" t="str">
            <v>WSTNREN</v>
          </cell>
          <cell r="D890">
            <v>11.51000293619334</v>
          </cell>
          <cell r="E890">
            <v>11.793986955250512</v>
          </cell>
          <cell r="F890">
            <v>11.041391589047704</v>
          </cell>
          <cell r="G890">
            <v>10.918081123034646</v>
          </cell>
          <cell r="H890">
            <v>10.79477173856448</v>
          </cell>
          <cell r="I890">
            <v>10.740283315599973</v>
          </cell>
          <cell r="J890">
            <v>10.685794492742513</v>
          </cell>
          <cell r="K890">
            <v>10.631305815711556</v>
          </cell>
          <cell r="L890">
            <v>10.631305452226139</v>
          </cell>
          <cell r="M890">
            <v>10.631305690345348</v>
          </cell>
          <cell r="N890">
            <v>10.631305706522051</v>
          </cell>
          <cell r="O890">
            <v>10.631306541479805</v>
          </cell>
        </row>
        <row r="891">
          <cell r="A891" t="str">
            <v>RHES-SHLFOBR</v>
          </cell>
          <cell r="B891" t="str">
            <v>VAR_fout</v>
          </cell>
          <cell r="C891" t="str">
            <v>CO2_R</v>
          </cell>
          <cell r="D891">
            <v>1783.66264616894</v>
          </cell>
          <cell r="E891">
            <v>1640.9694812415801</v>
          </cell>
          <cell r="F891">
            <v>1768.4580616650901</v>
          </cell>
          <cell r="G891">
            <v>1625.8782546910199</v>
          </cell>
          <cell r="H891">
            <v>772.85440246611404</v>
          </cell>
          <cell r="I891">
            <v>311.11453850011702</v>
          </cell>
          <cell r="J891">
            <v>311.10405554750503</v>
          </cell>
          <cell r="K891">
            <v>311.10401685012698</v>
          </cell>
          <cell r="L891">
            <v>311.10395143783802</v>
          </cell>
          <cell r="M891">
            <v>270.44803416137597</v>
          </cell>
          <cell r="N891">
            <v>216.00013632858199</v>
          </cell>
          <cell r="O891">
            <v>99.897622948734295</v>
          </cell>
        </row>
        <row r="892">
          <cell r="A892" t="str">
            <v>RHES-SHLFOBR</v>
          </cell>
          <cell r="B892" t="str">
            <v>VAR_fout</v>
          </cell>
          <cell r="C892" t="str">
            <v>RHES-SHLFO</v>
          </cell>
          <cell r="D892">
            <v>21.680657447214006</v>
          </cell>
          <cell r="E892">
            <v>19.946202988859103</v>
          </cell>
          <cell r="F892">
            <v>21.495843693916395</v>
          </cell>
          <cell r="G892">
            <v>19.762767116608437</v>
          </cell>
          <cell r="H892">
            <v>9.3941483791392386</v>
          </cell>
          <cell r="I892">
            <v>3.7816387255498216</v>
          </cell>
          <cell r="J892">
            <v>3.7815113038621502</v>
          </cell>
          <cell r="K892">
            <v>3.7815108334903518</v>
          </cell>
          <cell r="L892">
            <v>3.7815100383952491</v>
          </cell>
          <cell r="M892">
            <v>3.2873319394332774</v>
          </cell>
          <cell r="N892">
            <v>2.6255104766307822</v>
          </cell>
          <cell r="O892">
            <v>1.2142689356613467</v>
          </cell>
        </row>
        <row r="893">
          <cell r="A893" t="str">
            <v>RHES-SHLFOBR</v>
          </cell>
          <cell r="B893" t="str">
            <v>VAR_fin</v>
          </cell>
          <cell r="C893" t="str">
            <v>RLFO</v>
          </cell>
          <cell r="D893">
            <v>24.201664127122594</v>
          </cell>
          <cell r="E893">
            <v>22.265528917796185</v>
          </cell>
          <cell r="F893">
            <v>23.995360402511324</v>
          </cell>
          <cell r="G893">
            <v>22.06076329295821</v>
          </cell>
          <cell r="H893">
            <v>10.486491213922852</v>
          </cell>
          <cell r="I893">
            <v>4.2213641587532873</v>
          </cell>
          <cell r="J893">
            <v>4.2212219205903017</v>
          </cell>
          <cell r="K893">
            <v>4.2212213955241111</v>
          </cell>
          <cell r="L893">
            <v>4.2212205079760903</v>
          </cell>
          <cell r="M893">
            <v>3.6695798393673758</v>
          </cell>
          <cell r="N893">
            <v>2.9308023925180788</v>
          </cell>
          <cell r="O893">
            <v>1.3554629979475497</v>
          </cell>
        </row>
        <row r="894">
          <cell r="A894" t="str">
            <v>RHES-SHLFOBR</v>
          </cell>
          <cell r="B894" t="str">
            <v>VAR_ncap</v>
          </cell>
          <cell r="C894" t="str">
            <v>-</v>
          </cell>
          <cell r="E894">
            <v>2.3909586813832899E-8</v>
          </cell>
          <cell r="F894">
            <v>1.8762541131453501E-8</v>
          </cell>
          <cell r="G894">
            <v>4.2112097685546402E-8</v>
          </cell>
          <cell r="H894">
            <v>0.30605095462072901</v>
          </cell>
          <cell r="I894">
            <v>1.1011590662926801E-6</v>
          </cell>
          <cell r="J894">
            <v>1.2331193989007001E-6</v>
          </cell>
          <cell r="K894">
            <v>0.306046635319488</v>
          </cell>
          <cell r="L894">
            <v>2.0382733701545998E-3</v>
          </cell>
          <cell r="M894">
            <v>3.3164618782860301E-7</v>
          </cell>
          <cell r="N894">
            <v>0.15830867034297</v>
          </cell>
          <cell r="O894">
            <v>2.73631974801859E-7</v>
          </cell>
        </row>
        <row r="895">
          <cell r="A895" t="str">
            <v>RHES-SHLFOBR</v>
          </cell>
          <cell r="B895" t="str">
            <v>VAR_cap</v>
          </cell>
          <cell r="C895" t="str">
            <v>-</v>
          </cell>
          <cell r="D895">
            <v>1.7515307393373001</v>
          </cell>
          <cell r="E895">
            <v>1.7515305554618121</v>
          </cell>
          <cell r="F895">
            <v>1.7515303690506541</v>
          </cell>
          <cell r="G895">
            <v>1.7515301745596972</v>
          </cell>
          <cell r="H895">
            <v>0.76028318762822833</v>
          </cell>
          <cell r="I895">
            <v>0.30605199992918858</v>
          </cell>
          <cell r="J895">
            <v>0.30605314160147795</v>
          </cell>
          <cell r="K895">
            <v>0.30604886530208675</v>
          </cell>
          <cell r="L895">
            <v>0.30808603702013004</v>
          </cell>
          <cell r="M895">
            <v>0.30808467164249764</v>
          </cell>
          <cell r="N895">
            <v>0.2139084545668625</v>
          </cell>
          <cell r="O895">
            <v>0.15830906083233098</v>
          </cell>
        </row>
        <row r="896">
          <cell r="A896" t="str">
            <v>ITOT-SWHSTG</v>
          </cell>
          <cell r="B896" t="str">
            <v>VAR_fout</v>
          </cell>
          <cell r="C896" t="str">
            <v>ITOT-SWH</v>
          </cell>
          <cell r="D896">
            <v>2.7209021848572752E-6</v>
          </cell>
          <cell r="E896">
            <v>8.0819164831815108E-5</v>
          </cell>
          <cell r="F896">
            <v>9.3122392335641001E-4</v>
          </cell>
          <cell r="G896">
            <v>2.6391104439009785E-4</v>
          </cell>
          <cell r="H896">
            <v>5.2765786247395451E-4</v>
          </cell>
          <cell r="I896">
            <v>3.647520161087949E-3</v>
          </cell>
          <cell r="J896">
            <v>0.51539745629595501</v>
          </cell>
          <cell r="K896">
            <v>1.4830363498199233</v>
          </cell>
          <cell r="L896">
            <v>1.7880182679430343</v>
          </cell>
          <cell r="M896">
            <v>1.5109375296168668</v>
          </cell>
          <cell r="N896">
            <v>1.6385696599443778</v>
          </cell>
          <cell r="O896">
            <v>1.6425092556299159</v>
          </cell>
        </row>
        <row r="897">
          <cell r="A897" t="str">
            <v>ITOT-SWHSTG</v>
          </cell>
          <cell r="B897" t="str">
            <v>VAR_fout</v>
          </cell>
          <cell r="C897" t="str">
            <v>AUX_ITOT-STG_OUT</v>
          </cell>
          <cell r="E897">
            <v>8.0753159694899588E-5</v>
          </cell>
          <cell r="F897">
            <v>9.3003613773988425E-4</v>
          </cell>
          <cell r="G897">
            <v>2.6391104439009834E-4</v>
          </cell>
          <cell r="H897">
            <v>5.2707157596009434E-4</v>
          </cell>
          <cell r="I897">
            <v>3.647520161087952E-3</v>
          </cell>
          <cell r="J897">
            <v>0.51489413846754162</v>
          </cell>
          <cell r="K897">
            <v>1.4830363498199233</v>
          </cell>
          <cell r="L897">
            <v>1.7880182679430348</v>
          </cell>
          <cell r="M897">
            <v>1.5109375296168672</v>
          </cell>
          <cell r="N897">
            <v>1.638569659944378</v>
          </cell>
          <cell r="O897">
            <v>1.6425092556299159</v>
          </cell>
        </row>
        <row r="898">
          <cell r="A898" t="str">
            <v>ITOT-SWHSTG</v>
          </cell>
          <cell r="B898" t="str">
            <v>VAR_fin</v>
          </cell>
          <cell r="C898" t="str">
            <v>AUX_ITOT-STG_IN</v>
          </cell>
          <cell r="D898">
            <v>3.280989394799784E-6</v>
          </cell>
          <cell r="E898">
            <v>9.8320178150758259E-5</v>
          </cell>
          <cell r="F898">
            <v>1.1085999034200834E-3</v>
          </cell>
          <cell r="G898">
            <v>3.0334602938539827E-4</v>
          </cell>
          <cell r="H898">
            <v>5.8628653032795906E-4</v>
          </cell>
          <cell r="I898">
            <v>3.92206469220302E-3</v>
          </cell>
          <cell r="J898">
            <v>0.53687235007209633</v>
          </cell>
          <cell r="K898">
            <v>1.498016514922635</v>
          </cell>
          <cell r="L898">
            <v>1.806079059229051</v>
          </cell>
          <cell r="M898">
            <v>1.526199524566501</v>
          </cell>
          <cell r="N898">
            <v>1.6551208685504739</v>
          </cell>
          <cell r="O898">
            <v>1.6591002591198665</v>
          </cell>
        </row>
        <row r="899">
          <cell r="A899" t="str">
            <v>ITOT-SWHSTG</v>
          </cell>
          <cell r="B899" t="str">
            <v>VAR_fin</v>
          </cell>
          <cell r="C899" t="str">
            <v>ITOT-SWH</v>
          </cell>
          <cell r="D899">
            <v>3.280989394799784E-6</v>
          </cell>
          <cell r="E899">
            <v>9.8320178150758259E-5</v>
          </cell>
          <cell r="F899">
            <v>1.1085999034200834E-3</v>
          </cell>
          <cell r="G899">
            <v>3.0334602938539827E-4</v>
          </cell>
          <cell r="H899">
            <v>5.8628653032795906E-4</v>
          </cell>
          <cell r="I899">
            <v>3.92206469220302E-3</v>
          </cell>
          <cell r="J899">
            <v>0.53687235007209633</v>
          </cell>
          <cell r="K899">
            <v>1.498016514922635</v>
          </cell>
          <cell r="L899">
            <v>1.806079059229051</v>
          </cell>
          <cell r="M899">
            <v>1.526199524566501</v>
          </cell>
          <cell r="N899">
            <v>1.6551208685504739</v>
          </cell>
          <cell r="O899">
            <v>1.6591002591198665</v>
          </cell>
        </row>
        <row r="900">
          <cell r="A900" t="str">
            <v>ITOT-SWHSTG</v>
          </cell>
          <cell r="B900" t="str">
            <v>VAR_ncap</v>
          </cell>
          <cell r="C900" t="str">
            <v>-</v>
          </cell>
          <cell r="D900">
            <v>2.2251704199555001E-4</v>
          </cell>
          <cell r="E900">
            <v>1.12427274683178E-6</v>
          </cell>
          <cell r="F900">
            <v>1.4248598244693201E-6</v>
          </cell>
          <cell r="G900">
            <v>7.6368756984349997E-7</v>
          </cell>
          <cell r="H900">
            <v>3.3227232312169899E-4</v>
          </cell>
          <cell r="I900">
            <v>1.2127375438217201E-3</v>
          </cell>
          <cell r="J900">
            <v>0.156887980818529</v>
          </cell>
          <cell r="K900">
            <v>0.26575887224560002</v>
          </cell>
          <cell r="L900">
            <v>0.14679446137313601</v>
          </cell>
          <cell r="M900">
            <v>9.0526639648544099E-2</v>
          </cell>
          <cell r="N900">
            <v>0.21736640529360499</v>
          </cell>
          <cell r="O900">
            <v>0.173957451924452</v>
          </cell>
        </row>
        <row r="901">
          <cell r="A901" t="str">
            <v>ITOT-SWHSTG</v>
          </cell>
          <cell r="B901" t="str">
            <v>VAR_cap</v>
          </cell>
          <cell r="C901" t="str">
            <v>-</v>
          </cell>
          <cell r="D901">
            <v>2.2251704199555001E-4</v>
          </cell>
          <cell r="E901">
            <v>2.2347524609506137E-4</v>
          </cell>
          <cell r="F901">
            <v>2.246204412046553E-4</v>
          </cell>
          <cell r="G901">
            <v>2.2476396751186297E-4</v>
          </cell>
          <cell r="H901">
            <v>3.9060254640715898E-4</v>
          </cell>
          <cell r="I901">
            <v>1.5449015477941549E-3</v>
          </cell>
          <cell r="J901">
            <v>0.15843161376617623</v>
          </cell>
          <cell r="K901">
            <v>0.42385419857237688</v>
          </cell>
          <cell r="L901">
            <v>0.54882877933661856</v>
          </cell>
          <cell r="M901">
            <v>0.5030690909665938</v>
          </cell>
          <cell r="N901">
            <v>0.45520738041237174</v>
          </cell>
          <cell r="O901">
            <v>0.48184141095950023</v>
          </cell>
        </row>
        <row r="902">
          <cell r="A902" t="str">
            <v>SCOM-SHLFOBR</v>
          </cell>
          <cell r="B902" t="str">
            <v>VAR_fout</v>
          </cell>
          <cell r="C902" t="str">
            <v>CO2_S</v>
          </cell>
          <cell r="D902">
            <v>2229.9139514482999</v>
          </cell>
          <cell r="E902">
            <v>1959.91226120483</v>
          </cell>
          <cell r="F902">
            <v>1847.0912523121001</v>
          </cell>
          <cell r="G902">
            <v>1545.7810182800499</v>
          </cell>
          <cell r="H902">
            <v>1067.8395579072001</v>
          </cell>
          <cell r="I902">
            <v>559.171121074756</v>
          </cell>
          <cell r="J902">
            <v>304.64281143388303</v>
          </cell>
          <cell r="K902">
            <v>64.146703959612694</v>
          </cell>
          <cell r="L902">
            <v>77.5838220291038</v>
          </cell>
          <cell r="M902">
            <v>63.624652438187297</v>
          </cell>
          <cell r="N902">
            <v>63.642138102919603</v>
          </cell>
          <cell r="O902">
            <v>63.6607605566617</v>
          </cell>
        </row>
        <row r="903">
          <cell r="A903" t="str">
            <v>SCOM-SHLFOBR</v>
          </cell>
          <cell r="B903" t="str">
            <v>VAR_fout</v>
          </cell>
          <cell r="C903" t="str">
            <v>SCOM-SHLFO</v>
          </cell>
          <cell r="D903">
            <v>24.843069869076398</v>
          </cell>
          <cell r="E903">
            <v>21.878267330475214</v>
          </cell>
          <cell r="F903">
            <v>20.679982936861091</v>
          </cell>
          <cell r="G903">
            <v>17.391775633213864</v>
          </cell>
          <cell r="H903">
            <v>12.074468448433143</v>
          </cell>
          <cell r="I903">
            <v>6.3542172849404066</v>
          </cell>
          <cell r="J903">
            <v>3.4618501299304869</v>
          </cell>
          <cell r="K903">
            <v>0.72893981772286986</v>
          </cell>
          <cell r="L903">
            <v>0.88163434123981443</v>
          </cell>
          <cell r="M903">
            <v>0.72300741407031044</v>
          </cell>
          <cell r="N903">
            <v>0.72320611480590402</v>
          </cell>
          <cell r="O903">
            <v>0.72341773359842754</v>
          </cell>
        </row>
        <row r="904">
          <cell r="A904" t="str">
            <v>SCOM-SHLFOBR</v>
          </cell>
          <cell r="B904" t="str">
            <v>VAR_fin</v>
          </cell>
          <cell r="C904" t="str">
            <v>SLFO</v>
          </cell>
          <cell r="D904">
            <v>30.256634348009488</v>
          </cell>
          <cell r="E904">
            <v>26.593110735479414</v>
          </cell>
          <cell r="F904">
            <v>25.062296503556279</v>
          </cell>
          <cell r="G904">
            <v>20.973962256174357</v>
          </cell>
          <cell r="H904">
            <v>14.489003499419281</v>
          </cell>
          <cell r="I904">
            <v>7.5871251163467388</v>
          </cell>
          <cell r="J904">
            <v>4.1335523939468546</v>
          </cell>
          <cell r="K904">
            <v>0.8703759017586522</v>
          </cell>
          <cell r="L904">
            <v>1.0526977208833614</v>
          </cell>
          <cell r="M904">
            <v>0.86329243471081873</v>
          </cell>
          <cell r="N904">
            <v>0.8635296893204828</v>
          </cell>
          <cell r="O904">
            <v>0.86378236847573542</v>
          </cell>
        </row>
        <row r="905">
          <cell r="A905" t="str">
            <v>SCOM-SHLFOBR</v>
          </cell>
          <cell r="B905" t="str">
            <v>VAR_ncap</v>
          </cell>
          <cell r="C905" t="str">
            <v>-</v>
          </cell>
          <cell r="D905">
            <v>1.6270431884106101E-7</v>
          </cell>
          <cell r="E905">
            <v>2.3281293346661399E-7</v>
          </cell>
          <cell r="F905">
            <v>9.7133395809017305E-8</v>
          </cell>
          <cell r="G905">
            <v>2.5803933592755197E-7</v>
          </cell>
          <cell r="H905">
            <v>0.43725998341213301</v>
          </cell>
          <cell r="I905">
            <v>5.6037179409591298E-2</v>
          </cell>
          <cell r="J905">
            <v>6.0435557777318797E-7</v>
          </cell>
          <cell r="K905">
            <v>1.91770579260887E-2</v>
          </cell>
          <cell r="L905">
            <v>4.7431627925698799E-2</v>
          </cell>
          <cell r="M905">
            <v>8.6033457501341198E-3</v>
          </cell>
          <cell r="N905">
            <v>3.08172923916838E-2</v>
          </cell>
          <cell r="O905">
            <v>4.4390482730153301E-2</v>
          </cell>
        </row>
        <row r="906">
          <cell r="A906" t="str">
            <v>SCOM-SHLFOBR</v>
          </cell>
          <cell r="B906" t="str">
            <v>VAR_cap</v>
          </cell>
          <cell r="C906" t="str">
            <v>-</v>
          </cell>
          <cell r="D906">
            <v>1.9285738199294389</v>
          </cell>
          <cell r="E906">
            <v>1.9285703960985969</v>
          </cell>
          <cell r="F906">
            <v>1.9285684438624937</v>
          </cell>
          <cell r="G906">
            <v>1.9285642263322571</v>
          </cell>
          <cell r="H906">
            <v>0.93740293427729293</v>
          </cell>
          <cell r="I906">
            <v>0.49329707158241665</v>
          </cell>
          <cell r="J906">
            <v>0.32188858420654998</v>
          </cell>
          <cell r="K906">
            <v>7.5213804860584293E-2</v>
          </cell>
          <cell r="L906">
            <v>7.5212929730861952E-2</v>
          </cell>
          <cell r="M906">
            <v>7.5209235078752198E-2</v>
          </cell>
          <cell r="N906">
            <v>7.5207893574946422E-2</v>
          </cell>
          <cell r="O906">
            <v>7.5207529881655674E-2</v>
          </cell>
        </row>
        <row r="907">
          <cell r="A907" t="str">
            <v>RHNM-SHPLTBR</v>
          </cell>
          <cell r="B907" t="str">
            <v>VAR_fout</v>
          </cell>
          <cell r="C907" t="str">
            <v>RHNM-SHPLT</v>
          </cell>
          <cell r="E907">
            <v>7.3538727039764745E-2</v>
          </cell>
          <cell r="F907">
            <v>7.6573423276890012E-2</v>
          </cell>
          <cell r="G907">
            <v>0.20610326325521008</v>
          </cell>
          <cell r="H907">
            <v>0.32367487515847576</v>
          </cell>
          <cell r="I907">
            <v>0.41953726658023749</v>
          </cell>
          <cell r="J907">
            <v>0.49763860673584592</v>
          </cell>
          <cell r="K907">
            <v>0.56987795319853674</v>
          </cell>
          <cell r="L907">
            <v>0.62317182565589857</v>
          </cell>
          <cell r="M907">
            <v>0.68374176954192323</v>
          </cell>
          <cell r="N907">
            <v>0.68395346530142997</v>
          </cell>
          <cell r="O907">
            <v>0.68395476035138325</v>
          </cell>
        </row>
        <row r="908">
          <cell r="A908" t="str">
            <v>RHNM-SHPLTBR</v>
          </cell>
          <cell r="B908" t="str">
            <v>VAR_fin</v>
          </cell>
          <cell r="C908" t="str">
            <v>RPLT</v>
          </cell>
          <cell r="E908">
            <v>8.1709696710849697E-2</v>
          </cell>
          <cell r="F908">
            <v>8.5081581418766664E-2</v>
          </cell>
          <cell r="G908">
            <v>0.22900362583912245</v>
          </cell>
          <cell r="H908">
            <v>0.35963875017608415</v>
          </cell>
          <cell r="I908">
            <v>0.46615251842248584</v>
          </cell>
          <cell r="J908">
            <v>0.55293178526205133</v>
          </cell>
          <cell r="K908">
            <v>0.63319772577615141</v>
          </cell>
          <cell r="L908">
            <v>0.69241313961766515</v>
          </cell>
          <cell r="M908">
            <v>0.75971307726880322</v>
          </cell>
          <cell r="N908">
            <v>0.75994829477936732</v>
          </cell>
          <cell r="O908">
            <v>0.75994973372375962</v>
          </cell>
        </row>
        <row r="909">
          <cell r="A909" t="str">
            <v>RHNM-SHPLTBR</v>
          </cell>
          <cell r="B909" t="str">
            <v>VAR_fin</v>
          </cell>
          <cell r="C909" t="str">
            <v>RHNMPLTBRC</v>
          </cell>
          <cell r="E909">
            <v>7.3538727039764745E-2</v>
          </cell>
          <cell r="F909">
            <v>7.6573423276890012E-2</v>
          </cell>
          <cell r="G909">
            <v>0.20610326325521008</v>
          </cell>
          <cell r="H909">
            <v>0.32367487515847576</v>
          </cell>
          <cell r="I909">
            <v>0.41953726658023749</v>
          </cell>
          <cell r="J909">
            <v>0.49763860673584592</v>
          </cell>
          <cell r="K909">
            <v>0.56987795319853674</v>
          </cell>
          <cell r="L909">
            <v>0.62317182565589857</v>
          </cell>
          <cell r="M909">
            <v>0.68374176954192323</v>
          </cell>
          <cell r="N909">
            <v>0.68395346530142997</v>
          </cell>
          <cell r="O909">
            <v>0.68395476035138325</v>
          </cell>
        </row>
        <row r="910">
          <cell r="A910" t="str">
            <v>RHNM-SHPLTBR</v>
          </cell>
          <cell r="B910" t="str">
            <v>VAR_ncap</v>
          </cell>
          <cell r="C910" t="str">
            <v>-</v>
          </cell>
          <cell r="E910">
            <v>5.8996300706204603E-3</v>
          </cell>
          <cell r="F910">
            <v>1.33311396986824E-4</v>
          </cell>
          <cell r="G910">
            <v>1.0485178347561699E-2</v>
          </cell>
          <cell r="H910">
            <v>1.15852385412225E-2</v>
          </cell>
          <cell r="I910">
            <v>1.2762447185272899E-2</v>
          </cell>
          <cell r="J910">
            <v>1.4329851978452801E-2</v>
          </cell>
          <cell r="K910">
            <v>1.7575910830472899E-2</v>
          </cell>
          <cell r="L910">
            <v>1.6561612824804402E-2</v>
          </cell>
          <cell r="M910">
            <v>1.9408506281911601E-2</v>
          </cell>
          <cell r="N910">
            <v>1.9271404211335601E-2</v>
          </cell>
          <cell r="O910">
            <v>1.4976496018858801E-2</v>
          </cell>
        </row>
        <row r="911">
          <cell r="A911" t="str">
            <v>RHNM-SHPLTBR</v>
          </cell>
          <cell r="B911" t="str">
            <v>VAR_cap</v>
          </cell>
          <cell r="C911" t="str">
            <v>-</v>
          </cell>
          <cell r="E911">
            <v>5.8996300706204603E-3</v>
          </cell>
          <cell r="F911">
            <v>6.03289915350619E-3</v>
          </cell>
          <cell r="G911">
            <v>1.651792834883465E-2</v>
          </cell>
          <cell r="H911">
            <v>2.5226095868410986E-2</v>
          </cell>
          <cell r="I911">
            <v>3.2865899203612998E-2</v>
          </cell>
          <cell r="J911">
            <v>3.8677434021761568E-2</v>
          </cell>
          <cell r="K911">
            <v>4.4668049000141784E-2</v>
          </cell>
          <cell r="L911">
            <v>4.8529539721391596E-2</v>
          </cell>
          <cell r="M911">
            <v>5.3545839226640808E-2</v>
          </cell>
          <cell r="N911">
            <v>5.3104076754514278E-2</v>
          </cell>
          <cell r="O911">
            <v>5.3656164490990622E-2</v>
          </cell>
        </row>
        <row r="912">
          <cell r="A912" t="str">
            <v>D-RHES_NKEV_GAS_ELC_CHP</v>
          </cell>
          <cell r="B912" t="str">
            <v>VAR_fout</v>
          </cell>
          <cell r="C912" t="str">
            <v>RHES_ELC</v>
          </cell>
          <cell r="D912">
            <v>6.700884619203918E-3</v>
          </cell>
          <cell r="E912">
            <v>6.4309480305941409E-4</v>
          </cell>
          <cell r="F912">
            <v>1.6429171664831663E-3</v>
          </cell>
          <cell r="G912">
            <v>1.1613860532027685E-3</v>
          </cell>
          <cell r="H912">
            <v>1.1008443189397038E-3</v>
          </cell>
          <cell r="I912">
            <v>8.3835700169293602E-4</v>
          </cell>
          <cell r="L912">
            <v>5.403863982920865E-4</v>
          </cell>
          <cell r="M912">
            <v>8.8471810300205192E-4</v>
          </cell>
          <cell r="N912">
            <v>9.1493387103725832E-4</v>
          </cell>
          <cell r="O912">
            <v>1.0415675024070966E-3</v>
          </cell>
        </row>
        <row r="913">
          <cell r="A913" t="str">
            <v>D-RHES_NKEV_GAS_ELC_CHP</v>
          </cell>
          <cell r="B913" t="str">
            <v>VAR_fout</v>
          </cell>
          <cell r="C913" t="str">
            <v>ELC5</v>
          </cell>
          <cell r="D913">
            <v>6.4987048394866669E-3</v>
          </cell>
          <cell r="E913">
            <v>6.4316350474356236E-4</v>
          </cell>
          <cell r="F913">
            <v>1.6434380161606755E-3</v>
          </cell>
          <cell r="G913">
            <v>1.1617112628795729E-3</v>
          </cell>
          <cell r="H913">
            <v>1.1011754443879082E-3</v>
          </cell>
          <cell r="I913">
            <v>8.3868733346481692E-4</v>
          </cell>
          <cell r="L913">
            <v>5.4025807376332721E-4</v>
          </cell>
          <cell r="M913">
            <v>8.842652426582782E-4</v>
          </cell>
          <cell r="N913">
            <v>9.145512413905563E-4</v>
          </cell>
          <cell r="O913">
            <v>1.0407651644303887E-3</v>
          </cell>
        </row>
        <row r="914">
          <cell r="A914" t="str">
            <v>D-RHES_NKEV_GAS_ELC_CHP</v>
          </cell>
          <cell r="B914" t="str">
            <v>VAR_fin</v>
          </cell>
          <cell r="C914" t="str">
            <v>RHES_NKEV_GAS_ELC_CHP</v>
          </cell>
          <cell r="D914">
            <v>1.3199589458690583E-2</v>
          </cell>
          <cell r="E914">
            <v>1.2862583078029764E-3</v>
          </cell>
          <cell r="F914">
            <v>3.2849703110285826E-3</v>
          </cell>
          <cell r="G914">
            <v>2.3221826398792714E-3</v>
          </cell>
          <cell r="H914">
            <v>2.2006215940642607E-3</v>
          </cell>
          <cell r="I914">
            <v>1.6742735209129248E-3</v>
          </cell>
          <cell r="L914">
            <v>1.0806444720554132E-3</v>
          </cell>
          <cell r="M914">
            <v>1.7689833456603305E-3</v>
          </cell>
          <cell r="N914">
            <v>1.829485112427813E-3</v>
          </cell>
          <cell r="O914">
            <v>2.0823326668374855E-3</v>
          </cell>
        </row>
        <row r="915">
          <cell r="A915" t="str">
            <v>SCOM-SHSTG-SOL</v>
          </cell>
          <cell r="B915" t="str">
            <v>VAR_fout</v>
          </cell>
          <cell r="C915" t="str">
            <v>SCOM-SHASOL</v>
          </cell>
          <cell r="D915">
            <v>9.3259326845037664E-6</v>
          </cell>
          <cell r="E915">
            <v>9.035911979222018E-6</v>
          </cell>
          <cell r="F915">
            <v>1.3087922294406098E-3</v>
          </cell>
          <cell r="G915">
            <v>6.6832116713018083E-4</v>
          </cell>
          <cell r="H915">
            <v>5.762933077430853E-3</v>
          </cell>
          <cell r="I915">
            <v>7.8480420916720514E-2</v>
          </cell>
          <cell r="J915">
            <v>3.0027137781888587</v>
          </cell>
          <cell r="K915">
            <v>0.48062512764502918</v>
          </cell>
          <cell r="L915">
            <v>6.1464226422832174E-3</v>
          </cell>
          <cell r="M915">
            <v>0.12692586655981056</v>
          </cell>
          <cell r="N915">
            <v>0.31815259255846806</v>
          </cell>
          <cell r="O915">
            <v>2.3694806300507985</v>
          </cell>
        </row>
        <row r="916">
          <cell r="A916" t="str">
            <v>SCOM-SHSTG-SOL</v>
          </cell>
          <cell r="B916" t="str">
            <v>VAR_fin</v>
          </cell>
          <cell r="C916" t="str">
            <v>SCOM-SHASOL</v>
          </cell>
          <cell r="D916">
            <v>8.202856249145914E-6</v>
          </cell>
          <cell r="E916">
            <v>8.3920908466853993E-6</v>
          </cell>
          <cell r="F916">
            <v>1.692137371724416E-3</v>
          </cell>
          <cell r="G916">
            <v>8.3758914468862449E-4</v>
          </cell>
          <cell r="H916">
            <v>6.9964280908253297E-3</v>
          </cell>
          <cell r="I916">
            <v>9.2347201507103349E-2</v>
          </cell>
          <cell r="J916">
            <v>3.4316914462655554</v>
          </cell>
          <cell r="K916">
            <v>0.53404577382066976</v>
          </cell>
          <cell r="L916">
            <v>6.8434597093238476E-3</v>
          </cell>
          <cell r="M916">
            <v>0.14105374960841127</v>
          </cell>
          <cell r="N916">
            <v>0.35353756241007084</v>
          </cell>
          <cell r="O916">
            <v>2.6327910412383861</v>
          </cell>
        </row>
        <row r="917">
          <cell r="A917" t="str">
            <v>SCOM-SHSTG-SOL</v>
          </cell>
          <cell r="B917" t="str">
            <v>VAR_ncap</v>
          </cell>
          <cell r="C917" t="str">
            <v>-</v>
          </cell>
          <cell r="D917">
            <v>2.61994946486386E-3</v>
          </cell>
          <cell r="E917">
            <v>2.08667301044216E-2</v>
          </cell>
          <cell r="F917">
            <v>1.1057702318042099E-6</v>
          </cell>
          <cell r="G917">
            <v>2.8836482584978102E-4</v>
          </cell>
          <cell r="H917">
            <v>4.5599917126486998E-2</v>
          </cell>
          <cell r="I917">
            <v>6.6976379884639795E-2</v>
          </cell>
          <cell r="J917">
            <v>5.5634828139346599E-3</v>
          </cell>
          <cell r="K917">
            <v>4.5601682786038301E-2</v>
          </cell>
          <cell r="L917">
            <v>5.74248383049802E-2</v>
          </cell>
          <cell r="M917">
            <v>1.51134681385287E-2</v>
          </cell>
          <cell r="N917">
            <v>5.5732501059002397E-2</v>
          </cell>
          <cell r="O917">
            <v>4.7288006860417099E-2</v>
          </cell>
        </row>
        <row r="918">
          <cell r="A918" t="str">
            <v>SCOM-SHSTG-SOL</v>
          </cell>
          <cell r="B918" t="str">
            <v>VAR_cap</v>
          </cell>
          <cell r="C918" t="str">
            <v>-</v>
          </cell>
          <cell r="D918">
            <v>2.61994946486386E-3</v>
          </cell>
          <cell r="E918">
            <v>2.3486679569285501E-2</v>
          </cell>
          <cell r="F918">
            <v>2.34877853395173E-2</v>
          </cell>
          <cell r="G918">
            <v>2.3776150165367101E-2</v>
          </cell>
          <cell r="H918">
            <v>5.7259770818672298E-2</v>
          </cell>
          <cell r="I918">
            <v>0.11281003354286399</v>
          </cell>
          <cell r="J918">
            <v>0.11813977982506201</v>
          </cell>
          <cell r="K918">
            <v>0.118141545484613</v>
          </cell>
          <cell r="L918">
            <v>0.118144061757954</v>
          </cell>
          <cell r="M918">
            <v>0.11813998922954699</v>
          </cell>
          <cell r="N918">
            <v>0.118143405353033</v>
          </cell>
          <cell r="O918">
            <v>0.118133976057948</v>
          </cell>
        </row>
        <row r="919">
          <cell r="A919" t="str">
            <v>RHNM-SHELCBRA</v>
          </cell>
          <cell r="B919" t="str">
            <v>VAR_fout</v>
          </cell>
          <cell r="C919" t="str">
            <v>RHNM-SHELCB</v>
          </cell>
          <cell r="E919">
            <v>0.15438621287208193</v>
          </cell>
          <cell r="F919">
            <v>0.15094754858299475</v>
          </cell>
          <cell r="G919">
            <v>2.9582422592651114E-3</v>
          </cell>
          <cell r="H919">
            <v>2.8282397554188038E-4</v>
          </cell>
          <cell r="I919">
            <v>1.77112984417936E-4</v>
          </cell>
          <cell r="J919">
            <v>2.6466505469257184E-4</v>
          </cell>
          <cell r="K919">
            <v>3.0387962309100881E-4</v>
          </cell>
          <cell r="L919">
            <v>2.8391371203437412E-4</v>
          </cell>
          <cell r="M919">
            <v>8.628414270492181E-2</v>
          </cell>
          <cell r="N919">
            <v>4.273976962769721E-4</v>
          </cell>
          <cell r="O919">
            <v>7.3650648830328696E-4</v>
          </cell>
        </row>
        <row r="920">
          <cell r="A920" t="str">
            <v>RHNM-SHELCBRA</v>
          </cell>
          <cell r="B920" t="str">
            <v>VAR_fin</v>
          </cell>
          <cell r="C920" t="str">
            <v>RHNM-SHAELCB</v>
          </cell>
          <cell r="E920">
            <v>0.15438621287208193</v>
          </cell>
          <cell r="F920">
            <v>0.15094754858299475</v>
          </cell>
          <cell r="G920">
            <v>2.9582422592651114E-3</v>
          </cell>
          <cell r="H920">
            <v>2.8282397554188038E-4</v>
          </cell>
          <cell r="I920">
            <v>1.77112984417936E-4</v>
          </cell>
          <cell r="J920">
            <v>2.6466505469257184E-4</v>
          </cell>
          <cell r="K920">
            <v>3.0387962309100881E-4</v>
          </cell>
          <cell r="L920">
            <v>2.8391371203437412E-4</v>
          </cell>
          <cell r="M920">
            <v>8.628414270492181E-2</v>
          </cell>
          <cell r="N920">
            <v>4.273976962769721E-4</v>
          </cell>
          <cell r="O920">
            <v>7.3650648830328696E-4</v>
          </cell>
        </row>
        <row r="921">
          <cell r="A921" t="str">
            <v>RHNM-SHELCBRA</v>
          </cell>
          <cell r="B921" t="str">
            <v>VAR_ncap</v>
          </cell>
          <cell r="C921" t="str">
            <v>-</v>
          </cell>
          <cell r="E921">
            <v>1.2393630271598E-2</v>
          </cell>
          <cell r="H921">
            <v>2.9735814468967902E-5</v>
          </cell>
          <cell r="J921">
            <v>3.9146195368659097E-5</v>
          </cell>
          <cell r="L921">
            <v>3.3258637877810203E-5</v>
          </cell>
          <cell r="M921">
            <v>7.3634343072645301E-3</v>
          </cell>
          <cell r="N921">
            <v>1.9157202083488001E-5</v>
          </cell>
          <cell r="O921">
            <v>6.9812054359792196E-5</v>
          </cell>
        </row>
        <row r="922">
          <cell r="A922" t="str">
            <v>RHNM-SHELCBRA</v>
          </cell>
          <cell r="B922" t="str">
            <v>VAR_cap</v>
          </cell>
          <cell r="C922" t="str">
            <v>-</v>
          </cell>
          <cell r="E922">
            <v>1.2393630271598E-2</v>
          </cell>
          <cell r="F922">
            <v>1.2393345478955741E-2</v>
          </cell>
          <cell r="G922">
            <v>4.2127716464330014E-4</v>
          </cell>
          <cell r="H922">
            <v>4.0636082622870495E-5</v>
          </cell>
          <cell r="I922">
            <v>2.4743192789496563E-5</v>
          </cell>
          <cell r="J922">
            <v>3.9227827747017199E-5</v>
          </cell>
          <cell r="K922">
            <v>3.9051804112092785E-5</v>
          </cell>
          <cell r="L922">
            <v>4.0773788249768E-5</v>
          </cell>
          <cell r="M922">
            <v>7.3913753063851962E-3</v>
          </cell>
          <cell r="N922">
            <v>6.2248532962130149E-5</v>
          </cell>
          <cell r="O922">
            <v>1.0597906209624045E-4</v>
          </cell>
        </row>
        <row r="923">
          <cell r="A923" t="str">
            <v>RHNM-SHSTG-SOL</v>
          </cell>
          <cell r="B923" t="str">
            <v>VAR_fout</v>
          </cell>
          <cell r="C923" t="str">
            <v>RHNM-SHASOL</v>
          </cell>
          <cell r="E923">
            <v>6.7084178635329117E-6</v>
          </cell>
          <cell r="F923">
            <v>4.6585329128045541E-3</v>
          </cell>
          <cell r="G923">
            <v>5.0601815146853694E-3</v>
          </cell>
          <cell r="H923">
            <v>2.6595300875583913E-3</v>
          </cell>
          <cell r="I923">
            <v>3.8289286308446134E-4</v>
          </cell>
          <cell r="J923">
            <v>2.0425064009315443E-4</v>
          </cell>
          <cell r="K923">
            <v>1.7832579301121159E-4</v>
          </cell>
          <cell r="L923">
            <v>1.1741379656752849E-4</v>
          </cell>
          <cell r="M923">
            <v>3.6471373140668953E-3</v>
          </cell>
          <cell r="N923">
            <v>1.7717724854222498E-4</v>
          </cell>
          <cell r="O923">
            <v>1.9245266118819997E-4</v>
          </cell>
        </row>
        <row r="924">
          <cell r="A924" t="str">
            <v>RHNM-SHSTG-SOL</v>
          </cell>
          <cell r="B924" t="str">
            <v>VAR_fin</v>
          </cell>
          <cell r="C924" t="str">
            <v>RHNM-SHASOL</v>
          </cell>
          <cell r="E924">
            <v>2.0540760351077002E-7</v>
          </cell>
          <cell r="F924">
            <v>4.6518303630793591E-3</v>
          </cell>
          <cell r="G924">
            <v>5.0540436454092298E-3</v>
          </cell>
          <cell r="H924">
            <v>2.6554632738938224E-3</v>
          </cell>
          <cell r="I924">
            <v>3.7947428810236779E-4</v>
          </cell>
          <cell r="J924">
            <v>1.9719372938692173E-4</v>
          </cell>
          <cell r="K924">
            <v>1.6942718202953531E-4</v>
          </cell>
          <cell r="L924">
            <v>1.137825452379903E-4</v>
          </cell>
          <cell r="M924">
            <v>3.6371617666905716E-3</v>
          </cell>
          <cell r="N924">
            <v>1.7210558405168248E-4</v>
          </cell>
          <cell r="O924">
            <v>1.8353588186031562E-4</v>
          </cell>
        </row>
        <row r="925">
          <cell r="A925" t="str">
            <v>RHNM-SHSTG-SOL</v>
          </cell>
          <cell r="B925" t="str">
            <v>VAR_ncap</v>
          </cell>
          <cell r="C925" t="str">
            <v>-</v>
          </cell>
          <cell r="D925">
            <v>3.2440162694890898E-7</v>
          </cell>
          <cell r="E925">
            <v>7.0889839973663205E-4</v>
          </cell>
          <cell r="F925">
            <v>5.1126569087192904E-6</v>
          </cell>
          <cell r="G925">
            <v>4.2330015929720003E-5</v>
          </cell>
          <cell r="H925">
            <v>2.85639840918245E-5</v>
          </cell>
          <cell r="I925">
            <v>2.3044757512019E-6</v>
          </cell>
          <cell r="J925">
            <v>7.6651123400467299E-6</v>
          </cell>
          <cell r="K925">
            <v>3.8712672801043201E-5</v>
          </cell>
          <cell r="L925">
            <v>3.8538676173202301E-7</v>
          </cell>
          <cell r="M925">
            <v>5.1360175236153302E-4</v>
          </cell>
          <cell r="N925">
            <v>3.19725975991197E-6</v>
          </cell>
          <cell r="O925">
            <v>6.77785760875847E-8</v>
          </cell>
        </row>
        <row r="926">
          <cell r="A926" t="str">
            <v>RHNM-SHSTG-SOL</v>
          </cell>
          <cell r="B926" t="str">
            <v>VAR_cap</v>
          </cell>
          <cell r="C926" t="str">
            <v>-</v>
          </cell>
          <cell r="D926">
            <v>3.2440162694890898E-7</v>
          </cell>
          <cell r="E926">
            <v>7.0922280136358098E-4</v>
          </cell>
          <cell r="F926">
            <v>7.1433545827229996E-4</v>
          </cell>
          <cell r="G926">
            <v>7.5666547420202E-4</v>
          </cell>
          <cell r="H926">
            <v>4.39290484582603E-4</v>
          </cell>
          <cell r="I926">
            <v>6.6218965479521901E-5</v>
          </cell>
          <cell r="J926">
            <v>3.8533572183073198E-5</v>
          </cell>
          <cell r="K926">
            <v>4.86822608922919E-5</v>
          </cell>
          <cell r="L926">
            <v>4.6101671655358797E-5</v>
          </cell>
          <cell r="M926">
            <v>5.5269981192430798E-4</v>
          </cell>
          <cell r="N926">
            <v>5.23919089064728E-4</v>
          </cell>
          <cell r="O926">
            <v>5.16866790697533E-4</v>
          </cell>
        </row>
        <row r="927">
          <cell r="A927" t="str">
            <v>RHNS-SHELCHP</v>
          </cell>
          <cell r="B927" t="str">
            <v>VAR_fout</v>
          </cell>
          <cell r="C927" t="str">
            <v>RHNS-SHAELCH</v>
          </cell>
          <cell r="E927">
            <v>0.24152635371736875</v>
          </cell>
          <cell r="F927">
            <v>0.74120185762741508</v>
          </cell>
          <cell r="G927">
            <v>1.6143529173334561</v>
          </cell>
          <cell r="H927">
            <v>2.1579562912945653</v>
          </cell>
          <cell r="I927">
            <v>2.1579605673105107</v>
          </cell>
          <cell r="J927">
            <v>2.8503387355297645</v>
          </cell>
          <cell r="K927">
            <v>3.4885872315530451</v>
          </cell>
          <cell r="L927">
            <v>4.1849833956608649</v>
          </cell>
          <cell r="M927">
            <v>4.2616932700403458</v>
          </cell>
          <cell r="N927">
            <v>4.2616998377829045</v>
          </cell>
          <cell r="O927">
            <v>4.2617103467602808</v>
          </cell>
        </row>
        <row r="928">
          <cell r="A928" t="str">
            <v>RHNS-SHELCHP</v>
          </cell>
          <cell r="B928" t="str">
            <v>VAR_fin</v>
          </cell>
          <cell r="C928" t="str">
            <v>RHNS_ELC</v>
          </cell>
          <cell r="E928">
            <v>7.423965790492891E-2</v>
          </cell>
          <cell r="F928">
            <v>0.22236055728822454</v>
          </cell>
          <cell r="G928">
            <v>0.46567872615388095</v>
          </cell>
          <cell r="H928">
            <v>0.60222036036127347</v>
          </cell>
          <cell r="I928">
            <v>0.58323258575959691</v>
          </cell>
          <cell r="J928">
            <v>0.75008914092888579</v>
          </cell>
          <cell r="K928">
            <v>0.89450954655206338</v>
          </cell>
          <cell r="L928">
            <v>1.0730726655540679</v>
          </cell>
          <cell r="M928">
            <v>1.0927418641129101</v>
          </cell>
          <cell r="N928">
            <v>1.0927435481494632</v>
          </cell>
          <cell r="O928">
            <v>1.0927462427590451</v>
          </cell>
        </row>
        <row r="929">
          <cell r="A929" t="str">
            <v>RHNS-SHELCHP</v>
          </cell>
          <cell r="B929" t="str">
            <v>VAR_fin</v>
          </cell>
          <cell r="C929" t="str">
            <v>RHNSELCHPC</v>
          </cell>
          <cell r="E929">
            <v>0.24152635371736875</v>
          </cell>
          <cell r="F929">
            <v>0.74120185762741508</v>
          </cell>
          <cell r="G929">
            <v>1.6143529173334561</v>
          </cell>
          <cell r="H929">
            <v>2.1579562912945653</v>
          </cell>
          <cell r="I929">
            <v>2.1579605673105107</v>
          </cell>
          <cell r="J929">
            <v>2.8503387355297645</v>
          </cell>
          <cell r="K929">
            <v>3.4885872315530451</v>
          </cell>
          <cell r="L929">
            <v>4.1849833956608649</v>
          </cell>
          <cell r="M929">
            <v>4.2616932700403458</v>
          </cell>
          <cell r="N929">
            <v>4.2616998377829045</v>
          </cell>
          <cell r="O929">
            <v>4.2617103467602808</v>
          </cell>
        </row>
        <row r="930">
          <cell r="A930" t="str">
            <v>RHNS-SHELCHP</v>
          </cell>
          <cell r="B930" t="str">
            <v>VAR_ncap</v>
          </cell>
          <cell r="C930" t="str">
            <v>-</v>
          </cell>
          <cell r="E930">
            <v>1.7650925505787E-2</v>
          </cell>
          <cell r="F930">
            <v>3.6512302112689202E-2</v>
          </cell>
          <cell r="G930">
            <v>6.4208479780344593E-2</v>
          </cell>
          <cell r="H930">
            <v>4.7681185311004702E-2</v>
          </cell>
          <cell r="I930">
            <v>4.9970415963809897E-2</v>
          </cell>
          <cell r="J930">
            <v>0.10999369367692099</v>
          </cell>
          <cell r="K930">
            <v>9.4760197350972006E-2</v>
          </cell>
          <cell r="L930">
            <v>0.107149904151496</v>
          </cell>
          <cell r="M930">
            <v>0.108555668793787</v>
          </cell>
          <cell r="N930">
            <v>0.11194266697724201</v>
          </cell>
          <cell r="O930">
            <v>8.9979949683024293E-2</v>
          </cell>
        </row>
        <row r="931">
          <cell r="A931" t="str">
            <v>RHNS-SHELCHP</v>
          </cell>
          <cell r="B931" t="str">
            <v>VAR_cap</v>
          </cell>
          <cell r="C931" t="str">
            <v>-</v>
          </cell>
          <cell r="E931">
            <v>1.7650925505787E-2</v>
          </cell>
          <cell r="F931">
            <v>5.4163201715951355E-2</v>
          </cell>
          <cell r="G931">
            <v>0.11837160944942196</v>
          </cell>
          <cell r="H931">
            <v>0.15744514151333294</v>
          </cell>
          <cell r="I931">
            <v>0.15731195076756288</v>
          </cell>
          <cell r="J931">
            <v>0.20764522864827689</v>
          </cell>
          <cell r="K931">
            <v>0.25472419503198052</v>
          </cell>
          <cell r="L931">
            <v>0.30500819711963811</v>
          </cell>
          <cell r="M931">
            <v>0.31046565351793753</v>
          </cell>
          <cell r="N931">
            <v>0.31046420013441722</v>
          </cell>
          <cell r="O931">
            <v>0.31047817622846163</v>
          </cell>
        </row>
        <row r="932">
          <cell r="A932" t="str">
            <v>SCOM-SHBIOBR</v>
          </cell>
          <cell r="B932" t="str">
            <v>VAR_fout</v>
          </cell>
          <cell r="C932" t="str">
            <v>SCOM-SHBIO</v>
          </cell>
          <cell r="D932">
            <v>1.2230665123312627</v>
          </cell>
          <cell r="E932">
            <v>1.3407663425898715</v>
          </cell>
          <cell r="F932">
            <v>1.3574540537002115</v>
          </cell>
          <cell r="G932">
            <v>1.3484800375529322</v>
          </cell>
          <cell r="H932">
            <v>2.7274805957272514</v>
          </cell>
          <cell r="I932">
            <v>3.7988932606649373</v>
          </cell>
          <cell r="J932">
            <v>7.0640711737362256</v>
          </cell>
          <cell r="K932">
            <v>10.562685565352295</v>
          </cell>
          <cell r="L932">
            <v>11.735776000713228</v>
          </cell>
          <cell r="M932">
            <v>14.327003892784152</v>
          </cell>
          <cell r="N932">
            <v>16.071736485779844</v>
          </cell>
          <cell r="O932">
            <v>15.944217201689815</v>
          </cell>
        </row>
        <row r="933">
          <cell r="A933" t="str">
            <v>SCOM-SHBIOBR</v>
          </cell>
          <cell r="B933" t="str">
            <v>VAR_fin</v>
          </cell>
          <cell r="C933" t="str">
            <v>SBIO</v>
          </cell>
          <cell r="D933">
            <v>1.4022775880890419</v>
          </cell>
          <cell r="E933">
            <v>1.5372235067528914</v>
          </cell>
          <cell r="F933">
            <v>1.5563564018576146</v>
          </cell>
          <cell r="G933">
            <v>1.5460674587857517</v>
          </cell>
          <cell r="H933">
            <v>3.1271274887952898</v>
          </cell>
          <cell r="I933">
            <v>4.3555299938832128</v>
          </cell>
          <cell r="J933">
            <v>8.0991414511995234</v>
          </cell>
          <cell r="K933">
            <v>12.11039390661807</v>
          </cell>
          <cell r="L933">
            <v>13.455372621776249</v>
          </cell>
          <cell r="M933">
            <v>16.426282839697503</v>
          </cell>
          <cell r="N933">
            <v>18.426664166223155</v>
          </cell>
          <cell r="O933">
            <v>18.280459988179075</v>
          </cell>
        </row>
        <row r="934">
          <cell r="A934" t="str">
            <v>SCOM-SHBIOBR</v>
          </cell>
          <cell r="B934" t="str">
            <v>VAR_ncap</v>
          </cell>
          <cell r="C934" t="str">
            <v>-</v>
          </cell>
          <cell r="D934">
            <v>5.2244669444042796E-7</v>
          </cell>
          <cell r="E934">
            <v>1.74160805101253E-6</v>
          </cell>
          <cell r="F934">
            <v>1.08379597114053E-6</v>
          </cell>
          <cell r="G934">
            <v>5.8850380130894201E-7</v>
          </cell>
          <cell r="H934">
            <v>0.18643973804977801</v>
          </cell>
          <cell r="I934">
            <v>0.185957309181215</v>
          </cell>
          <cell r="J934">
            <v>0.17605749404739901</v>
          </cell>
          <cell r="K934">
            <v>0.55142967876024296</v>
          </cell>
          <cell r="L934">
            <v>0.19186966176668199</v>
          </cell>
          <cell r="M934">
            <v>0.40240923285489499</v>
          </cell>
          <cell r="N934">
            <v>0.684829505618895</v>
          </cell>
          <cell r="O934">
            <v>0.16098453970138801</v>
          </cell>
        </row>
        <row r="935">
          <cell r="A935" t="str">
            <v>SCOM-SHBIOBR</v>
          </cell>
          <cell r="B935" t="str">
            <v>VAR_cap</v>
          </cell>
          <cell r="C935" t="str">
            <v>-</v>
          </cell>
          <cell r="D935">
            <v>0.10534144791537044</v>
          </cell>
          <cell r="E935">
            <v>0.10534306142355683</v>
          </cell>
          <cell r="F935">
            <v>0.10534391901124379</v>
          </cell>
          <cell r="G935">
            <v>0.10534364481498898</v>
          </cell>
          <cell r="H935">
            <v>0.21375966346220154</v>
          </cell>
          <cell r="I935">
            <v>0.37239724269559149</v>
          </cell>
          <cell r="J935">
            <v>0.54845398775630216</v>
          </cell>
          <cell r="K935">
            <v>0.91344350341667702</v>
          </cell>
          <cell r="L935">
            <v>0.92460205439851306</v>
          </cell>
          <cell r="M935">
            <v>1.1457075300566202</v>
          </cell>
          <cell r="N935">
            <v>1.3159518135861228</v>
          </cell>
          <cell r="O935">
            <v>1.2482221489854943</v>
          </cell>
        </row>
        <row r="936">
          <cell r="A936" t="str">
            <v>RHES-SHDEM</v>
          </cell>
          <cell r="B936" t="str">
            <v>VAR_fout</v>
          </cell>
          <cell r="C936" t="str">
            <v>RHES-SHD</v>
          </cell>
          <cell r="D936">
            <v>62.024837503894084</v>
          </cell>
          <cell r="E936">
            <v>67.866381410603879</v>
          </cell>
          <cell r="F936">
            <v>67.456507908702321</v>
          </cell>
          <cell r="G936">
            <v>65.34780028529029</v>
          </cell>
          <cell r="H936">
            <v>63.380042938307113</v>
          </cell>
          <cell r="I936">
            <v>61.449396495974291</v>
          </cell>
          <cell r="J936">
            <v>58.734506295310204</v>
          </cell>
          <cell r="K936">
            <v>56.922019181367041</v>
          </cell>
          <cell r="L936">
            <v>53.95611854754641</v>
          </cell>
          <cell r="M936">
            <v>51.589362118406228</v>
          </cell>
          <cell r="N936">
            <v>51.60538614764009</v>
          </cell>
          <cell r="O936">
            <v>45.506498024766202</v>
          </cell>
        </row>
        <row r="937">
          <cell r="A937" t="str">
            <v>RHES-SHDEM</v>
          </cell>
          <cell r="B937" t="str">
            <v>VAR_fin</v>
          </cell>
          <cell r="C937" t="str">
            <v>RHES-SHPLT</v>
          </cell>
          <cell r="D937">
            <v>1.2851797125178315</v>
          </cell>
          <cell r="E937">
            <v>1.4868720186152318</v>
          </cell>
          <cell r="F937">
            <v>1.4813082551117531</v>
          </cell>
          <cell r="G937">
            <v>1.4863151320177981</v>
          </cell>
          <cell r="H937">
            <v>1.4778414673109719</v>
          </cell>
          <cell r="I937">
            <v>1.4855439534893444</v>
          </cell>
          <cell r="J937">
            <v>1.4812898512117463</v>
          </cell>
          <cell r="K937">
            <v>1.4867717233737638</v>
          </cell>
          <cell r="L937">
            <v>1.4867927126806526</v>
          </cell>
          <cell r="M937">
            <v>1.4866320880089372</v>
          </cell>
          <cell r="N937">
            <v>1.4860100289277203</v>
          </cell>
          <cell r="O937">
            <v>1.4784081785719485</v>
          </cell>
        </row>
        <row r="938">
          <cell r="A938" t="str">
            <v>RHES-SHDEM</v>
          </cell>
          <cell r="B938" t="str">
            <v>VAR_fin</v>
          </cell>
          <cell r="C938" t="str">
            <v>RHES-SHLTHC-NGA</v>
          </cell>
          <cell r="D938">
            <v>5.8530581392414849E-2</v>
          </cell>
          <cell r="E938">
            <v>9.683251792067317E-5</v>
          </cell>
          <cell r="F938">
            <v>9.8135600590692623E-3</v>
          </cell>
          <cell r="G938">
            <v>4.6930855567664867E-3</v>
          </cell>
          <cell r="H938">
            <v>1.6580851669437326E-2</v>
          </cell>
          <cell r="I938">
            <v>5.5547016997712891E-3</v>
          </cell>
          <cell r="J938">
            <v>5.3472878101662492E-3</v>
          </cell>
          <cell r="K938">
            <v>3.0110329659397868E-5</v>
          </cell>
          <cell r="L938">
            <v>1.9967995877582597E-3</v>
          </cell>
          <cell r="M938">
            <v>3.1941523338794224E-3</v>
          </cell>
          <cell r="N938">
            <v>3.9180194394826794E-3</v>
          </cell>
          <cell r="O938">
            <v>9.9547201383522986E-3</v>
          </cell>
        </row>
        <row r="939">
          <cell r="A939" t="str">
            <v>RHES-SHDEM</v>
          </cell>
          <cell r="B939" t="str">
            <v>VAR_fin</v>
          </cell>
          <cell r="C939" t="str">
            <v>RHES-SHSOL</v>
          </cell>
          <cell r="D939">
            <v>0.3697321186604835</v>
          </cell>
          <cell r="E939">
            <v>0.43546956269647463</v>
          </cell>
          <cell r="F939">
            <v>0.43578308134542471</v>
          </cell>
          <cell r="G939">
            <v>0.3436397698230968</v>
          </cell>
          <cell r="H939">
            <v>0.38346628125976162</v>
          </cell>
          <cell r="I939">
            <v>0.36499593623035426</v>
          </cell>
          <cell r="J939">
            <v>0.35415506010702158</v>
          </cell>
          <cell r="K939">
            <v>0.76648845855754244</v>
          </cell>
          <cell r="L939">
            <v>0.78797600725587957</v>
          </cell>
          <cell r="M939">
            <v>0.71914850852426149</v>
          </cell>
          <cell r="N939">
            <v>0.74364585002858152</v>
          </cell>
          <cell r="O939">
            <v>0.66485635836916313</v>
          </cell>
        </row>
        <row r="940">
          <cell r="A940" t="str">
            <v>RHES-SHDEM</v>
          </cell>
          <cell r="B940" t="str">
            <v>VAR_fin</v>
          </cell>
          <cell r="C940" t="str">
            <v>RHES-SHLTHC-WOD</v>
          </cell>
          <cell r="D940">
            <v>1.4437743288944692E-4</v>
          </cell>
          <cell r="F940">
            <v>1.9826066489980741E-3</v>
          </cell>
          <cell r="G940">
            <v>7.1186054884310522E-4</v>
          </cell>
          <cell r="H940">
            <v>1.3692580697353039E-2</v>
          </cell>
          <cell r="I940">
            <v>3.1751121687051023E-3</v>
          </cell>
          <cell r="J940">
            <v>2.5986254906406662E-2</v>
          </cell>
          <cell r="K940">
            <v>4.2873447616940813E-3</v>
          </cell>
          <cell r="L940">
            <v>3.1966597530912917E-3</v>
          </cell>
          <cell r="M940">
            <v>1.8936220375162958E-3</v>
          </cell>
          <cell r="N940">
            <v>2.5663177045545144E-3</v>
          </cell>
          <cell r="O940">
            <v>9.0803196913584183E-3</v>
          </cell>
        </row>
        <row r="941">
          <cell r="A941" t="str">
            <v>RHES-SHDEM</v>
          </cell>
          <cell r="B941" t="str">
            <v>VAR_fin</v>
          </cell>
          <cell r="C941" t="str">
            <v>RHES-SHNGA</v>
          </cell>
          <cell r="D941">
            <v>17.531708357351746</v>
          </cell>
          <cell r="E941">
            <v>20.466372189233045</v>
          </cell>
          <cell r="F941">
            <v>18.584547932079946</v>
          </cell>
          <cell r="G941">
            <v>18.59011183207593</v>
          </cell>
          <cell r="H941">
            <v>18.576731059592124</v>
          </cell>
          <cell r="I941">
            <v>15.574627192227231</v>
          </cell>
          <cell r="J941">
            <v>10.193077998331395</v>
          </cell>
          <cell r="K941">
            <v>3.2155387180391584</v>
          </cell>
          <cell r="L941">
            <v>0.75328480508263995</v>
          </cell>
          <cell r="M941">
            <v>2.2024421137856968E-2</v>
          </cell>
          <cell r="N941">
            <v>2.1997041642879044E-2</v>
          </cell>
          <cell r="O941">
            <v>7.9354847480639212E-3</v>
          </cell>
        </row>
        <row r="942">
          <cell r="A942" t="str">
            <v>RHES-SHDEM</v>
          </cell>
          <cell r="B942" t="str">
            <v>VAR_fin</v>
          </cell>
          <cell r="C942" t="str">
            <v>RHES-SHNGAH</v>
          </cell>
          <cell r="D942">
            <v>4.8967761188947376E-4</v>
          </cell>
          <cell r="F942">
            <v>6.9106111837231535E-3</v>
          </cell>
          <cell r="G942">
            <v>1.1359140286004079E-3</v>
          </cell>
          <cell r="H942">
            <v>2.9897042325574388</v>
          </cell>
          <cell r="I942">
            <v>6.563425319344363</v>
          </cell>
          <cell r="J942">
            <v>6.5319274915501877</v>
          </cell>
          <cell r="K942">
            <v>3.552975023868723</v>
          </cell>
          <cell r="L942">
            <v>0.50285604865526701</v>
          </cell>
          <cell r="M942">
            <v>1.3526562929898269E-3</v>
          </cell>
          <cell r="N942">
            <v>2.0561395817155956E-3</v>
          </cell>
          <cell r="O942">
            <v>8.4094745457179154E-3</v>
          </cell>
        </row>
        <row r="943">
          <cell r="A943" t="str">
            <v>RHES-SHDEM</v>
          </cell>
          <cell r="B943" t="str">
            <v>VAR_fin</v>
          </cell>
          <cell r="C943" t="str">
            <v>RHES-SHCOA</v>
          </cell>
          <cell r="D943">
            <v>9.6000071810476539E-2</v>
          </cell>
          <cell r="E943">
            <v>7.1989111486278859E-2</v>
          </cell>
          <cell r="F943">
            <v>6.5002385335297926E-3</v>
          </cell>
          <cell r="G943">
            <v>7.745734847621244E-4</v>
          </cell>
          <cell r="H943">
            <v>1.3569943940915048E-2</v>
          </cell>
          <cell r="I943">
            <v>4.1462579205299308E-4</v>
          </cell>
          <cell r="J943">
            <v>4.6162824878058988E-4</v>
          </cell>
          <cell r="K943">
            <v>5.2806015646620359E-6</v>
          </cell>
          <cell r="M943">
            <v>1.6897868757768329E-4</v>
          </cell>
          <cell r="N943">
            <v>9.7362770746257311E-5</v>
          </cell>
          <cell r="O943">
            <v>2.3663819477973036E-3</v>
          </cell>
        </row>
        <row r="944">
          <cell r="A944" t="str">
            <v>RHES-SHDEM</v>
          </cell>
          <cell r="B944" t="str">
            <v>VAR_fin</v>
          </cell>
          <cell r="C944" t="str">
            <v>RHES-SHLFO</v>
          </cell>
          <cell r="D944">
            <v>21.629255664377489</v>
          </cell>
          <cell r="E944">
            <v>19.946189043897469</v>
          </cell>
          <cell r="F944">
            <v>21.489562653940858</v>
          </cell>
          <cell r="G944">
            <v>19.762061391528363</v>
          </cell>
          <cell r="H944">
            <v>9.3807086346877053</v>
          </cell>
          <cell r="I944">
            <v>3.7800604192601748</v>
          </cell>
          <cell r="J944">
            <v>3.7654429291610887</v>
          </cell>
          <cell r="K944">
            <v>3.781382582477149</v>
          </cell>
          <cell r="L944">
            <v>3.7814049764048976</v>
          </cell>
          <cell r="M944">
            <v>3.2870552937986179</v>
          </cell>
          <cell r="N944">
            <v>2.6246036067320864</v>
          </cell>
          <cell r="O944">
            <v>1.2063282712150754</v>
          </cell>
        </row>
        <row r="945">
          <cell r="A945" t="str">
            <v>RHES-SHDEM</v>
          </cell>
          <cell r="B945" t="str">
            <v>VAR_fin</v>
          </cell>
          <cell r="C945" t="str">
            <v>RHES-SHCON</v>
          </cell>
          <cell r="D945">
            <v>1.4276959178861457</v>
          </cell>
          <cell r="E945">
            <v>3.5078317219118529</v>
          </cell>
          <cell r="F945">
            <v>3.5074296351906744</v>
          </cell>
          <cell r="G945">
            <v>5.7105396907951596</v>
          </cell>
          <cell r="H945">
            <v>7.5221629118445072</v>
          </cell>
          <cell r="I945">
            <v>11.083013933518858</v>
          </cell>
          <cell r="J945">
            <v>11.082914937726764</v>
          </cell>
          <cell r="K945">
            <v>11.083032167236643</v>
          </cell>
          <cell r="L945">
            <v>11.082878743408711</v>
          </cell>
          <cell r="M945">
            <v>11.082982020815413</v>
          </cell>
          <cell r="N945">
            <v>11.082928251564688</v>
          </cell>
          <cell r="O945">
            <v>7.7509673717927363</v>
          </cell>
        </row>
        <row r="946">
          <cell r="A946" t="str">
            <v>RHES-SHDEM</v>
          </cell>
          <cell r="B946" t="str">
            <v>VAR_fin</v>
          </cell>
          <cell r="C946" t="str">
            <v>RHES-SHWOD</v>
          </cell>
          <cell r="D946">
            <v>4.3604169190976769</v>
          </cell>
          <cell r="E946">
            <v>4.3871022472611623</v>
          </cell>
          <cell r="F946">
            <v>4.3414820673759529</v>
          </cell>
          <cell r="G946">
            <v>4.4938880402482466</v>
          </cell>
          <cell r="H946">
            <v>3.7044611243845544</v>
          </cell>
          <cell r="I946">
            <v>2.7890016700219857</v>
          </cell>
          <cell r="J946">
            <v>2.4151649200001635</v>
          </cell>
          <cell r="K946">
            <v>2.1469493257741852</v>
          </cell>
          <cell r="L946">
            <v>1.9118386711429145</v>
          </cell>
          <cell r="M946">
            <v>1.7240499616209732</v>
          </cell>
          <cell r="N946">
            <v>1.7246898411589537</v>
          </cell>
          <cell r="O946">
            <v>1.497793131302011</v>
          </cell>
        </row>
        <row r="947">
          <cell r="A947" t="str">
            <v>RHES-SHDEM</v>
          </cell>
          <cell r="B947" t="str">
            <v>VAR_fin</v>
          </cell>
          <cell r="C947" t="str">
            <v>RHES-SHLTHD</v>
          </cell>
          <cell r="D947">
            <v>1.8689003269412556</v>
          </cell>
          <cell r="E947">
            <v>3.5037813595280025</v>
          </cell>
          <cell r="F947">
            <v>3.4926374678246495</v>
          </cell>
          <cell r="G947">
            <v>1.7376155976547054</v>
          </cell>
          <cell r="H947">
            <v>1.8372204055218078</v>
          </cell>
          <cell r="I947">
            <v>2.8044208354158937</v>
          </cell>
          <cell r="J947">
            <v>1.7739059775010662</v>
          </cell>
          <cell r="K947">
            <v>2.5534918048150312</v>
          </cell>
          <cell r="L947">
            <v>2.3882984296251375</v>
          </cell>
          <cell r="M947">
            <v>2.2562766653536359</v>
          </cell>
          <cell r="N947">
            <v>2.2565451506437193</v>
          </cell>
          <cell r="O947">
            <v>2.0946041607606221</v>
          </cell>
        </row>
        <row r="948">
          <cell r="A948" t="str">
            <v>RHES-SHDEM</v>
          </cell>
          <cell r="B948" t="str">
            <v>VAR_fin</v>
          </cell>
          <cell r="C948" t="str">
            <v>RHES-SHELCB</v>
          </cell>
          <cell r="D948">
            <v>4.2535430797590301</v>
          </cell>
          <cell r="E948">
            <v>3.7849276090789465</v>
          </cell>
          <cell r="F948">
            <v>3.8278459185732929</v>
          </cell>
          <cell r="G948">
            <v>2.8735891964332914</v>
          </cell>
          <cell r="H948">
            <v>1.2305404792739929</v>
          </cell>
          <cell r="I948">
            <v>0.75610497493558193</v>
          </cell>
          <cell r="J948">
            <v>0.49637949875092741</v>
          </cell>
          <cell r="K948">
            <v>1.8513298836620575</v>
          </cell>
          <cell r="L948">
            <v>1.725609559404472</v>
          </cell>
          <cell r="M948">
            <v>0.97329914793785921</v>
          </cell>
          <cell r="N948">
            <v>1.6251535448890757</v>
          </cell>
          <cell r="O948">
            <v>0.75288540128257131</v>
          </cell>
        </row>
        <row r="949">
          <cell r="A949" t="str">
            <v>RHES-SHDEM</v>
          </cell>
          <cell r="B949" t="str">
            <v>VAR_fin</v>
          </cell>
          <cell r="C949" t="str">
            <v>RHES-SHELCH</v>
          </cell>
          <cell r="D949">
            <v>9.1234910518734598</v>
          </cell>
          <cell r="E949">
            <v>10.275894436813166</v>
          </cell>
          <cell r="F949">
            <v>10.269625232983991</v>
          </cell>
          <cell r="G949">
            <v>10.342429204175481</v>
          </cell>
          <cell r="H949">
            <v>16.225958057437662</v>
          </cell>
          <cell r="I949">
            <v>16.238321609445833</v>
          </cell>
          <cell r="J949">
            <v>20.600704125411163</v>
          </cell>
          <cell r="K949">
            <v>26.479761121702897</v>
          </cell>
          <cell r="L949">
            <v>29.529955540528935</v>
          </cell>
          <cell r="M949">
            <v>30.03140339774497</v>
          </cell>
          <cell r="N949">
            <v>30.030765041676769</v>
          </cell>
          <cell r="O949">
            <v>30.021501586126291</v>
          </cell>
        </row>
        <row r="950">
          <cell r="A950" t="str">
            <v>RHES-SHDEM</v>
          </cell>
          <cell r="B950" t="str">
            <v>VAR_fin</v>
          </cell>
          <cell r="C950" t="str">
            <v>RHES-SHNST</v>
          </cell>
          <cell r="D950">
            <v>1.9876911443700993E-2</v>
          </cell>
          <cell r="E950">
            <v>1.9667132520814739E-5</v>
          </cell>
          <cell r="F950">
            <v>1.2718663390277956E-3</v>
          </cell>
          <cell r="G950">
            <v>3.9854946643767873E-4</v>
          </cell>
          <cell r="H950">
            <v>7.5529079378752386E-3</v>
          </cell>
          <cell r="I950">
            <v>8.774386710545197E-4</v>
          </cell>
          <cell r="J950">
            <v>7.9222143331557672E-3</v>
          </cell>
          <cell r="K950">
            <v>1.6118720056967982E-4</v>
          </cell>
          <cell r="L950">
            <v>1.3798292807892801E-4</v>
          </cell>
          <cell r="M950">
            <v>9.9458506679552788E-5</v>
          </cell>
          <cell r="N950">
            <v>5.1302645520418856E-4</v>
          </cell>
          <cell r="O950">
            <v>1.6430197915008572E-3</v>
          </cell>
        </row>
        <row r="951">
          <cell r="A951" t="str">
            <v>D-RHEM_LTH_CHPNGA</v>
          </cell>
          <cell r="B951" t="str">
            <v>VAR_fout</v>
          </cell>
          <cell r="C951" t="str">
            <v>RHSA_LTH</v>
          </cell>
          <cell r="D951">
            <v>7.1546926273351533E-4</v>
          </cell>
          <cell r="E951">
            <v>2.7788020066382032E-2</v>
          </cell>
          <cell r="F951">
            <v>7.21802397861453E-4</v>
          </cell>
          <cell r="G951">
            <v>1.7941629240891799E-4</v>
          </cell>
          <cell r="H951">
            <v>1.6042709349954707E-4</v>
          </cell>
          <cell r="I951">
            <v>3.4628904584123402E-4</v>
          </cell>
          <cell r="J951">
            <v>6.8541079507603658E-6</v>
          </cell>
          <cell r="K951">
            <v>8.3338006600978137E-6</v>
          </cell>
          <cell r="L951">
            <v>2.6067973684468305E-5</v>
          </cell>
          <cell r="M951">
            <v>2.8375110662606549E-5</v>
          </cell>
          <cell r="N951">
            <v>4.9624659013678058E-5</v>
          </cell>
          <cell r="O951">
            <v>1.5775198928218325E-4</v>
          </cell>
        </row>
        <row r="952">
          <cell r="A952" t="str">
            <v>D-RHEM_LTH_CHPNGA</v>
          </cell>
          <cell r="B952" t="str">
            <v>VAR_fout</v>
          </cell>
          <cell r="C952" t="str">
            <v>RHEM_LTH_CHPNGA_ON</v>
          </cell>
          <cell r="D952">
            <v>4.4710281249343342E-2</v>
          </cell>
          <cell r="E952">
            <v>3.1655685119161191E-2</v>
          </cell>
          <cell r="F952">
            <v>0.23602402259144162</v>
          </cell>
          <cell r="G952">
            <v>0.22723770904647511</v>
          </cell>
          <cell r="H952">
            <v>0.22576596214363712</v>
          </cell>
          <cell r="I952">
            <v>9.2438773921942913E-2</v>
          </cell>
          <cell r="J952">
            <v>2.1037777918430634E-6</v>
          </cell>
          <cell r="K952">
            <v>2.6002014159477336E-6</v>
          </cell>
          <cell r="L952">
            <v>2.5544073498232015E-3</v>
          </cell>
          <cell r="M952">
            <v>5.1482738766346044E-3</v>
          </cell>
          <cell r="N952">
            <v>4.3960522396544882E-3</v>
          </cell>
          <cell r="O952">
            <v>5.9916105227388657E-3</v>
          </cell>
        </row>
        <row r="953">
          <cell r="A953" t="str">
            <v>D-RHEM_LTH_CHPNGA</v>
          </cell>
          <cell r="B953" t="str">
            <v>VAR_fout</v>
          </cell>
          <cell r="C953" t="str">
            <v>LTH</v>
          </cell>
          <cell r="F953">
            <v>8.0515915814717936E-5</v>
          </cell>
          <cell r="G953">
            <v>2.6506066637100917E-4</v>
          </cell>
          <cell r="H953">
            <v>3.7979275336750228E-4</v>
          </cell>
          <cell r="I953">
            <v>1.5815004336752072E-4</v>
          </cell>
          <cell r="J953">
            <v>5.4388257676124729E-6</v>
          </cell>
          <cell r="K953">
            <v>6.5009413943513085E-6</v>
          </cell>
          <cell r="L953">
            <v>4.3855377953709197E-6</v>
          </cell>
          <cell r="M953">
            <v>1.1269123360147386E-5</v>
          </cell>
          <cell r="N953">
            <v>9.6724347270694027E-6</v>
          </cell>
          <cell r="O953">
            <v>1.7073719050906207E-5</v>
          </cell>
        </row>
        <row r="954">
          <cell r="A954" t="str">
            <v>D-RHEM_LTH_CHPNGA</v>
          </cell>
          <cell r="B954" t="str">
            <v>VAR_fin</v>
          </cell>
          <cell r="C954" t="str">
            <v>RHEM_LTH_CHPNGA</v>
          </cell>
          <cell r="D954">
            <v>4.5425750512076854E-2</v>
          </cell>
          <cell r="E954">
            <v>5.9445659528613658E-2</v>
          </cell>
          <cell r="F954">
            <v>0.23682636738955321</v>
          </cell>
          <cell r="G954">
            <v>0.22768224764815012</v>
          </cell>
          <cell r="H954">
            <v>0.22630625858516704</v>
          </cell>
          <cell r="I954">
            <v>9.2943238140501913E-2</v>
          </cell>
          <cell r="J954">
            <v>1.43967115102159E-5</v>
          </cell>
          <cell r="K954">
            <v>1.7434943470396856E-5</v>
          </cell>
          <cell r="L954">
            <v>2.5854919036547926E-3</v>
          </cell>
          <cell r="M954">
            <v>5.1883054115035281E-3</v>
          </cell>
          <cell r="N954">
            <v>4.4557585068148399E-3</v>
          </cell>
          <cell r="O954">
            <v>6.1664724254957238E-3</v>
          </cell>
        </row>
        <row r="955">
          <cell r="A955" t="str">
            <v>RHEM-SHLTHCHPNGA</v>
          </cell>
          <cell r="B955" t="str">
            <v>VAR_fout</v>
          </cell>
          <cell r="C955" t="str">
            <v>RHEM-SHLTHC-NGA</v>
          </cell>
          <cell r="D955">
            <v>4.3404883054628918E-2</v>
          </cell>
          <cell r="E955">
            <v>6.8392919484723324E-5</v>
          </cell>
          <cell r="F955">
            <v>0.22518630218065877</v>
          </cell>
          <cell r="G955">
            <v>0.22486593294924481</v>
          </cell>
          <cell r="H955">
            <v>0.22348923771833951</v>
          </cell>
          <cell r="I955">
            <v>9.1514386182723506E-2</v>
          </cell>
          <cell r="L955">
            <v>2.5030766225228674E-3</v>
          </cell>
          <cell r="M955">
            <v>5.0342271411533256E-3</v>
          </cell>
          <cell r="N955">
            <v>4.3127586634844001E-3</v>
          </cell>
          <cell r="O955">
            <v>5.9007923110809997E-3</v>
          </cell>
        </row>
        <row r="956">
          <cell r="A956" t="str">
            <v>RHEM-SHLTHCHPNGA</v>
          </cell>
          <cell r="B956" t="str">
            <v>VAR_fin</v>
          </cell>
          <cell r="C956" t="str">
            <v>RHEM_LTH_CHPNGA_ON</v>
          </cell>
          <cell r="D956">
            <v>4.3843316216796893E-2</v>
          </cell>
          <cell r="E956">
            <v>6.9083757055276191E-5</v>
          </cell>
          <cell r="F956">
            <v>0.22746091129359489</v>
          </cell>
          <cell r="G956">
            <v>0.22713730600933815</v>
          </cell>
          <cell r="H956">
            <v>0.22574670476599956</v>
          </cell>
          <cell r="I956">
            <v>9.2438773921942899E-2</v>
          </cell>
          <cell r="L956">
            <v>2.5283602247705727E-3</v>
          </cell>
          <cell r="M956">
            <v>5.0850779203568978E-3</v>
          </cell>
          <cell r="N956">
            <v>4.3563218823074778E-3</v>
          </cell>
          <cell r="O956">
            <v>5.9603962738191936E-3</v>
          </cell>
        </row>
        <row r="957">
          <cell r="A957" t="str">
            <v>RHEM-SHLTHCHPNGA</v>
          </cell>
          <cell r="B957" t="str">
            <v>VAR_fin</v>
          </cell>
          <cell r="C957" t="str">
            <v>RHEMLTHCHPC</v>
          </cell>
          <cell r="D957">
            <v>4.3404883054628918E-2</v>
          </cell>
          <cell r="E957">
            <v>6.8392919484723324E-5</v>
          </cell>
          <cell r="F957">
            <v>0.22518630218065877</v>
          </cell>
          <cell r="G957">
            <v>0.22486593294924481</v>
          </cell>
          <cell r="H957">
            <v>0.22348923771833951</v>
          </cell>
          <cell r="I957">
            <v>9.1514386182723506E-2</v>
          </cell>
          <cell r="L957">
            <v>2.5030766225228674E-3</v>
          </cell>
          <cell r="M957">
            <v>5.0342271411533256E-3</v>
          </cell>
          <cell r="N957">
            <v>4.3127586634844001E-3</v>
          </cell>
          <cell r="O957">
            <v>5.9007923110809997E-3</v>
          </cell>
        </row>
        <row r="958">
          <cell r="A958" t="str">
            <v>RHEM-SHLTHCHPNGA</v>
          </cell>
          <cell r="B958" t="str">
            <v>VAR_ncap</v>
          </cell>
          <cell r="C958" t="str">
            <v>-</v>
          </cell>
          <cell r="D958">
            <v>7.7046187751493604E-8</v>
          </cell>
          <cell r="E958">
            <v>5.4375930298507297E-6</v>
          </cell>
          <cell r="F958">
            <v>1.7700431254179201E-2</v>
          </cell>
          <cell r="G958">
            <v>7.3792685589797501E-3</v>
          </cell>
          <cell r="H958">
            <v>6.2196340308425203E-3</v>
          </cell>
          <cell r="I958">
            <v>3.6758117654792101E-3</v>
          </cell>
          <cell r="J958">
            <v>1.65687794263631E-7</v>
          </cell>
          <cell r="K958">
            <v>2.1328892675493701E-7</v>
          </cell>
          <cell r="L958">
            <v>2.3226981348237099E-4</v>
          </cell>
          <cell r="M958">
            <v>3.2315497393374602E-4</v>
          </cell>
          <cell r="N958">
            <v>2.71903303123011E-4</v>
          </cell>
          <cell r="O958">
            <v>4.09053504705759E-4</v>
          </cell>
        </row>
        <row r="959">
          <cell r="A959" t="str">
            <v>RHEM-SHLTHCHPNGA</v>
          </cell>
          <cell r="B959" t="str">
            <v>VAR_cap</v>
          </cell>
          <cell r="C959" t="str">
            <v>-</v>
          </cell>
          <cell r="D959">
            <v>6.7982780447364815E-3</v>
          </cell>
          <cell r="E959">
            <v>8.2099836458317949E-6</v>
          </cell>
          <cell r="F959">
            <v>1.7706053003523924E-2</v>
          </cell>
          <cell r="G959">
            <v>1.7264350294624427E-2</v>
          </cell>
          <cell r="H959">
            <v>1.7053036140277682E-2</v>
          </cell>
          <cell r="I959">
            <v>6.9889490459240002E-3</v>
          </cell>
          <cell r="J959">
            <v>-7.3472578529867882E-8</v>
          </cell>
          <cell r="K959">
            <v>-1.1020886790018627E-7</v>
          </cell>
          <cell r="L959">
            <v>2.3232456624231899E-4</v>
          </cell>
          <cell r="M959">
            <v>4.1114623470024403E-4</v>
          </cell>
          <cell r="N959">
            <v>4.1112638166658901E-4</v>
          </cell>
          <cell r="O959">
            <v>5.7243347773139298E-4</v>
          </cell>
        </row>
        <row r="960">
          <cell r="A960" t="str">
            <v>D-RHES_SOLELC</v>
          </cell>
          <cell r="B960" t="str">
            <v>VAR_fout</v>
          </cell>
          <cell r="C960" t="str">
            <v>RHES_ELC</v>
          </cell>
          <cell r="D960">
            <v>1.795092852709623</v>
          </cell>
          <cell r="E960">
            <v>1.514409928765126</v>
          </cell>
          <cell r="F960">
            <v>1.8222045972889738</v>
          </cell>
          <cell r="G960">
            <v>4.2001126202373218</v>
          </cell>
          <cell r="H960">
            <v>6.8329094924193505</v>
          </cell>
          <cell r="I960">
            <v>8.3224221685513804</v>
          </cell>
          <cell r="J960">
            <v>8.9075361936966804</v>
          </cell>
          <cell r="K960">
            <v>10.562875358042742</v>
          </cell>
          <cell r="L960">
            <v>10.788538906774281</v>
          </cell>
          <cell r="M960">
            <v>11.686202431374197</v>
          </cell>
          <cell r="N960">
            <v>12.478993747297414</v>
          </cell>
          <cell r="O960">
            <v>13.058633613426858</v>
          </cell>
        </row>
        <row r="961">
          <cell r="A961" t="str">
            <v>D-RHES_SOLELC</v>
          </cell>
          <cell r="B961" t="str">
            <v>VAR_fout</v>
          </cell>
          <cell r="C961" t="str">
            <v>ELC5</v>
          </cell>
          <cell r="D961">
            <v>0.339846236025038</v>
          </cell>
          <cell r="E961">
            <v>1.8762556139748068</v>
          </cell>
          <cell r="F961">
            <v>2.4952492708167786</v>
          </cell>
          <cell r="G961">
            <v>14.716903613201586</v>
          </cell>
          <cell r="H961">
            <v>13.048699645329686</v>
          </cell>
          <cell r="I961">
            <v>12.573666315961008</v>
          </cell>
          <cell r="J961">
            <v>13.050966962867054</v>
          </cell>
          <cell r="K961">
            <v>12.126538195984917</v>
          </cell>
          <cell r="L961">
            <v>13.010362332400451</v>
          </cell>
          <cell r="M961">
            <v>13.295718794745047</v>
          </cell>
          <cell r="N961">
            <v>13.737592838471528</v>
          </cell>
          <cell r="O961">
            <v>14.379315972547179</v>
          </cell>
        </row>
        <row r="962">
          <cell r="A962" t="str">
            <v>D-RHES_SOLELC</v>
          </cell>
          <cell r="B962" t="str">
            <v>VAR_fin</v>
          </cell>
          <cell r="C962" t="str">
            <v>RHES_SOL_ELC</v>
          </cell>
          <cell r="D962">
            <v>2.1349390887346629</v>
          </cell>
          <cell r="E962">
            <v>3.3906651609562051</v>
          </cell>
          <cell r="F962">
            <v>4.3174538681057522</v>
          </cell>
          <cell r="G962">
            <v>18.9170162334389</v>
          </cell>
          <cell r="H962">
            <v>19.881609137749045</v>
          </cell>
          <cell r="I962">
            <v>20.896088484512401</v>
          </cell>
          <cell r="J962">
            <v>21.958503156563744</v>
          </cell>
          <cell r="K962">
            <v>22.689413554027681</v>
          </cell>
          <cell r="L962">
            <v>23.798901239174743</v>
          </cell>
          <cell r="M962">
            <v>24.981921226119255</v>
          </cell>
          <cell r="N962">
            <v>26.21658658576894</v>
          </cell>
          <cell r="O962">
            <v>27.437949585974032</v>
          </cell>
        </row>
        <row r="963">
          <cell r="A963" t="str">
            <v>D-DH2</v>
          </cell>
          <cell r="B963" t="str">
            <v>VAR_fout</v>
          </cell>
          <cell r="C963" t="str">
            <v>H2</v>
          </cell>
          <cell r="G963">
            <v>6.0161100814788888E-7</v>
          </cell>
          <cell r="H963">
            <v>1.1478362169818295E-4</v>
          </cell>
          <cell r="I963">
            <v>4.1445736669021841E-4</v>
          </cell>
          <cell r="J963">
            <v>5.8310334088122989E-4</v>
          </cell>
          <cell r="K963">
            <v>6.0628880207073933E-4</v>
          </cell>
          <cell r="L963">
            <v>6.0740731561189829E-4</v>
          </cell>
          <cell r="M963">
            <v>6.1435697129017485E-4</v>
          </cell>
          <cell r="N963">
            <v>4.7355812956398097E-4</v>
          </cell>
          <cell r="O963">
            <v>6.0845915338232626E-4</v>
          </cell>
        </row>
        <row r="964">
          <cell r="A964" t="str">
            <v>D-DH2</v>
          </cell>
          <cell r="B964" t="str">
            <v>VAR_fin</v>
          </cell>
          <cell r="C964" t="str">
            <v>H2_E</v>
          </cell>
          <cell r="G964">
            <v>6.0768788701806967E-7</v>
          </cell>
          <cell r="H964">
            <v>1.1594305222038685E-4</v>
          </cell>
          <cell r="I964">
            <v>4.1864380473759439E-4</v>
          </cell>
          <cell r="J964">
            <v>5.8899327361740315E-4</v>
          </cell>
          <cell r="K964">
            <v>6.124129313845848E-4</v>
          </cell>
          <cell r="L964">
            <v>6.1354274304232181E-4</v>
          </cell>
          <cell r="M964">
            <v>6.2056259726280417E-4</v>
          </cell>
          <cell r="N964">
            <v>4.7834154501412229E-4</v>
          </cell>
          <cell r="O964">
            <v>6.1460520543669267E-4</v>
          </cell>
        </row>
        <row r="965">
          <cell r="A965" t="str">
            <v>D-DH2</v>
          </cell>
          <cell r="B965" t="str">
            <v>VAR_ncap</v>
          </cell>
          <cell r="C965" t="str">
            <v>-</v>
          </cell>
          <cell r="G965">
            <v>9.79147994323815E-6</v>
          </cell>
          <cell r="H965">
            <v>1.9058159921989699E-5</v>
          </cell>
          <cell r="I965">
            <v>7.1786380016201904E-5</v>
          </cell>
          <cell r="J965">
            <v>1.46070349022689E-5</v>
          </cell>
          <cell r="K965">
            <v>4.50791707285213E-5</v>
          </cell>
          <cell r="L965">
            <v>2.0751951877860801E-6</v>
          </cell>
          <cell r="M965">
            <v>3.2799029890588298E-5</v>
          </cell>
          <cell r="N965">
            <v>5.6168308093815303E-6</v>
          </cell>
          <cell r="O965">
            <v>1.60559694514882E-4</v>
          </cell>
        </row>
        <row r="966">
          <cell r="A966" t="str">
            <v>D-DH2</v>
          </cell>
          <cell r="B966" t="str">
            <v>VAR_cap</v>
          </cell>
          <cell r="C966" t="str">
            <v>-</v>
          </cell>
          <cell r="G966">
            <v>9.79147994323815E-6</v>
          </cell>
          <cell r="H966">
            <v>2.88496398652278E-5</v>
          </cell>
          <cell r="I966">
            <v>1.0063601988143E-4</v>
          </cell>
          <cell r="J966">
            <v>1.15243054783699E-4</v>
          </cell>
          <cell r="K966">
            <v>1.6032222551222E-4</v>
          </cell>
          <cell r="L966">
            <v>1.62397420700006E-4</v>
          </cell>
          <cell r="M966">
            <v>1.9519645059059399E-4</v>
          </cell>
          <cell r="N966">
            <v>1.9770924820923801E-4</v>
          </cell>
          <cell r="O966">
            <v>3.5158149597162001E-4</v>
          </cell>
        </row>
        <row r="967">
          <cell r="A967" t="str">
            <v>ITOT-SWHHFOBR</v>
          </cell>
          <cell r="B967" t="str">
            <v>VAR_fout</v>
          </cell>
          <cell r="C967" t="str">
            <v>ITOT-SWH</v>
          </cell>
          <cell r="D967">
            <v>1.8458219996249334</v>
          </cell>
          <cell r="E967">
            <v>1.7158117399192887</v>
          </cell>
          <cell r="F967">
            <v>6.4279786975776512E-4</v>
          </cell>
          <cell r="G967">
            <v>9.1596094162410218E-5</v>
          </cell>
          <cell r="H967">
            <v>5.9200831526454418E-5</v>
          </cell>
          <cell r="I967">
            <v>3.926504496321421E-4</v>
          </cell>
          <cell r="J967">
            <v>2.4310245674437017E-4</v>
          </cell>
        </row>
        <row r="968">
          <cell r="A968" t="str">
            <v>ITOT-SWHHFOBR</v>
          </cell>
          <cell r="B968" t="str">
            <v>VAR_fout</v>
          </cell>
          <cell r="C968" t="str">
            <v>CO2_I</v>
          </cell>
          <cell r="D968">
            <v>210.21008537048601</v>
          </cell>
          <cell r="E968">
            <v>194.56226194504899</v>
          </cell>
          <cell r="F968">
            <v>7.2421305490769597E-2</v>
          </cell>
          <cell r="G968">
            <v>1.0210494752813E-2</v>
          </cell>
          <cell r="H968">
            <v>6.5301660346129302E-3</v>
          </cell>
          <cell r="I968">
            <v>4.2862427250292399E-2</v>
          </cell>
          <cell r="J968">
            <v>2.62652132516938E-2</v>
          </cell>
        </row>
        <row r="969">
          <cell r="A969" t="str">
            <v>ITOT-SWHHFOBR</v>
          </cell>
          <cell r="B969" t="str">
            <v>VAR_fin</v>
          </cell>
          <cell r="C969" t="str">
            <v>IHFO</v>
          </cell>
          <cell r="D969">
            <v>2.7300011087076101</v>
          </cell>
          <cell r="E969">
            <v>2.5267826226629686</v>
          </cell>
          <cell r="F969">
            <v>9.4053643494506126E-4</v>
          </cell>
          <cell r="G969">
            <v>1.3260382795861046E-4</v>
          </cell>
          <cell r="H969">
            <v>8.4807351098869287E-5</v>
          </cell>
          <cell r="I969">
            <v>5.5665489935444624E-4</v>
          </cell>
          <cell r="J969">
            <v>3.4110666560641258E-4</v>
          </cell>
        </row>
        <row r="970">
          <cell r="A970" t="str">
            <v>ITOT-SWHHFOBR</v>
          </cell>
          <cell r="B970" t="str">
            <v>VAR_ncap</v>
          </cell>
          <cell r="C970" t="str">
            <v>-</v>
          </cell>
          <cell r="D970">
            <v>4.4488613101672402E-5</v>
          </cell>
          <cell r="E970">
            <v>4.5003825603002397E-6</v>
          </cell>
          <cell r="F970">
            <v>3.6237350700226798E-6</v>
          </cell>
          <cell r="G970">
            <v>2.6114684355920801E-6</v>
          </cell>
          <cell r="H970">
            <v>4.0362280227721101E-6</v>
          </cell>
          <cell r="I970">
            <v>3.3582661955393899E-5</v>
          </cell>
          <cell r="J970">
            <v>3.7209650014112798E-6</v>
          </cell>
          <cell r="K970">
            <v>2.4091175839645201E-6</v>
          </cell>
          <cell r="L970">
            <v>3.9462306339931597E-6</v>
          </cell>
          <cell r="M970">
            <v>3.6073016872604398E-6</v>
          </cell>
          <cell r="N970">
            <v>2.4352305165069401E-6</v>
          </cell>
          <cell r="O970">
            <v>1.1807943565077601E-6</v>
          </cell>
        </row>
        <row r="971">
          <cell r="A971" t="str">
            <v>ITOT-SWHHFOBR</v>
          </cell>
          <cell r="B971" t="str">
            <v>VAR_cap</v>
          </cell>
          <cell r="C971" t="str">
            <v>-</v>
          </cell>
          <cell r="D971">
            <v>0.10076148861310168</v>
          </cell>
          <cell r="E971">
            <v>0.10073342640726866</v>
          </cell>
          <cell r="F971">
            <v>6.0981087538991563E-5</v>
          </cell>
          <cell r="G971">
            <v>8.7139758275928125E-6</v>
          </cell>
          <cell r="H971">
            <v>5.5790374277088495E-6</v>
          </cell>
          <cell r="I971">
            <v>3.7013705876597068E-5</v>
          </cell>
          <cell r="J971">
            <v>2.3011731693074301E-5</v>
          </cell>
          <cell r="K971">
            <v>-1.2154803792490011E-6</v>
          </cell>
          <cell r="L971">
            <v>-2.5342673867259942E-7</v>
          </cell>
          <cell r="M971">
            <v>-1.6245648184882803E-6</v>
          </cell>
          <cell r="N971">
            <v>-3.1371520158844018E-7</v>
          </cell>
          <cell r="O971">
            <v>-2.6576552800228508E-6</v>
          </cell>
        </row>
        <row r="972">
          <cell r="A972" t="str">
            <v>RHSA-WHSTG-ELCHP</v>
          </cell>
          <cell r="B972" t="str">
            <v>VAR_fout</v>
          </cell>
          <cell r="C972" t="str">
            <v>RHSA-WHAELCH</v>
          </cell>
          <cell r="D972">
            <v>6.1899641959871301E-8</v>
          </cell>
          <cell r="E972">
            <v>7.4301323044721796E-8</v>
          </cell>
          <cell r="F972">
            <v>0.85478964621902154</v>
          </cell>
          <cell r="G972">
            <v>1.3075251343414596</v>
          </cell>
          <cell r="H972">
            <v>2.1741305415332994</v>
          </cell>
          <cell r="I972">
            <v>2.1097477469507324</v>
          </cell>
          <cell r="J972">
            <v>2.8548187448433802</v>
          </cell>
          <cell r="K972">
            <v>3.3558536128615071</v>
          </cell>
          <cell r="L972">
            <v>3.7643494067464895</v>
          </cell>
          <cell r="M972">
            <v>3.4361138201768062</v>
          </cell>
          <cell r="N972">
            <v>3.0322992533947457</v>
          </cell>
          <cell r="O972">
            <v>2.9477883164238059</v>
          </cell>
        </row>
        <row r="973">
          <cell r="A973" t="str">
            <v>RHSA-WHSTG-ELCHP</v>
          </cell>
          <cell r="B973" t="str">
            <v>VAR_fin</v>
          </cell>
          <cell r="C973" t="str">
            <v>RHSA-WHAELCH</v>
          </cell>
          <cell r="D973">
            <v>1.884789582427825E-7</v>
          </cell>
          <cell r="E973">
            <v>9.3558268180436695E-8</v>
          </cell>
          <cell r="F973">
            <v>0.85482559662957502</v>
          </cell>
          <cell r="G973">
            <v>1.3075675692969042</v>
          </cell>
          <cell r="H973">
            <v>2.1742023653525746</v>
          </cell>
          <cell r="I973">
            <v>2.1098140764869546</v>
          </cell>
          <cell r="J973">
            <v>2.8549100509031433</v>
          </cell>
          <cell r="K973">
            <v>3.355966023670367</v>
          </cell>
          <cell r="L973">
            <v>3.7644767574529805</v>
          </cell>
          <cell r="M973">
            <v>3.436239403892392</v>
          </cell>
          <cell r="N973">
            <v>3.0324154533343428</v>
          </cell>
          <cell r="O973">
            <v>2.94789733290283</v>
          </cell>
        </row>
        <row r="974">
          <cell r="A974" t="str">
            <v>RHSA-WHSTG-ELCHP</v>
          </cell>
          <cell r="B974" t="str">
            <v>VAR_ncap</v>
          </cell>
          <cell r="C974" t="str">
            <v>-</v>
          </cell>
          <cell r="D974">
            <v>1.9955718134919099E-3</v>
          </cell>
          <cell r="E974">
            <v>5.5921169320613903E-2</v>
          </cell>
          <cell r="F974">
            <v>2.2027035039715401E-2</v>
          </cell>
          <cell r="G974">
            <v>3.8990795530188402E-2</v>
          </cell>
          <cell r="H974">
            <v>9.5015709317196495E-2</v>
          </cell>
          <cell r="I974">
            <v>5.60586332325239E-2</v>
          </cell>
          <cell r="J974">
            <v>9.2444743875109897E-2</v>
          </cell>
          <cell r="K974">
            <v>0.107736833472587</v>
          </cell>
          <cell r="L974">
            <v>9.5978927244531997E-2</v>
          </cell>
          <cell r="M974">
            <v>9.4150048134971603E-2</v>
          </cell>
          <cell r="N974">
            <v>0.101332959168406</v>
          </cell>
          <cell r="O974">
            <v>0.107504174679385</v>
          </cell>
        </row>
        <row r="975">
          <cell r="A975" t="str">
            <v>RHSA-WHSTG-ELCHP</v>
          </cell>
          <cell r="B975" t="str">
            <v>VAR_cap</v>
          </cell>
          <cell r="C975" t="str">
            <v>-</v>
          </cell>
          <cell r="D975">
            <v>1.9968113428949987E-3</v>
          </cell>
          <cell r="E975">
            <v>5.7911389267407402E-2</v>
          </cell>
          <cell r="F975">
            <v>7.9933283839386041E-2</v>
          </cell>
          <cell r="G975">
            <v>0.11891761130738399</v>
          </cell>
          <cell r="H975">
            <v>0.18516425250425414</v>
          </cell>
          <cell r="I975">
            <v>0.18724590639029082</v>
          </cell>
          <cell r="J975">
            <v>0.24350085928515597</v>
          </cell>
          <cell r="K975">
            <v>0.25618885512203032</v>
          </cell>
          <cell r="L975">
            <v>0.29244434764823868</v>
          </cell>
          <cell r="M975">
            <v>0.29777978392716153</v>
          </cell>
          <cell r="N975">
            <v>0.27999368199538582</v>
          </cell>
          <cell r="O975">
            <v>0.30289280597121016</v>
          </cell>
        </row>
        <row r="976">
          <cell r="A976" t="str">
            <v>ITOT-SWHSTG-ELCHP</v>
          </cell>
          <cell r="B976" t="str">
            <v>VAR_fout</v>
          </cell>
          <cell r="C976" t="str">
            <v>ITOT-SWHAELCH</v>
          </cell>
          <cell r="D976">
            <v>2.047281219254484E-5</v>
          </cell>
          <cell r="E976">
            <v>7.525945593764121E-6</v>
          </cell>
          <cell r="F976">
            <v>1.2049215742503342E-3</v>
          </cell>
          <cell r="G976">
            <v>1.7027726571652589E-4</v>
          </cell>
          <cell r="H976">
            <v>1.9272429293115177E-4</v>
          </cell>
          <cell r="I976">
            <v>6.3148419856774329E-2</v>
          </cell>
          <cell r="J976">
            <v>3.6680051307565548E-2</v>
          </cell>
          <cell r="K976">
            <v>1.0923492842575022E-2</v>
          </cell>
          <cell r="L976">
            <v>2.685713498878319E-3</v>
          </cell>
          <cell r="M976">
            <v>9.7229988154944253E-4</v>
          </cell>
          <cell r="N976">
            <v>1.0310432307889281</v>
          </cell>
          <cell r="O976">
            <v>1.9510504779384341</v>
          </cell>
        </row>
        <row r="977">
          <cell r="A977" t="str">
            <v>ITOT-SWHSTG-ELCHP</v>
          </cell>
          <cell r="B977" t="str">
            <v>VAR_fin</v>
          </cell>
          <cell r="C977" t="str">
            <v>ITOT-SWHAELCH</v>
          </cell>
          <cell r="D977">
            <v>2.85276310257821E-5</v>
          </cell>
          <cell r="E977">
            <v>6.4294438839206891E-6</v>
          </cell>
          <cell r="F977">
            <v>1.5661798131301576E-3</v>
          </cell>
          <cell r="G977">
            <v>2.1912678371650176E-4</v>
          </cell>
          <cell r="H977">
            <v>2.4414072405703449E-4</v>
          </cell>
          <cell r="I977">
            <v>7.4318705147604872E-2</v>
          </cell>
          <cell r="J977">
            <v>4.1942069478045796E-2</v>
          </cell>
          <cell r="K977">
            <v>1.2172119379144931E-2</v>
          </cell>
          <cell r="L977">
            <v>3.0086968703180454E-3</v>
          </cell>
          <cell r="M977">
            <v>1.1021422583230361E-3</v>
          </cell>
          <cell r="N977">
            <v>1.1456688747595078</v>
          </cell>
          <cell r="O977">
            <v>2.1678961929529272</v>
          </cell>
        </row>
        <row r="978">
          <cell r="A978" t="str">
            <v>ITOT-SWHSTG-ELCHP</v>
          </cell>
          <cell r="B978" t="str">
            <v>VAR_ncap</v>
          </cell>
          <cell r="C978" t="str">
            <v>-</v>
          </cell>
          <cell r="D978">
            <v>6.2829009202139798E-3</v>
          </cell>
          <cell r="E978">
            <v>1.16731931772801E-2</v>
          </cell>
          <cell r="F978">
            <v>2.8140051956198099E-2</v>
          </cell>
          <cell r="G978">
            <v>3.00100752515703E-2</v>
          </cell>
          <cell r="H978">
            <v>3.9811515203560598E-2</v>
          </cell>
          <cell r="I978">
            <v>3.5442161230512699E-2</v>
          </cell>
          <cell r="J978">
            <v>8.0351194840378004E-2</v>
          </cell>
          <cell r="K978">
            <v>4.66254173544818E-2</v>
          </cell>
          <cell r="L978">
            <v>4.8944746940975503E-2</v>
          </cell>
          <cell r="M978">
            <v>7.4912348615114796E-2</v>
          </cell>
          <cell r="N978">
            <v>5.2593267285573203E-2</v>
          </cell>
          <cell r="O978">
            <v>4.16539526060348E-2</v>
          </cell>
        </row>
        <row r="979">
          <cell r="A979" t="str">
            <v>ITOT-SWHSTG-ELCHP</v>
          </cell>
          <cell r="B979" t="str">
            <v>VAR_cap</v>
          </cell>
          <cell r="C979" t="str">
            <v>-</v>
          </cell>
          <cell r="D979">
            <v>6.2829009202139798E-3</v>
          </cell>
          <cell r="E979">
            <v>1.7934647931498477E-2</v>
          </cell>
          <cell r="F979">
            <v>4.6071023643461356E-2</v>
          </cell>
          <cell r="G979">
            <v>7.6083221618347699E-2</v>
          </cell>
          <cell r="H979">
            <v>0.10552053155755049</v>
          </cell>
          <cell r="I979">
            <v>0.10543858391450232</v>
          </cell>
          <cell r="J979">
            <v>0.15558616381916285</v>
          </cell>
          <cell r="K979">
            <v>0.16236022107775508</v>
          </cell>
          <cell r="L979">
            <v>0.17063563890912412</v>
          </cell>
          <cell r="M979">
            <v>0.17039077737521419</v>
          </cell>
          <cell r="N979">
            <v>0.16906906258699922</v>
          </cell>
          <cell r="O979">
            <v>0.16907250190349185</v>
          </cell>
        </row>
        <row r="980">
          <cell r="A980" t="str">
            <v>D-RHNS_LTH_CHPWOD</v>
          </cell>
          <cell r="B980" t="str">
            <v>VAR_fout</v>
          </cell>
          <cell r="C980" t="str">
            <v>RHNS_LTH_CHPWOD_ON</v>
          </cell>
          <cell r="D980">
            <v>4.1735278079632269E-6</v>
          </cell>
          <cell r="E980">
            <v>3.9375860768750173E-6</v>
          </cell>
          <cell r="F980">
            <v>2.9580091780315803E-6</v>
          </cell>
          <cell r="G980">
            <v>2.2487295684324885E-4</v>
          </cell>
          <cell r="H980">
            <v>4.7050051733415425E-4</v>
          </cell>
          <cell r="I980">
            <v>1.8568596818487246E-3</v>
          </cell>
          <cell r="J980">
            <v>1.6515306134024395E-3</v>
          </cell>
          <cell r="K980">
            <v>2.4480500996932049E-3</v>
          </cell>
          <cell r="L980">
            <v>1.1091539137729788E-3</v>
          </cell>
          <cell r="M980">
            <v>6.6358748011453481E-4</v>
          </cell>
          <cell r="N980">
            <v>4.8879848282077482E-4</v>
          </cell>
          <cell r="O980">
            <v>1.0843390930911617E-3</v>
          </cell>
        </row>
        <row r="981">
          <cell r="A981" t="str">
            <v>D-RHNS_LTH_CHPWOD</v>
          </cell>
          <cell r="B981" t="str">
            <v>VAR_fout</v>
          </cell>
          <cell r="C981" t="str">
            <v>RHSA_LTH</v>
          </cell>
          <cell r="D981">
            <v>2.640532624275548E-6</v>
          </cell>
          <cell r="E981">
            <v>9.4152789396859013E-6</v>
          </cell>
          <cell r="F981">
            <v>5.4806273362017503E-6</v>
          </cell>
          <cell r="G981">
            <v>4.3634141312715723E-5</v>
          </cell>
          <cell r="H981">
            <v>1.6933602977363588E-5</v>
          </cell>
          <cell r="I981">
            <v>5.915447949657831E-5</v>
          </cell>
          <cell r="J981">
            <v>1.8287431918311168E-5</v>
          </cell>
          <cell r="K981">
            <v>7.8745198753938135E-6</v>
          </cell>
          <cell r="L981">
            <v>5.7967612807521737E-5</v>
          </cell>
          <cell r="M981">
            <v>2.7960220585116088E-5</v>
          </cell>
          <cell r="N981">
            <v>8.9446154804778585E-5</v>
          </cell>
          <cell r="O981">
            <v>2.4519915482867043E-4</v>
          </cell>
        </row>
        <row r="982">
          <cell r="A982" t="str">
            <v>D-RHNS_LTH_CHPWOD</v>
          </cell>
          <cell r="B982" t="str">
            <v>VAR_fout</v>
          </cell>
          <cell r="C982" t="str">
            <v>LTH</v>
          </cell>
          <cell r="I982">
            <v>2.7072061757479387E-6</v>
          </cell>
          <cell r="J982">
            <v>1.9597976620625687E-6</v>
          </cell>
          <cell r="K982">
            <v>3.3508051256711E-6</v>
          </cell>
          <cell r="L982">
            <v>1.6655641512955756E-6</v>
          </cell>
          <cell r="M982">
            <v>1.3820148393717081E-6</v>
          </cell>
          <cell r="N982">
            <v>8.298056101169455E-7</v>
          </cell>
          <cell r="O982">
            <v>3.9459292715154727E-6</v>
          </cell>
        </row>
        <row r="983">
          <cell r="A983" t="str">
            <v>D-RHNS_LTH_CHPWOD</v>
          </cell>
          <cell r="B983" t="str">
            <v>VAR_fin</v>
          </cell>
          <cell r="C983" t="str">
            <v>RHNS_LTH_CHPWOD</v>
          </cell>
          <cell r="D983">
            <v>6.8140604322387754E-6</v>
          </cell>
          <cell r="E983">
            <v>1.3549522312972799E-5</v>
          </cell>
          <cell r="F983">
            <v>8.7160675504640263E-6</v>
          </cell>
          <cell r="G983">
            <v>2.6871887648482795E-4</v>
          </cell>
          <cell r="H983">
            <v>4.8795026759968028E-4</v>
          </cell>
          <cell r="I983">
            <v>1.9195382613948534E-3</v>
          </cell>
          <cell r="J983">
            <v>1.6727561125218849E-3</v>
          </cell>
          <cell r="K983">
            <v>2.4601567618462309E-3</v>
          </cell>
          <cell r="L983">
            <v>1.1697137270050022E-3</v>
          </cell>
          <cell r="M983">
            <v>6.9384825112956143E-4</v>
          </cell>
          <cell r="N983">
            <v>5.8008942617633499E-4</v>
          </cell>
          <cell r="O983">
            <v>1.334098577317897E-3</v>
          </cell>
        </row>
        <row r="984">
          <cell r="A984" t="str">
            <v>D-SBIO</v>
          </cell>
          <cell r="B984" t="str">
            <v>VAR_fout</v>
          </cell>
          <cell r="C984" t="str">
            <v>SBIO</v>
          </cell>
          <cell r="D984">
            <v>4.0476715295814945</v>
          </cell>
          <cell r="E984">
            <v>4.5832727764998049</v>
          </cell>
          <cell r="F984">
            <v>4.5976084980615681</v>
          </cell>
          <cell r="G984">
            <v>4.5783495058040238</v>
          </cell>
          <cell r="H984">
            <v>6.1293414433663802</v>
          </cell>
          <cell r="I984">
            <v>7.9413976481514545</v>
          </cell>
          <cell r="J984">
            <v>14.766957099277647</v>
          </cell>
          <cell r="K984">
            <v>22.080556668479151</v>
          </cell>
          <cell r="L984">
            <v>24.532814417340479</v>
          </cell>
          <cell r="M984">
            <v>29.949599057189541</v>
          </cell>
          <cell r="N984">
            <v>33.597369286644984</v>
          </cell>
          <cell r="O984">
            <v>36.392183481987843</v>
          </cell>
        </row>
        <row r="985">
          <cell r="A985" t="str">
            <v>D-SBIO</v>
          </cell>
          <cell r="B985" t="str">
            <v>VAR_fin</v>
          </cell>
          <cell r="C985" t="str">
            <v>BIO</v>
          </cell>
          <cell r="D985">
            <v>4.0476715295814945</v>
          </cell>
          <cell r="E985">
            <v>4.5832727764998049</v>
          </cell>
          <cell r="F985">
            <v>4.5976084980615681</v>
          </cell>
          <cell r="G985">
            <v>4.5783495058040238</v>
          </cell>
          <cell r="H985">
            <v>6.1293414433663802</v>
          </cell>
          <cell r="I985">
            <v>7.9413976481514545</v>
          </cell>
          <cell r="J985">
            <v>14.766957099277647</v>
          </cell>
          <cell r="K985">
            <v>22.080556668479151</v>
          </cell>
          <cell r="L985">
            <v>24.532814417340479</v>
          </cell>
          <cell r="M985">
            <v>29.949599057189541</v>
          </cell>
          <cell r="N985">
            <v>33.597369286644984</v>
          </cell>
          <cell r="O985">
            <v>36.392183481987843</v>
          </cell>
        </row>
        <row r="986">
          <cell r="A986" t="str">
            <v>RHEM-SHDEM</v>
          </cell>
          <cell r="B986" t="str">
            <v>VAR_fout</v>
          </cell>
          <cell r="C986" t="str">
            <v>RHEM-SHD</v>
          </cell>
          <cell r="D986">
            <v>66.986774791699034</v>
          </cell>
          <cell r="E986">
            <v>66.832236554610816</v>
          </cell>
          <cell r="F986">
            <v>66.89351301888513</v>
          </cell>
          <cell r="G986">
            <v>65.75912460796016</v>
          </cell>
          <cell r="H986">
            <v>65.029824014067131</v>
          </cell>
          <cell r="I986">
            <v>64.496684553178937</v>
          </cell>
          <cell r="J986">
            <v>63.191765114852537</v>
          </cell>
          <cell r="K986">
            <v>62.757584661612597</v>
          </cell>
          <cell r="L986">
            <v>60.714862081499298</v>
          </cell>
          <cell r="M986">
            <v>58.670602785372012</v>
          </cell>
          <cell r="N986">
            <v>58.688826299205019</v>
          </cell>
          <cell r="O986">
            <v>49.554861160532084</v>
          </cell>
        </row>
        <row r="987">
          <cell r="A987" t="str">
            <v>RHEM-SHDEM</v>
          </cell>
          <cell r="B987" t="str">
            <v>VAR_fin</v>
          </cell>
          <cell r="C987" t="str">
            <v>RHEM-SHNST</v>
          </cell>
          <cell r="D987">
            <v>1.564027706245881E-2</v>
          </cell>
          <cell r="E987">
            <v>2.2073651213167582E-5</v>
          </cell>
          <cell r="F987">
            <v>7.2819023527438849E-4</v>
          </cell>
          <cell r="G987">
            <v>2.7495288002305326E-4</v>
          </cell>
          <cell r="H987">
            <v>2.7398298148715119E-3</v>
          </cell>
          <cell r="I987">
            <v>2.206029754002112E-3</v>
          </cell>
          <cell r="J987">
            <v>5.4439102023024384E-3</v>
          </cell>
          <cell r="K987">
            <v>2.7057888373128568E-4</v>
          </cell>
          <cell r="L987">
            <v>1.537405109501735E-4</v>
          </cell>
          <cell r="M987">
            <v>2.7768889668536691E-4</v>
          </cell>
          <cell r="N987">
            <v>2.670545350832935E-4</v>
          </cell>
          <cell r="O987">
            <v>8.7262128306590057E-3</v>
          </cell>
        </row>
        <row r="988">
          <cell r="A988" t="str">
            <v>RHEM-SHDEM</v>
          </cell>
          <cell r="B988" t="str">
            <v>VAR_fin</v>
          </cell>
          <cell r="C988" t="str">
            <v>RHEM-SHPLT</v>
          </cell>
          <cell r="D988">
            <v>1.3981929619002185</v>
          </cell>
          <cell r="E988">
            <v>1.6077829030046009</v>
          </cell>
          <cell r="F988">
            <v>1.6071744734647238</v>
          </cell>
          <cell r="G988">
            <v>1.6075331032457625</v>
          </cell>
          <cell r="H988">
            <v>1.6057275139338851</v>
          </cell>
          <cell r="I988">
            <v>1.6060105101165512</v>
          </cell>
          <cell r="J988">
            <v>1.6027047678314712</v>
          </cell>
          <cell r="K988">
            <v>1.60764811067643</v>
          </cell>
          <cell r="L988">
            <v>1.6077104656101484</v>
          </cell>
          <cell r="M988">
            <v>1.6076337313645155</v>
          </cell>
          <cell r="N988">
            <v>1.6076431474621338</v>
          </cell>
          <cell r="O988">
            <v>1.5967974363456221</v>
          </cell>
        </row>
        <row r="989">
          <cell r="A989" t="str">
            <v>RHEM-SHDEM</v>
          </cell>
          <cell r="B989" t="str">
            <v>VAR_fin</v>
          </cell>
          <cell r="C989" t="str">
            <v>RHEM-SHNGAH</v>
          </cell>
          <cell r="D989">
            <v>1.0240262948149022E-3</v>
          </cell>
          <cell r="F989">
            <v>1.3777909932641893E-3</v>
          </cell>
          <cell r="G989">
            <v>9.67767665723639E-4</v>
          </cell>
          <cell r="H989">
            <v>0.79680488251012471</v>
          </cell>
          <cell r="I989">
            <v>0.83676409871364177</v>
          </cell>
          <cell r="J989">
            <v>0.83737405188247382</v>
          </cell>
          <cell r="K989">
            <v>4.8030081479742437</v>
          </cell>
          <cell r="L989">
            <v>4.8030691618611749</v>
          </cell>
          <cell r="M989">
            <v>4.8029706132171555</v>
          </cell>
          <cell r="N989">
            <v>4.8029778603498796</v>
          </cell>
          <cell r="O989">
            <v>4.7906027347416114</v>
          </cell>
        </row>
        <row r="990">
          <cell r="A990" t="str">
            <v>RHEM-SHDEM</v>
          </cell>
          <cell r="B990" t="str">
            <v>VAR_fin</v>
          </cell>
          <cell r="C990" t="str">
            <v>RHEM-SHLTHC-WOD</v>
          </cell>
          <cell r="D990">
            <v>1.158639391442789E-5</v>
          </cell>
          <cell r="G990">
            <v>5.9276371453454303E-4</v>
          </cell>
          <cell r="H990">
            <v>5.3215506060155593E-3</v>
          </cell>
          <cell r="I990">
            <v>0.13509276090722275</v>
          </cell>
          <cell r="J990">
            <v>0.24027369921209568</v>
          </cell>
          <cell r="K990">
            <v>0.22922083431712767</v>
          </cell>
          <cell r="L990">
            <v>0.22657710079362414</v>
          </cell>
          <cell r="M990">
            <v>0.22151377822625035</v>
          </cell>
          <cell r="N990">
            <v>0.22571751151014879</v>
          </cell>
          <cell r="O990">
            <v>0.21897891385981424</v>
          </cell>
        </row>
        <row r="991">
          <cell r="A991" t="str">
            <v>RHEM-SHDEM</v>
          </cell>
          <cell r="B991" t="str">
            <v>VAR_fin</v>
          </cell>
          <cell r="C991" t="str">
            <v>RHEM-SHSOL</v>
          </cell>
          <cell r="D991">
            <v>0.40627049317827124</v>
          </cell>
          <cell r="E991">
            <v>0.47087992412218027</v>
          </cell>
          <cell r="F991">
            <v>0.47011092976739621</v>
          </cell>
          <cell r="G991">
            <v>0.47053566186035012</v>
          </cell>
          <cell r="H991">
            <v>0.46688522349944922</v>
          </cell>
          <cell r="I991">
            <v>0.46065027737010417</v>
          </cell>
          <cell r="J991">
            <v>0.44675644652369612</v>
          </cell>
          <cell r="K991">
            <v>1.6232737093251253</v>
          </cell>
          <cell r="L991">
            <v>1.6082224953935038</v>
          </cell>
          <cell r="M991">
            <v>1.6703104340217636</v>
          </cell>
          <cell r="N991">
            <v>1.6618760101753318</v>
          </cell>
          <cell r="O991">
            <v>1.4406157345662838</v>
          </cell>
        </row>
        <row r="992">
          <cell r="A992" t="str">
            <v>RHEM-SHDEM</v>
          </cell>
          <cell r="B992" t="str">
            <v>VAR_fin</v>
          </cell>
          <cell r="C992" t="str">
            <v>RHEM-SHLTHD</v>
          </cell>
          <cell r="D992">
            <v>2.0254032505963515</v>
          </cell>
          <cell r="E992">
            <v>3.7887073356575507</v>
          </cell>
          <cell r="F992">
            <v>4.014759299197503</v>
          </cell>
          <cell r="G992">
            <v>3.1648391655771078</v>
          </cell>
          <cell r="H992">
            <v>3.0768578120979959</v>
          </cell>
          <cell r="I992">
            <v>3.7738563833198828</v>
          </cell>
          <cell r="J992">
            <v>2.7583929117889352</v>
          </cell>
          <cell r="K992">
            <v>3.6043342906031581</v>
          </cell>
          <cell r="L992">
            <v>3.4679268341259859</v>
          </cell>
          <cell r="M992">
            <v>3.3312676187532966</v>
          </cell>
          <cell r="N992">
            <v>3.332528893639974</v>
          </cell>
          <cell r="O992">
            <v>2.6645552073633105</v>
          </cell>
        </row>
        <row r="993">
          <cell r="A993" t="str">
            <v>RHEM-SHDEM</v>
          </cell>
          <cell r="B993" t="str">
            <v>VAR_fin</v>
          </cell>
          <cell r="C993" t="str">
            <v>RHEM-SHNGA</v>
          </cell>
          <cell r="D993">
            <v>18.970775678659209</v>
          </cell>
          <cell r="E993">
            <v>18.8591022395604</v>
          </cell>
          <cell r="F993">
            <v>19.099579753006374</v>
          </cell>
          <cell r="G993">
            <v>19.099968833709244</v>
          </cell>
          <cell r="H993">
            <v>17.715033201525689</v>
          </cell>
          <cell r="I993">
            <v>16.300138349688268</v>
          </cell>
          <cell r="J993">
            <v>15.801162378216</v>
          </cell>
          <cell r="K993">
            <v>4.6864784957676866</v>
          </cell>
          <cell r="L993">
            <v>3.3530328042577486</v>
          </cell>
          <cell r="M993">
            <v>3.0347021764406232</v>
          </cell>
          <cell r="N993">
            <v>3.0347041847393101</v>
          </cell>
          <cell r="O993">
            <v>2.2030831272184015</v>
          </cell>
        </row>
        <row r="994">
          <cell r="A994" t="str">
            <v>RHEM-SHDEM</v>
          </cell>
          <cell r="B994" t="str">
            <v>VAR_fin</v>
          </cell>
          <cell r="C994" t="str">
            <v>RHEM-SHELCB</v>
          </cell>
          <cell r="D994">
            <v>4.6098899855347852</v>
          </cell>
          <cell r="E994">
            <v>3.7226000167009405</v>
          </cell>
          <cell r="F994">
            <v>3.9276944472628812</v>
          </cell>
          <cell r="G994">
            <v>2.2998476418772777</v>
          </cell>
          <cell r="H994">
            <v>1.5977866476095466</v>
          </cell>
          <cell r="I994">
            <v>1.0085703215198298</v>
          </cell>
          <cell r="J994">
            <v>0.67660490757752167</v>
          </cell>
          <cell r="K994">
            <v>0.56161621014104257</v>
          </cell>
          <cell r="L994">
            <v>0.34258978581631183</v>
          </cell>
          <cell r="M994">
            <v>0.32900018986781071</v>
          </cell>
          <cell r="N994">
            <v>1.0803504346479815</v>
          </cell>
          <cell r="O994">
            <v>0.29034497857026181</v>
          </cell>
        </row>
        <row r="995">
          <cell r="A995" t="str">
            <v>RHEM-SHDEM</v>
          </cell>
          <cell r="B995" t="str">
            <v>VAR_fin</v>
          </cell>
          <cell r="C995" t="str">
            <v>RHEM-SHELCH</v>
          </cell>
          <cell r="D995">
            <v>9.878200039510082</v>
          </cell>
          <cell r="E995">
            <v>11.655179826745798</v>
          </cell>
          <cell r="F995">
            <v>11.65439909981073</v>
          </cell>
          <cell r="G995">
            <v>16.800272746919987</v>
          </cell>
          <cell r="H995">
            <v>23.611552054686019</v>
          </cell>
          <cell r="I995">
            <v>23.612518625804547</v>
          </cell>
          <cell r="J995">
            <v>26.727226451244952</v>
          </cell>
          <cell r="K995">
            <v>30.723012989825868</v>
          </cell>
          <cell r="L995">
            <v>30.723089506175381</v>
          </cell>
          <cell r="M995">
            <v>30.722958698589835</v>
          </cell>
          <cell r="N995">
            <v>30.722980844570479</v>
          </cell>
          <cell r="O995">
            <v>30.709570468298708</v>
          </cell>
        </row>
        <row r="996">
          <cell r="A996" t="str">
            <v>RHEM-SHDEM</v>
          </cell>
          <cell r="B996" t="str">
            <v>VAR_fin</v>
          </cell>
          <cell r="C996" t="str">
            <v>RHEM-SHLFO</v>
          </cell>
          <cell r="D996">
            <v>23.40535683296434</v>
          </cell>
          <cell r="E996">
            <v>18.543564688224233</v>
          </cell>
          <cell r="F996">
            <v>18.850776926622036</v>
          </cell>
          <cell r="G996">
            <v>16.154182463206055</v>
          </cell>
          <cell r="H996">
            <v>9.3006491486745659</v>
          </cell>
          <cell r="I996">
            <v>7.0087141036504743</v>
          </cell>
          <cell r="J996">
            <v>4.6932626212946591</v>
          </cell>
          <cell r="K996">
            <v>4.7080729764202545</v>
          </cell>
          <cell r="L996">
            <v>4.7081396476209996</v>
          </cell>
          <cell r="M996">
            <v>3.1670500464742366</v>
          </cell>
          <cell r="N996">
            <v>2.4485990412395231</v>
          </cell>
          <cell r="O996">
            <v>3.3630893553965722E-2</v>
          </cell>
        </row>
        <row r="997">
          <cell r="A997" t="str">
            <v>RHEM-SHDEM</v>
          </cell>
          <cell r="B997" t="str">
            <v>VAR_fin</v>
          </cell>
          <cell r="C997" t="str">
            <v>RHEM-SHCON</v>
          </cell>
          <cell r="D997">
            <v>1.4838539251566885</v>
          </cell>
          <cell r="E997">
            <v>3.5103753701614262</v>
          </cell>
          <cell r="F997">
            <v>3.5101724083751979</v>
          </cell>
          <cell r="G997">
            <v>3.5102767953392626</v>
          </cell>
          <cell r="H997">
            <v>4.332409305084993</v>
          </cell>
          <cell r="I997">
            <v>7.9798996127010398</v>
          </cell>
          <cell r="J997">
            <v>7.9798112864543063</v>
          </cell>
          <cell r="K997">
            <v>8.8060744850616732</v>
          </cell>
          <cell r="L997">
            <v>8.8060677379212908</v>
          </cell>
          <cell r="M997">
            <v>8.8060673364390336</v>
          </cell>
          <cell r="N997">
            <v>8.8054671209423976</v>
          </cell>
          <cell r="O997">
            <v>4.8933557264923309</v>
          </cell>
        </row>
        <row r="998">
          <cell r="A998" t="str">
            <v>RHEM-SHDEM</v>
          </cell>
          <cell r="B998" t="str">
            <v>VAR_fin</v>
          </cell>
          <cell r="C998" t="str">
            <v>RHEM-SHWOD</v>
          </cell>
          <cell r="D998">
            <v>4.7258190110887206</v>
          </cell>
          <cell r="E998">
            <v>4.6741053341389938</v>
          </cell>
          <cell r="F998">
            <v>3.5321238907918171</v>
          </cell>
          <cell r="G998">
            <v>2.4252492298662114</v>
          </cell>
          <cell r="H998">
            <v>2.2937763407274598</v>
          </cell>
          <cell r="I998">
            <v>1.6786138344203401</v>
          </cell>
          <cell r="J998">
            <v>1.4164902436135138</v>
          </cell>
          <cell r="K998">
            <v>1.4047462604668528</v>
          </cell>
          <cell r="L998">
            <v>1.0658833095808793</v>
          </cell>
          <cell r="M998">
            <v>0.97204107299356246</v>
          </cell>
          <cell r="N998">
            <v>0.96148406616480075</v>
          </cell>
          <cell r="O998">
            <v>0.68387121102779946</v>
          </cell>
        </row>
        <row r="999">
          <cell r="A999" t="str">
            <v>RHEM-SHDEM</v>
          </cell>
          <cell r="B999" t="str">
            <v>VAR_fin</v>
          </cell>
          <cell r="C999" t="str">
            <v>RHEM-SHLTHC-NGA</v>
          </cell>
          <cell r="D999">
            <v>6.6511491374109485E-2</v>
          </cell>
          <cell r="E999">
            <v>8.2993922133732759E-5</v>
          </cell>
          <cell r="F999">
            <v>0.22480627983201318</v>
          </cell>
          <cell r="G999">
            <v>0.22469029749425307</v>
          </cell>
          <cell r="H999">
            <v>0.22442645587389515</v>
          </cell>
          <cell r="I999">
            <v>9.3788559215378237E-2</v>
          </cell>
          <cell r="J999">
            <v>6.4408634682262796E-3</v>
          </cell>
          <cell r="K999">
            <v>1.3029397134939815E-5</v>
          </cell>
          <cell r="L999">
            <v>2.5052331961511348E-3</v>
          </cell>
          <cell r="M999">
            <v>5.0300964156463285E-3</v>
          </cell>
          <cell r="N999">
            <v>4.3333900726006428E-3</v>
          </cell>
          <cell r="O999">
            <v>2.0965712074842147E-2</v>
          </cell>
        </row>
        <row r="1000">
          <cell r="A1000" t="str">
            <v>ITOT-SWHH2BR</v>
          </cell>
          <cell r="B1000" t="str">
            <v>VAR_fout</v>
          </cell>
          <cell r="C1000" t="str">
            <v>ITOT-SWH</v>
          </cell>
          <cell r="G1000">
            <v>1.9257274867104688E-2</v>
          </cell>
          <cell r="H1000">
            <v>8.1231534416669717</v>
          </cell>
          <cell r="I1000">
            <v>8.1231533757630068</v>
          </cell>
          <cell r="J1000">
            <v>8.1231562394434871</v>
          </cell>
          <cell r="K1000">
            <v>14.562201813130669</v>
          </cell>
          <cell r="L1000">
            <v>14.689228598308063</v>
          </cell>
          <cell r="M1000">
            <v>14.689233518550893</v>
          </cell>
          <cell r="N1000">
            <v>14.68922506720785</v>
          </cell>
          <cell r="O1000">
            <v>14.689227867192967</v>
          </cell>
        </row>
        <row r="1001">
          <cell r="A1001" t="str">
            <v>ITOT-SWHH2BR</v>
          </cell>
          <cell r="B1001" t="str">
            <v>VAR_fin</v>
          </cell>
          <cell r="C1001" t="str">
            <v>IH2</v>
          </cell>
          <cell r="G1001">
            <v>2.3921981590954745E-2</v>
          </cell>
          <cell r="H1001">
            <v>10.068798898569103</v>
          </cell>
          <cell r="I1001">
            <v>10.04686163962257</v>
          </cell>
          <cell r="J1001">
            <v>10.025023379003331</v>
          </cell>
          <cell r="K1001">
            <v>17.932651365710083</v>
          </cell>
          <cell r="L1001">
            <v>18.081234107321457</v>
          </cell>
          <cell r="M1001">
            <v>18.073402325339124</v>
          </cell>
          <cell r="N1001">
            <v>18.065560885180563</v>
          </cell>
          <cell r="O1001">
            <v>18.057740068799301</v>
          </cell>
        </row>
        <row r="1002">
          <cell r="A1002" t="str">
            <v>ITOT-SWHH2BR</v>
          </cell>
          <cell r="B1002" t="str">
            <v>VAR_ncap</v>
          </cell>
          <cell r="C1002" t="str">
            <v>-</v>
          </cell>
          <cell r="G1002">
            <v>1.46801037106249E-3</v>
          </cell>
          <cell r="H1002">
            <v>0.85017262689641204</v>
          </cell>
          <cell r="I1002">
            <v>4.5920156150631199E-6</v>
          </cell>
          <cell r="J1002">
            <v>6.6372055216427004E-6</v>
          </cell>
          <cell r="K1002">
            <v>1.15725192172568</v>
          </cell>
          <cell r="L1002">
            <v>7.1121026672467599E-2</v>
          </cell>
          <cell r="M1002">
            <v>6.6124910122173405E-2</v>
          </cell>
          <cell r="N1002">
            <v>0.97543546318495</v>
          </cell>
          <cell r="O1002">
            <v>0.21706964035318799</v>
          </cell>
        </row>
        <row r="1003">
          <cell r="A1003" t="str">
            <v>ITOT-SWHH2BR</v>
          </cell>
          <cell r="B1003" t="str">
            <v>VAR_cap</v>
          </cell>
          <cell r="C1003" t="str">
            <v>-</v>
          </cell>
          <cell r="G1003">
            <v>1.46801037106249E-3</v>
          </cell>
          <cell r="H1003">
            <v>0.85164000725107691</v>
          </cell>
          <cell r="I1003">
            <v>0.71820856693847801</v>
          </cell>
          <cell r="J1003">
            <v>0.68023751469646199</v>
          </cell>
          <cell r="K1003">
            <v>1.1572583723446974</v>
          </cell>
          <cell r="L1003">
            <v>1.2283745805654964</v>
          </cell>
          <cell r="M1003">
            <v>1.2944871768703983</v>
          </cell>
          <cell r="N1003">
            <v>1.295094312611295</v>
          </cell>
          <cell r="O1003">
            <v>1.2586184288821094</v>
          </cell>
        </row>
        <row r="1004">
          <cell r="A1004" t="str">
            <v>RHNS-SHSTG-ELC</v>
          </cell>
          <cell r="B1004" t="str">
            <v>VAR_fout</v>
          </cell>
          <cell r="C1004" t="str">
            <v>RHNS-SHAELCB</v>
          </cell>
          <cell r="F1004">
            <v>8.4805656164764608E-3</v>
          </cell>
          <cell r="G1004">
            <v>5.9230028786101351E-5</v>
          </cell>
          <cell r="H1004">
            <v>2.370480981994778E-5</v>
          </cell>
          <cell r="I1004">
            <v>9.4675653495133445E-6</v>
          </cell>
          <cell r="J1004">
            <v>5.9532376740262635E-5</v>
          </cell>
          <cell r="K1004">
            <v>5.2652762637347591E-5</v>
          </cell>
          <cell r="L1004">
            <v>4.3185195896200961E-5</v>
          </cell>
          <cell r="M1004">
            <v>2.5226586851970175E-5</v>
          </cell>
          <cell r="N1004">
            <v>2.6608819689897846E-5</v>
          </cell>
          <cell r="O1004">
            <v>4.8063285487975671E-5</v>
          </cell>
        </row>
        <row r="1005">
          <cell r="A1005" t="str">
            <v>RHNS-SHSTG-ELC</v>
          </cell>
          <cell r="B1005" t="str">
            <v>VAR_fin</v>
          </cell>
          <cell r="C1005" t="str">
            <v>RHNS-SHAELCB</v>
          </cell>
          <cell r="E1005">
            <v>1.03837174240283E-8</v>
          </cell>
          <cell r="F1005">
            <v>8.4805982880848448E-3</v>
          </cell>
          <cell r="G1005">
            <v>5.8760283531685604E-5</v>
          </cell>
          <cell r="H1005">
            <v>2.3701111613165537E-5</v>
          </cell>
          <cell r="I1005">
            <v>9.3930921431856119E-6</v>
          </cell>
          <cell r="J1005">
            <v>5.9416921033070946E-5</v>
          </cell>
          <cell r="K1005">
            <v>5.2635084640898308E-5</v>
          </cell>
          <cell r="L1005">
            <v>4.3024512650118781E-5</v>
          </cell>
          <cell r="M1005">
            <v>2.5283144248068854E-5</v>
          </cell>
          <cell r="N1005">
            <v>2.6783964057827842E-5</v>
          </cell>
          <cell r="O1005">
            <v>4.8176062657032375E-5</v>
          </cell>
        </row>
        <row r="1006">
          <cell r="A1006" t="str">
            <v>RHNS-SHSTG-ELC</v>
          </cell>
          <cell r="B1006" t="str">
            <v>VAR_ncap</v>
          </cell>
          <cell r="C1006" t="str">
            <v>-</v>
          </cell>
          <cell r="D1006">
            <v>2.7986189010235498E-5</v>
          </cell>
          <cell r="E1006">
            <v>9.1860775112237198E-4</v>
          </cell>
          <cell r="F1006">
            <v>1.1613977490551299E-5</v>
          </cell>
          <cell r="G1006">
            <v>3.02312864179368E-6</v>
          </cell>
          <cell r="H1006">
            <v>4.2565755658161004E-6</v>
          </cell>
          <cell r="I1006">
            <v>2.64519654290208E-6</v>
          </cell>
          <cell r="J1006">
            <v>1.28451618136342E-5</v>
          </cell>
          <cell r="K1006">
            <v>1.1101397333972499E-5</v>
          </cell>
          <cell r="L1006">
            <v>8.9901601889539496E-6</v>
          </cell>
          <cell r="M1006">
            <v>8.1284261846527398E-6</v>
          </cell>
          <cell r="N1006">
            <v>6.6221997820814398E-6</v>
          </cell>
          <cell r="O1006">
            <v>1.3157845484625801E-5</v>
          </cell>
        </row>
        <row r="1007">
          <cell r="A1007" t="str">
            <v>RHNS-SHSTG-ELC</v>
          </cell>
          <cell r="B1007" t="str">
            <v>VAR_cap</v>
          </cell>
          <cell r="C1007" t="str">
            <v>-</v>
          </cell>
          <cell r="D1007">
            <v>2.7986189010235498E-5</v>
          </cell>
          <cell r="E1007">
            <v>9.4523823633977646E-4</v>
          </cell>
          <cell r="F1007">
            <v>9.5479664551502072E-4</v>
          </cell>
          <cell r="G1007">
            <v>1.6037589905420081E-5</v>
          </cell>
          <cell r="H1007">
            <v>8.4976482364579982E-6</v>
          </cell>
          <cell r="I1007">
            <v>3.6392503839637102E-6</v>
          </cell>
          <cell r="J1007">
            <v>1.3642847591357881E-5</v>
          </cell>
          <cell r="K1007">
            <v>1.3450343558146599E-5</v>
          </cell>
          <cell r="L1007">
            <v>1.1190701639911596E-5</v>
          </cell>
          <cell r="M1007">
            <v>8.3452127840808984E-6</v>
          </cell>
          <cell r="N1007">
            <v>8.3190542212612016E-6</v>
          </cell>
          <cell r="O1007">
            <v>1.6092237059553802E-5</v>
          </cell>
        </row>
        <row r="1008">
          <cell r="A1008" t="str">
            <v>RHES-SHCOABR</v>
          </cell>
          <cell r="B1008" t="str">
            <v>VAR_fout</v>
          </cell>
          <cell r="C1008" t="str">
            <v>CO2_R</v>
          </cell>
          <cell r="D1008">
            <v>9.2700412864716402</v>
          </cell>
          <cell r="E1008">
            <v>9.2700133145970405</v>
          </cell>
          <cell r="F1008">
            <v>5.3640066552239199E-2</v>
          </cell>
          <cell r="G1008">
            <v>3.2382614697499597E-2</v>
          </cell>
          <cell r="H1008">
            <v>1.23472012021514E-2</v>
          </cell>
        </row>
        <row r="1009">
          <cell r="A1009" t="str">
            <v>RHES-SHCOABR</v>
          </cell>
          <cell r="B1009" t="str">
            <v>VAR_fout</v>
          </cell>
          <cell r="C1009" t="str">
            <v>RHES-SHCOA</v>
          </cell>
          <cell r="D1009">
            <v>7.2000320671624485E-2</v>
          </cell>
          <cell r="E1009">
            <v>7.2000103414345998E-2</v>
          </cell>
          <cell r="F1009">
            <v>4.1662187613389649E-4</v>
          </cell>
          <cell r="G1009">
            <v>2.5151545396116207E-4</v>
          </cell>
          <cell r="H1009">
            <v>9.5900591861370406E-5</v>
          </cell>
        </row>
        <row r="1010">
          <cell r="A1010" t="str">
            <v>RHES-SHCOABR</v>
          </cell>
          <cell r="B1010" t="str">
            <v>VAR_fin</v>
          </cell>
          <cell r="C1010" t="str">
            <v>RCOA</v>
          </cell>
          <cell r="D1010">
            <v>0.10000044537725621</v>
          </cell>
          <cell r="E1010">
            <v>0.1000001436310361</v>
          </cell>
          <cell r="F1010">
            <v>5.7864149463041168E-4</v>
          </cell>
          <cell r="G1010">
            <v>3.4932701939050268E-4</v>
          </cell>
          <cell r="H1010">
            <v>1.3319526647412544E-4</v>
          </cell>
        </row>
        <row r="1011">
          <cell r="A1011" t="str">
            <v>RHES-SHCOABR</v>
          </cell>
          <cell r="B1011" t="str">
            <v>VAR_cap</v>
          </cell>
          <cell r="C1011" t="str">
            <v>-</v>
          </cell>
          <cell r="D1011">
            <v>7.0000000000000001E-3</v>
          </cell>
          <cell r="E1011">
            <v>6.1045190512805658E-3</v>
          </cell>
          <cell r="F1011">
            <v>5.8235452528299786E-5</v>
          </cell>
          <cell r="G1011">
            <v>3.8592601333100121E-5</v>
          </cell>
          <cell r="H1011">
            <v>9.9949196653099839E-6</v>
          </cell>
        </row>
        <row r="1012">
          <cell r="A1012" t="str">
            <v>D-INGA</v>
          </cell>
          <cell r="B1012" t="str">
            <v>VAR_fout</v>
          </cell>
          <cell r="C1012" t="str">
            <v>CO2</v>
          </cell>
          <cell r="D1012">
            <v>2101.41405860642</v>
          </cell>
          <cell r="E1012">
            <v>1757.5828810117901</v>
          </cell>
          <cell r="F1012">
            <v>1835.67288881636</v>
          </cell>
          <cell r="G1012">
            <v>1360.5898604062099</v>
          </cell>
          <cell r="H1012">
            <v>639.42525107009806</v>
          </cell>
          <cell r="I1012">
            <v>800.27761310012795</v>
          </cell>
          <cell r="J1012">
            <v>545.06093311255802</v>
          </cell>
          <cell r="K1012">
            <v>54.387294689906199</v>
          </cell>
          <cell r="L1012">
            <v>5.4772000993435703E-2</v>
          </cell>
          <cell r="M1012">
            <v>1.23248726570062E-2</v>
          </cell>
          <cell r="N1012">
            <v>7.0965308900596998E-3</v>
          </cell>
          <cell r="O1012">
            <v>3.1382009709440802E-3</v>
          </cell>
        </row>
        <row r="1013">
          <cell r="A1013" t="str">
            <v>D-INGA</v>
          </cell>
          <cell r="B1013" t="str">
            <v>VAR_fout</v>
          </cell>
          <cell r="C1013" t="str">
            <v>IH2</v>
          </cell>
          <cell r="G1013">
            <v>2.8234235368518552E-2</v>
          </cell>
          <cell r="H1013">
            <v>0.42847611910412164</v>
          </cell>
          <cell r="I1013">
            <v>0.51619533434934051</v>
          </cell>
          <cell r="J1013">
            <v>0.37626435865462837</v>
          </cell>
          <cell r="K1013">
            <v>0.1076186517102746</v>
          </cell>
          <cell r="L1013">
            <v>7.7486293062533837E-2</v>
          </cell>
          <cell r="M1013">
            <v>7.70206560474926E-2</v>
          </cell>
          <cell r="N1013">
            <v>7.7218995512808211E-2</v>
          </cell>
          <cell r="O1013">
            <v>7.6362834070848609E-2</v>
          </cell>
        </row>
        <row r="1014">
          <cell r="A1014" t="str">
            <v>D-INGA</v>
          </cell>
          <cell r="B1014" t="str">
            <v>VAR_fout</v>
          </cell>
          <cell r="C1014" t="str">
            <v>INGA</v>
          </cell>
          <cell r="D1014">
            <v>37.468433262182018</v>
          </cell>
          <cell r="E1014">
            <v>31.063583132195568</v>
          </cell>
          <cell r="F1014">
            <v>34.598967425659907</v>
          </cell>
          <cell r="G1014">
            <v>26.556790273967074</v>
          </cell>
          <cell r="H1014">
            <v>13.809624065349297</v>
          </cell>
          <cell r="I1014">
            <v>16.652229778467749</v>
          </cell>
          <cell r="J1014">
            <v>12.141953891426647</v>
          </cell>
          <cell r="K1014">
            <v>3.4706261829387466</v>
          </cell>
          <cell r="L1014">
            <v>2.5104510919912131</v>
          </cell>
          <cell r="M1014">
            <v>2.5096964645838979</v>
          </cell>
          <cell r="N1014">
            <v>2.5096028281379317</v>
          </cell>
          <cell r="O1014">
            <v>2.509541753278675</v>
          </cell>
        </row>
        <row r="1015">
          <cell r="A1015" t="str">
            <v>D-INGA</v>
          </cell>
          <cell r="B1015" t="str">
            <v>VAR_fin</v>
          </cell>
          <cell r="C1015" t="str">
            <v>NGA</v>
          </cell>
          <cell r="D1015">
            <v>37.259114514298176</v>
          </cell>
          <cell r="E1015">
            <v>31.162817039216208</v>
          </cell>
          <cell r="F1015">
            <v>32.547391645680136</v>
          </cell>
          <cell r="G1015">
            <v>24.123933695145485</v>
          </cell>
          <cell r="H1015">
            <v>11.337327146632934</v>
          </cell>
          <cell r="I1015">
            <v>14.189319381207943</v>
          </cell>
          <cell r="J1015">
            <v>9.6642009417120178</v>
          </cell>
          <cell r="K1015">
            <v>0.96431373563663425</v>
          </cell>
          <cell r="L1015">
            <v>9.7113476938715741E-4</v>
          </cell>
          <cell r="M1015">
            <v>2.1852611093982642E-4</v>
          </cell>
          <cell r="N1015">
            <v>1.258250157812003E-4</v>
          </cell>
          <cell r="O1015">
            <v>5.5641861186951637E-5</v>
          </cell>
        </row>
        <row r="1016">
          <cell r="A1016" t="str">
            <v>D-INGA</v>
          </cell>
          <cell r="B1016" t="str">
            <v>VAR_fin</v>
          </cell>
          <cell r="C1016" t="str">
            <v>BNGA</v>
          </cell>
          <cell r="D1016">
            <v>0.32901613871718033</v>
          </cell>
          <cell r="E1016">
            <v>2.0101019734244572E-5</v>
          </cell>
          <cell r="F1016">
            <v>2.1621063190445375</v>
          </cell>
          <cell r="G1016">
            <v>2.5178060278255954</v>
          </cell>
          <cell r="H1016">
            <v>2.517806300881825</v>
          </cell>
          <cell r="I1016">
            <v>2.5178063848925198</v>
          </cell>
          <cell r="J1016">
            <v>2.5178064796891557</v>
          </cell>
          <cell r="K1016">
            <v>2.5178008374095864</v>
          </cell>
          <cell r="L1016">
            <v>2.5177727325489254</v>
          </cell>
          <cell r="M1016">
            <v>2.5177729654341694</v>
          </cell>
          <cell r="N1016">
            <v>2.5177686912604598</v>
          </cell>
          <cell r="O1016">
            <v>2.5177713412731939</v>
          </cell>
        </row>
        <row r="1017">
          <cell r="A1017" t="str">
            <v>D-INGA</v>
          </cell>
          <cell r="B1017" t="str">
            <v>VAR_fin</v>
          </cell>
          <cell r="C1017" t="str">
            <v>H2</v>
          </cell>
          <cell r="G1017">
            <v>2.823423554262634E-2</v>
          </cell>
          <cell r="H1017">
            <v>0.42847611936188273</v>
          </cell>
          <cell r="I1017">
            <v>0.51619533434935394</v>
          </cell>
          <cell r="J1017">
            <v>0.37626336928220067</v>
          </cell>
          <cell r="K1017">
            <v>0.10761856397468059</v>
          </cell>
          <cell r="L1017">
            <v>7.7486293062535364E-2</v>
          </cell>
          <cell r="M1017">
            <v>7.7020515097437486E-2</v>
          </cell>
          <cell r="N1017">
            <v>7.7218555319014601E-2</v>
          </cell>
          <cell r="O1017">
            <v>7.6360801117081462E-2</v>
          </cell>
        </row>
        <row r="1018">
          <cell r="A1018" t="str">
            <v>D-INGA</v>
          </cell>
          <cell r="B1018" t="str">
            <v>VAR_ncap</v>
          </cell>
          <cell r="C1018" t="str">
            <v>-</v>
          </cell>
          <cell r="D1018">
            <v>1.6931165082080201E-7</v>
          </cell>
          <cell r="E1018">
            <v>1.0921016484054599E-7</v>
          </cell>
          <cell r="F1018">
            <v>1.43652319454265E-7</v>
          </cell>
          <cell r="G1018">
            <v>2.1936796748272799E-7</v>
          </cell>
          <cell r="H1018">
            <v>4.1763446916845201E-7</v>
          </cell>
          <cell r="I1018">
            <v>7.1380574497149399E-7</v>
          </cell>
          <cell r="J1018">
            <v>1.04054629053316E-6</v>
          </cell>
          <cell r="K1018">
            <v>0.27340178517716701</v>
          </cell>
          <cell r="L1018">
            <v>1.9345386278055401E-6</v>
          </cell>
          <cell r="M1018">
            <v>3.8989447715655198E-6</v>
          </cell>
          <cell r="N1018">
            <v>2.0170391886422498E-6</v>
          </cell>
          <cell r="O1018">
            <v>1.59377790996307E-5</v>
          </cell>
        </row>
        <row r="1019">
          <cell r="A1019" t="str">
            <v>D-INGA</v>
          </cell>
          <cell r="B1019" t="str">
            <v>VAR_cap</v>
          </cell>
          <cell r="C1019" t="str">
            <v>-</v>
          </cell>
          <cell r="D1019">
            <v>1.9844835395777509</v>
          </cell>
          <cell r="E1019">
            <v>1.9844836487879156</v>
          </cell>
          <cell r="F1019">
            <v>1.9844837924402352</v>
          </cell>
          <cell r="G1019">
            <v>1.9844840118082026</v>
          </cell>
          <cell r="H1019">
            <v>1.9844844294426718</v>
          </cell>
          <cell r="I1019">
            <v>1.9844851432484167</v>
          </cell>
          <cell r="J1019">
            <v>1.9844861837947072</v>
          </cell>
          <cell r="K1019">
            <v>1.1668188539138209</v>
          </cell>
          <cell r="L1019">
            <v>0.38025458244308202</v>
          </cell>
          <cell r="M1019">
            <v>0.273410253528863</v>
          </cell>
          <cell r="N1019">
            <v>0.27341198295555302</v>
          </cell>
          <cell r="O1019">
            <v>0.27342774546535897</v>
          </cell>
        </row>
        <row r="1020">
          <cell r="A1020" t="str">
            <v>RHEM-SHNGAHP</v>
          </cell>
          <cell r="B1020" t="str">
            <v>VAR_fout</v>
          </cell>
          <cell r="C1020" t="str">
            <v>CO2_R</v>
          </cell>
          <cell r="F1020">
            <v>9.7360750795169003E-3</v>
          </cell>
          <cell r="G1020">
            <v>2.04254202969954E-2</v>
          </cell>
          <cell r="H1020">
            <v>20.9366620802904</v>
          </cell>
          <cell r="I1020">
            <v>21.2875393939612</v>
          </cell>
          <cell r="J1020">
            <v>20.6879707954316</v>
          </cell>
          <cell r="K1020">
            <v>115.76963879053601</v>
          </cell>
          <cell r="L1020">
            <v>115.769424968379</v>
          </cell>
          <cell r="M1020">
            <v>115.769436732705</v>
          </cell>
          <cell r="N1020">
            <v>115.769382299364</v>
          </cell>
          <cell r="O1020">
            <v>115.769451212947</v>
          </cell>
        </row>
        <row r="1021">
          <cell r="A1021" t="str">
            <v>RHEM-SHNGAHP</v>
          </cell>
          <cell r="B1021" t="str">
            <v>VAR_fout</v>
          </cell>
          <cell r="C1021" t="str">
            <v>RHEM-SHANGAH</v>
          </cell>
          <cell r="F1021">
            <v>3.4525088934457071E-4</v>
          </cell>
          <cell r="G1021">
            <v>7.532779116622406E-4</v>
          </cell>
          <cell r="H1021">
            <v>0.79811743745787767</v>
          </cell>
          <cell r="I1021">
            <v>0.83791378465592004</v>
          </cell>
          <cell r="J1021">
            <v>0.83632222364510556</v>
          </cell>
          <cell r="K1021">
            <v>4.8032084179052212</v>
          </cell>
          <cell r="L1021">
            <v>4.8031995465603901</v>
          </cell>
          <cell r="M1021">
            <v>4.8032000346547967</v>
          </cell>
          <cell r="N1021">
            <v>4.8031977762501921</v>
          </cell>
          <cell r="O1021">
            <v>4.8032006354308008</v>
          </cell>
        </row>
        <row r="1022">
          <cell r="A1022" t="str">
            <v>RHEM-SHNGAHP</v>
          </cell>
          <cell r="B1022" t="str">
            <v>VAR_fin</v>
          </cell>
          <cell r="C1022" t="str">
            <v>RHEMELCHPC</v>
          </cell>
          <cell r="F1022">
            <v>3.4525088934457071E-4</v>
          </cell>
          <cell r="G1022">
            <v>7.532779116622406E-4</v>
          </cell>
          <cell r="H1022">
            <v>0.79811743745787767</v>
          </cell>
          <cell r="I1022">
            <v>0.83791378465592004</v>
          </cell>
          <cell r="J1022">
            <v>0.83632222364510556</v>
          </cell>
          <cell r="K1022">
            <v>4.8032084179052212</v>
          </cell>
          <cell r="L1022">
            <v>4.8031995465603901</v>
          </cell>
          <cell r="M1022">
            <v>4.8032000346547967</v>
          </cell>
          <cell r="N1022">
            <v>4.8031977762501921</v>
          </cell>
          <cell r="O1022">
            <v>4.8032006354308008</v>
          </cell>
        </row>
        <row r="1023">
          <cell r="A1023" t="str">
            <v>RHEM-SHNGAHP</v>
          </cell>
          <cell r="B1023" t="str">
            <v>VAR_fin</v>
          </cell>
          <cell r="C1023" t="str">
            <v>RNGA</v>
          </cell>
          <cell r="F1023">
            <v>1.7262544467228541E-4</v>
          </cell>
          <cell r="G1023">
            <v>3.6215284214530772E-4</v>
          </cell>
          <cell r="H1023">
            <v>0.37121741277110604</v>
          </cell>
          <cell r="I1023">
            <v>0.37743864173690062</v>
          </cell>
          <cell r="J1023">
            <v>0.36680799282680032</v>
          </cell>
          <cell r="K1023">
            <v>2.0526531700449664</v>
          </cell>
          <cell r="L1023">
            <v>2.0526493788719615</v>
          </cell>
          <cell r="M1023">
            <v>2.0526495874593147</v>
          </cell>
          <cell r="N1023">
            <v>2.0526486223291434</v>
          </cell>
          <cell r="O1023">
            <v>2.0526498442011949</v>
          </cell>
        </row>
        <row r="1024">
          <cell r="A1024" t="str">
            <v>RHEM-SHNGAHP</v>
          </cell>
          <cell r="B1024" t="str">
            <v>VAR_ncap</v>
          </cell>
          <cell r="C1024" t="str">
            <v>-</v>
          </cell>
          <cell r="D1024">
            <v>3.42308964733841E-8</v>
          </cell>
          <cell r="E1024">
            <v>7.6525596069077506E-8</v>
          </cell>
          <cell r="F1024">
            <v>3.6671364450721699E-5</v>
          </cell>
          <cell r="G1024">
            <v>2.0540680931532398E-5</v>
          </cell>
          <cell r="H1024">
            <v>5.6407822047716098E-2</v>
          </cell>
          <cell r="I1024">
            <v>2.7577125763771598E-3</v>
          </cell>
          <cell r="J1024">
            <v>1.19667640832042E-6</v>
          </cell>
          <cell r="K1024">
            <v>0.339300532228208</v>
          </cell>
          <cell r="L1024">
            <v>4.5190576012076202E-4</v>
          </cell>
          <cell r="M1024">
            <v>3.7682013111322598E-5</v>
          </cell>
          <cell r="N1024">
            <v>0.28161374270345901</v>
          </cell>
          <cell r="O1024">
            <v>6.04135163484011E-2</v>
          </cell>
        </row>
        <row r="1025">
          <cell r="A1025" t="str">
            <v>RHEM-SHNGAHP</v>
          </cell>
          <cell r="B1025" t="str">
            <v>VAR_cap</v>
          </cell>
          <cell r="C1025" t="str">
            <v>-</v>
          </cell>
          <cell r="D1025">
            <v>3.42308964733841E-8</v>
          </cell>
          <cell r="E1025">
            <v>6.9335510376791306E-8</v>
          </cell>
          <cell r="F1025">
            <v>3.6732078519843276E-5</v>
          </cell>
          <cell r="G1025">
            <v>5.7277835317830626E-5</v>
          </cell>
          <cell r="H1025">
            <v>5.6464959614257591E-2</v>
          </cell>
          <cell r="I1025">
            <v>5.9189774537821004E-2</v>
          </cell>
          <cell r="J1025">
            <v>5.9166668561874733E-2</v>
          </cell>
          <cell r="K1025">
            <v>0.34205931535078454</v>
          </cell>
          <cell r="L1025">
            <v>0.34017710565238274</v>
          </cell>
          <cell r="M1025">
            <v>0.33978998223267537</v>
          </cell>
          <cell r="N1025">
            <v>0.34205747159827132</v>
          </cell>
          <cell r="O1025">
            <v>0.34206482375779568</v>
          </cell>
        </row>
        <row r="1026">
          <cell r="A1026" t="str">
            <v>D-SPLT</v>
          </cell>
          <cell r="B1026" t="str">
            <v>VAR_fout</v>
          </cell>
          <cell r="C1026" t="str">
            <v>SPLT</v>
          </cell>
          <cell r="D1026">
            <v>2.0856341786007335</v>
          </cell>
          <cell r="E1026">
            <v>2.4000913323849185</v>
          </cell>
          <cell r="F1026">
            <v>2.3592224312732544</v>
          </cell>
          <cell r="G1026">
            <v>2.4190455154191564</v>
          </cell>
          <cell r="H1026">
            <v>2.568558666949436</v>
          </cell>
          <cell r="I1026">
            <v>2.8397949360617236</v>
          </cell>
          <cell r="J1026">
            <v>2.8527471903716393</v>
          </cell>
          <cell r="K1026">
            <v>3.0935275674350464</v>
          </cell>
          <cell r="L1026">
            <v>2.4325983050244089</v>
          </cell>
          <cell r="M1026">
            <v>2.4496569461249953</v>
          </cell>
          <cell r="N1026">
            <v>2.4503397560215894</v>
          </cell>
          <cell r="O1026">
            <v>2.4510446729545121</v>
          </cell>
        </row>
        <row r="1027">
          <cell r="A1027" t="str">
            <v>D-SPLT</v>
          </cell>
          <cell r="B1027" t="str">
            <v>VAR_fin</v>
          </cell>
          <cell r="C1027" t="str">
            <v>PLT</v>
          </cell>
          <cell r="D1027">
            <v>2.0856341786007335</v>
          </cell>
          <cell r="E1027">
            <v>2.4000913323849185</v>
          </cell>
          <cell r="F1027">
            <v>2.3592224312732544</v>
          </cell>
          <cell r="G1027">
            <v>2.4190455154191564</v>
          </cell>
          <cell r="H1027">
            <v>2.568558666949436</v>
          </cell>
          <cell r="I1027">
            <v>2.8397949360617236</v>
          </cell>
          <cell r="J1027">
            <v>2.8527471903716393</v>
          </cell>
          <cell r="K1027">
            <v>3.0935275674350464</v>
          </cell>
          <cell r="L1027">
            <v>2.4325983050244089</v>
          </cell>
          <cell r="M1027">
            <v>2.4496569461249953</v>
          </cell>
          <cell r="N1027">
            <v>2.4503397560215894</v>
          </cell>
          <cell r="O1027">
            <v>2.4510446729545121</v>
          </cell>
        </row>
        <row r="1028">
          <cell r="A1028" t="str">
            <v>RHES-SHCONBR</v>
          </cell>
          <cell r="B1028" t="str">
            <v>VAR_fout</v>
          </cell>
          <cell r="C1028" t="str">
            <v>RHES-SHCON</v>
          </cell>
          <cell r="F1028">
            <v>2.6113826378656309E-5</v>
          </cell>
          <cell r="G1028">
            <v>2.0482084051599127E-5</v>
          </cell>
          <cell r="H1028">
            <v>3.8279557588884031E-5</v>
          </cell>
          <cell r="I1028">
            <v>3.84636528133639E-5</v>
          </cell>
          <cell r="J1028">
            <v>4.0536479234286145E-5</v>
          </cell>
          <cell r="K1028">
            <v>1.0015783035962552E-4</v>
          </cell>
          <cell r="L1028">
            <v>1.0075558533443699E-4</v>
          </cell>
          <cell r="M1028">
            <v>1.2784639432521903E-4</v>
          </cell>
          <cell r="N1028">
            <v>3.1584549037340316E-4</v>
          </cell>
          <cell r="O1028">
            <v>1.6430079533492973E-4</v>
          </cell>
        </row>
        <row r="1029">
          <cell r="A1029" t="str">
            <v>RHES-SHCONBR</v>
          </cell>
          <cell r="B1029" t="str">
            <v>VAR_fin</v>
          </cell>
          <cell r="C1029" t="str">
            <v>CON</v>
          </cell>
          <cell r="F1029">
            <v>2.6113826378656309E-5</v>
          </cell>
          <cell r="G1029">
            <v>2.0482084051599127E-5</v>
          </cell>
          <cell r="H1029">
            <v>3.8279557588884031E-5</v>
          </cell>
          <cell r="I1029">
            <v>3.84636528133639E-5</v>
          </cell>
          <cell r="J1029">
            <v>4.0536479234286145E-5</v>
          </cell>
          <cell r="K1029">
            <v>1.0015783035962552E-4</v>
          </cell>
          <cell r="L1029">
            <v>1.0075558533443699E-4</v>
          </cell>
          <cell r="M1029">
            <v>1.2784639432521903E-4</v>
          </cell>
          <cell r="N1029">
            <v>3.1584549037340316E-4</v>
          </cell>
          <cell r="O1029">
            <v>1.6430079533492973E-4</v>
          </cell>
        </row>
        <row r="1030">
          <cell r="A1030" t="str">
            <v>RHES-SHCONBR</v>
          </cell>
          <cell r="B1030" t="str">
            <v>VAR_ncap</v>
          </cell>
          <cell r="C1030" t="str">
            <v>-</v>
          </cell>
          <cell r="F1030">
            <v>1.30604923628748E-6</v>
          </cell>
          <cell r="G1030">
            <v>2.9255952711078E-8</v>
          </cell>
          <cell r="H1030">
            <v>1.1787684490060701E-6</v>
          </cell>
          <cell r="I1030">
            <v>3.8328532532363399E-8</v>
          </cell>
          <cell r="J1030">
            <v>3.6282372139781903E-8</v>
          </cell>
          <cell r="K1030">
            <v>4.4061068824708303E-6</v>
          </cell>
          <cell r="L1030">
            <v>6.2844708747410204E-7</v>
          </cell>
          <cell r="M1030">
            <v>2.0404589640413801E-6</v>
          </cell>
          <cell r="N1030">
            <v>1.5766492122576202E-5</v>
          </cell>
          <cell r="O1030">
            <v>3.5643662774383298E-8</v>
          </cell>
        </row>
        <row r="1031">
          <cell r="A1031" t="str">
            <v>RHES-SHCONBR</v>
          </cell>
          <cell r="B1031" t="str">
            <v>VAR_cap</v>
          </cell>
          <cell r="C1031" t="str">
            <v>-</v>
          </cell>
          <cell r="F1031">
            <v>1.30604923628748E-6</v>
          </cell>
          <cell r="G1031">
            <v>1.3353051889985601E-6</v>
          </cell>
          <cell r="H1031">
            <v>2.5140736380046198E-6</v>
          </cell>
          <cell r="I1031">
            <v>2.55240217053699E-6</v>
          </cell>
          <cell r="J1031">
            <v>2.5886845426767699E-6</v>
          </cell>
          <cell r="K1031">
            <v>6.9187540700146801E-6</v>
          </cell>
          <cell r="L1031">
            <v>7.6232385126217002E-6</v>
          </cell>
          <cell r="M1031">
            <v>9.5709130657039568E-6</v>
          </cell>
          <cell r="N1031">
            <v>2.5430189599239201E-5</v>
          </cell>
          <cell r="O1031">
            <v>2.5465833262013599E-5</v>
          </cell>
        </row>
        <row r="1032">
          <cell r="A1032" t="str">
            <v>RHSA-WHSOLBR</v>
          </cell>
          <cell r="B1032" t="str">
            <v>VAR_fout</v>
          </cell>
          <cell r="C1032" t="str">
            <v>RHSA-WHASOL</v>
          </cell>
          <cell r="D1032">
            <v>1.721488024659851</v>
          </cell>
          <cell r="E1032">
            <v>1.9867197124290785</v>
          </cell>
          <cell r="F1032">
            <v>1.9480057945382703</v>
          </cell>
          <cell r="G1032">
            <v>1.5649460600573506</v>
          </cell>
          <cell r="H1032">
            <v>1.2510365156386607</v>
          </cell>
          <cell r="I1032">
            <v>1.0755982338738983</v>
          </cell>
          <cell r="J1032">
            <v>1.0727391177891039</v>
          </cell>
          <cell r="K1032">
            <v>3.063907226099015</v>
          </cell>
          <cell r="L1032">
            <v>3.0638794262070386</v>
          </cell>
          <cell r="M1032">
            <v>3.0639013639780863</v>
          </cell>
          <cell r="N1032">
            <v>3.063818890778963</v>
          </cell>
          <cell r="O1032">
            <v>2.7078752372883907</v>
          </cell>
        </row>
        <row r="1033">
          <cell r="A1033" t="str">
            <v>RHSA-WHSOLBR</v>
          </cell>
          <cell r="B1033" t="str">
            <v>VAR_fin</v>
          </cell>
          <cell r="C1033" t="str">
            <v>SOL</v>
          </cell>
          <cell r="D1033">
            <v>1.721488024659851</v>
          </cell>
          <cell r="E1033">
            <v>1.9867197124290785</v>
          </cell>
          <cell r="F1033">
            <v>1.9480057945382703</v>
          </cell>
          <cell r="G1033">
            <v>1.5649460600573506</v>
          </cell>
          <cell r="H1033">
            <v>1.2510365156386607</v>
          </cell>
          <cell r="I1033">
            <v>1.0755982338738983</v>
          </cell>
          <cell r="J1033">
            <v>1.0727391177891039</v>
          </cell>
          <cell r="K1033">
            <v>3.063907226099015</v>
          </cell>
          <cell r="L1033">
            <v>3.0638794262070386</v>
          </cell>
          <cell r="M1033">
            <v>3.0639013639780863</v>
          </cell>
          <cell r="N1033">
            <v>3.063818890778963</v>
          </cell>
          <cell r="O1033">
            <v>2.7078752372883907</v>
          </cell>
        </row>
        <row r="1034">
          <cell r="A1034" t="str">
            <v>RHSA-WHSOLBR</v>
          </cell>
          <cell r="B1034" t="str">
            <v>VAR_fin</v>
          </cell>
          <cell r="C1034" t="str">
            <v>RHSASOLBRC</v>
          </cell>
          <cell r="D1034">
            <v>1.721488024659851</v>
          </cell>
          <cell r="E1034">
            <v>1.9867197124290785</v>
          </cell>
          <cell r="F1034">
            <v>1.9480057945382703</v>
          </cell>
          <cell r="G1034">
            <v>1.5649460600573506</v>
          </cell>
          <cell r="H1034">
            <v>1.2510365156386607</v>
          </cell>
          <cell r="I1034">
            <v>1.0755982338738983</v>
          </cell>
          <cell r="J1034">
            <v>1.0727391177891039</v>
          </cell>
          <cell r="K1034">
            <v>3.063907226099015</v>
          </cell>
          <cell r="L1034">
            <v>3.0638794262070386</v>
          </cell>
          <cell r="M1034">
            <v>3.0639013639780863</v>
          </cell>
          <cell r="N1034">
            <v>3.063818890778963</v>
          </cell>
          <cell r="O1034">
            <v>2.7078752372883907</v>
          </cell>
        </row>
        <row r="1035">
          <cell r="A1035" t="str">
            <v>RHSA-WHSOLBR</v>
          </cell>
          <cell r="B1035" t="str">
            <v>VAR_ncap</v>
          </cell>
          <cell r="C1035" t="str">
            <v>-</v>
          </cell>
          <cell r="E1035">
            <v>8.2555642658296194E-2</v>
          </cell>
          <cell r="F1035">
            <v>2.4542595276112202E-7</v>
          </cell>
          <cell r="G1035">
            <v>9.8621408572408308E-7</v>
          </cell>
          <cell r="H1035">
            <v>0.11327894373570201</v>
          </cell>
          <cell r="I1035">
            <v>4.2952705225627802E-2</v>
          </cell>
          <cell r="J1035">
            <v>4.1619857312261097E-6</v>
          </cell>
          <cell r="K1035">
            <v>0.63420188847560099</v>
          </cell>
          <cell r="L1035">
            <v>1.1242766014963899E-2</v>
          </cell>
          <cell r="M1035">
            <v>8.9351493188297403E-3</v>
          </cell>
          <cell r="N1035">
            <v>0.384908343786243</v>
          </cell>
          <cell r="O1035">
            <v>1.9939894360496801E-5</v>
          </cell>
        </row>
        <row r="1036">
          <cell r="A1036" t="str">
            <v>RHSA-WHSOLBR</v>
          </cell>
          <cell r="B1036" t="str">
            <v>VAR_cap</v>
          </cell>
          <cell r="C1036" t="str">
            <v>-</v>
          </cell>
          <cell r="D1036">
            <v>0.25000991745774798</v>
          </cell>
          <cell r="E1036">
            <v>0.33256556011604416</v>
          </cell>
          <cell r="F1036">
            <v>0.33256580554199699</v>
          </cell>
          <cell r="G1036">
            <v>0.33256679175608267</v>
          </cell>
          <cell r="H1036">
            <v>0.22041324775590038</v>
          </cell>
          <cell r="I1036">
            <v>0.15623249908998099</v>
          </cell>
          <cell r="J1036">
            <v>0.15623581094706099</v>
          </cell>
          <cell r="K1036">
            <v>0.67715875568696005</v>
          </cell>
          <cell r="L1036">
            <v>0.65204812334708295</v>
          </cell>
          <cell r="M1036">
            <v>0.65437980380939398</v>
          </cell>
          <cell r="N1036">
            <v>0.51385320659855704</v>
          </cell>
          <cell r="O1036">
            <v>0.39386343299943299</v>
          </cell>
        </row>
        <row r="1037">
          <cell r="A1037" t="str">
            <v>SCOM-SHCONBR</v>
          </cell>
          <cell r="B1037" t="str">
            <v>VAR_ncap</v>
          </cell>
          <cell r="C1037" t="str">
            <v>-</v>
          </cell>
          <cell r="O1037">
            <v>1.3488027079500501E-8</v>
          </cell>
        </row>
        <row r="1038">
          <cell r="A1038" t="str">
            <v>SCOM-SHCONBR</v>
          </cell>
          <cell r="B1038" t="str">
            <v>VAR_cap</v>
          </cell>
          <cell r="C1038" t="str">
            <v>-</v>
          </cell>
          <cell r="E1038">
            <v>-3.0380907502123797E-8</v>
          </cell>
          <cell r="F1038">
            <v>-5.1640845213541803E-8</v>
          </cell>
          <cell r="G1038">
            <v>-9.1026735772771904E-8</v>
          </cell>
          <cell r="I1038">
            <v>-7.4370347901850602E-8</v>
          </cell>
          <cell r="J1038">
            <v>-2.5023007264540801E-7</v>
          </cell>
          <cell r="K1038">
            <v>-2.7133984898156399E-7</v>
          </cell>
          <cell r="M1038">
            <v>-3.1335832541100999E-7</v>
          </cell>
          <cell r="N1038">
            <v>-2.6673295874623798E-7</v>
          </cell>
          <cell r="O1038">
            <v>1.3488027079500501E-8</v>
          </cell>
        </row>
        <row r="1039">
          <cell r="A1039" t="str">
            <v>RHES-SHSOLBR</v>
          </cell>
          <cell r="B1039" t="str">
            <v>VAR_fout</v>
          </cell>
          <cell r="C1039" t="str">
            <v>RHES-SHASOL</v>
          </cell>
          <cell r="D1039">
            <v>0.37732610756439694</v>
          </cell>
          <cell r="E1039">
            <v>0.4354613627860483</v>
          </cell>
          <cell r="F1039">
            <v>0.43538686034629842</v>
          </cell>
          <cell r="G1039">
            <v>0.3443396961780274</v>
          </cell>
          <cell r="H1039">
            <v>0.39575475279683903</v>
          </cell>
          <cell r="I1039">
            <v>0.36651553838494577</v>
          </cell>
          <cell r="J1039">
            <v>0.36773721998689513</v>
          </cell>
          <cell r="K1039">
            <v>0.76665006872258734</v>
          </cell>
          <cell r="L1039">
            <v>0.78810689890808039</v>
          </cell>
          <cell r="M1039">
            <v>0.71947156063780215</v>
          </cell>
          <cell r="N1039">
            <v>0.74460454553671351</v>
          </cell>
          <cell r="O1039">
            <v>0.67388131453878986</v>
          </cell>
        </row>
        <row r="1040">
          <cell r="A1040" t="str">
            <v>RHES-SHSOLBR</v>
          </cell>
          <cell r="B1040" t="str">
            <v>VAR_fin</v>
          </cell>
          <cell r="C1040" t="str">
            <v>SOL</v>
          </cell>
          <cell r="D1040">
            <v>0.37732610756439694</v>
          </cell>
          <cell r="E1040">
            <v>0.4354613627860483</v>
          </cell>
          <cell r="F1040">
            <v>0.43538686034629842</v>
          </cell>
          <cell r="G1040">
            <v>0.3443396961780274</v>
          </cell>
          <cell r="H1040">
            <v>0.39575475279683903</v>
          </cell>
          <cell r="I1040">
            <v>0.36651553838494577</v>
          </cell>
          <cell r="J1040">
            <v>0.36773721998689513</v>
          </cell>
          <cell r="K1040">
            <v>0.76665006872258734</v>
          </cell>
          <cell r="L1040">
            <v>0.78810689890808039</v>
          </cell>
          <cell r="M1040">
            <v>0.71947156063780215</v>
          </cell>
          <cell r="N1040">
            <v>0.74460454553671351</v>
          </cell>
          <cell r="O1040">
            <v>0.67388131453878986</v>
          </cell>
        </row>
        <row r="1041">
          <cell r="A1041" t="str">
            <v>RHES-SHSOLBR</v>
          </cell>
          <cell r="B1041" t="str">
            <v>VAR_ncap</v>
          </cell>
          <cell r="C1041" t="str">
            <v>-</v>
          </cell>
          <cell r="E1041">
            <v>8.4450272460368497E-3</v>
          </cell>
          <cell r="F1041">
            <v>5.9389692238977997E-8</v>
          </cell>
          <cell r="G1041">
            <v>9.2597176489417498E-8</v>
          </cell>
          <cell r="H1041">
            <v>4.2661687945577002E-2</v>
          </cell>
          <cell r="I1041">
            <v>1.6559942211764898E-2</v>
          </cell>
          <cell r="J1041">
            <v>2.8779471545017002E-7</v>
          </cell>
          <cell r="K1041">
            <v>0.12856486073072601</v>
          </cell>
          <cell r="L1041">
            <v>2.2205276338164701E-2</v>
          </cell>
          <cell r="M1041">
            <v>1.0091754342467799E-6</v>
          </cell>
          <cell r="N1041">
            <v>0.107960873209754</v>
          </cell>
          <cell r="O1041">
            <v>3.3222669156880498E-2</v>
          </cell>
        </row>
        <row r="1042">
          <cell r="A1042" t="str">
            <v>RHES-SHSOLBR</v>
          </cell>
          <cell r="B1042" t="str">
            <v>VAR_cap</v>
          </cell>
          <cell r="C1042" t="str">
            <v>-</v>
          </cell>
          <cell r="D1042">
            <v>5.4798678617278197E-2</v>
          </cell>
          <cell r="E1042">
            <v>6.3243705863315042E-2</v>
          </cell>
          <cell r="F1042">
            <v>6.3243765253007289E-2</v>
          </cell>
          <cell r="G1042">
            <v>6.3243857850183771E-2</v>
          </cell>
          <cell r="H1042">
            <v>6.1199786040217197E-2</v>
          </cell>
          <cell r="I1042">
            <v>5.92217176098499E-2</v>
          </cell>
          <cell r="J1042">
            <v>5.92219179520573E-2</v>
          </cell>
          <cell r="K1042">
            <v>0.145125090737207</v>
          </cell>
          <cell r="L1042">
            <v>0.153314889382793</v>
          </cell>
          <cell r="M1042">
            <v>0.150771146244325</v>
          </cell>
          <cell r="N1042">
            <v>0.14589943752269599</v>
          </cell>
          <cell r="O1042">
            <v>0.14118455154206899</v>
          </cell>
        </row>
        <row r="1043">
          <cell r="A1043" t="str">
            <v>SCOM-SHSOLBR</v>
          </cell>
          <cell r="B1043" t="str">
            <v>VAR_fout</v>
          </cell>
          <cell r="C1043" t="str">
            <v>SCOM-SHASOL</v>
          </cell>
          <cell r="D1043">
            <v>0.6269935632269471</v>
          </cell>
          <cell r="E1043">
            <v>0.68733257800592096</v>
          </cell>
          <cell r="F1043">
            <v>0.68727199143662265</v>
          </cell>
          <cell r="G1043">
            <v>0.6958164490337313</v>
          </cell>
          <cell r="H1043">
            <v>1.6752479853223963</v>
          </cell>
          <cell r="I1043">
            <v>3.3011391086987789</v>
          </cell>
          <cell r="J1043">
            <v>3.2768083181368097</v>
          </cell>
          <cell r="K1043">
            <v>3.4377367103942649</v>
          </cell>
          <cell r="L1043">
            <v>3.4572177131238986</v>
          </cell>
          <cell r="M1043">
            <v>3.4572118932949061</v>
          </cell>
          <cell r="N1043">
            <v>3.4569941981395282</v>
          </cell>
          <cell r="O1043">
            <v>3.3452671503619547</v>
          </cell>
        </row>
        <row r="1044">
          <cell r="A1044" t="str">
            <v>SCOM-SHSOLBR</v>
          </cell>
          <cell r="B1044" t="str">
            <v>VAR_fin</v>
          </cell>
          <cell r="C1044" t="str">
            <v>SOL</v>
          </cell>
          <cell r="D1044">
            <v>0.6269935632269471</v>
          </cell>
          <cell r="E1044">
            <v>0.68733257800592096</v>
          </cell>
          <cell r="F1044">
            <v>0.68727199143662265</v>
          </cell>
          <cell r="G1044">
            <v>0.6958164490337313</v>
          </cell>
          <cell r="H1044">
            <v>1.6752479853223963</v>
          </cell>
          <cell r="I1044">
            <v>3.3011391086987789</v>
          </cell>
          <cell r="J1044">
            <v>3.2768083181368097</v>
          </cell>
          <cell r="K1044">
            <v>3.4377367103942649</v>
          </cell>
          <cell r="L1044">
            <v>3.4572177131238986</v>
          </cell>
          <cell r="M1044">
            <v>3.4572118932949061</v>
          </cell>
          <cell r="N1044">
            <v>3.4569941981395282</v>
          </cell>
          <cell r="O1044">
            <v>3.3452671503619547</v>
          </cell>
        </row>
        <row r="1045">
          <cell r="A1045" t="str">
            <v>SCOM-SHSOLBR</v>
          </cell>
          <cell r="B1045" t="str">
            <v>VAR_ncap</v>
          </cell>
          <cell r="C1045" t="str">
            <v>-</v>
          </cell>
          <cell r="D1045">
            <v>5.9070094119178397E-6</v>
          </cell>
          <cell r="E1045">
            <v>8.7632538696988203E-3</v>
          </cell>
          <cell r="F1045">
            <v>9.3760652352758705E-7</v>
          </cell>
          <cell r="G1045">
            <v>1.23182911039245E-3</v>
          </cell>
          <cell r="H1045">
            <v>0.21401448567996501</v>
          </cell>
          <cell r="I1045">
            <v>0.264430151362473</v>
          </cell>
          <cell r="J1045">
            <v>2.3667655808087999E-2</v>
          </cell>
          <cell r="K1045">
            <v>0.21401422566903799</v>
          </cell>
          <cell r="L1045">
            <v>0.22693499049813901</v>
          </cell>
          <cell r="M1045">
            <v>6.1162535256568999E-2</v>
          </cell>
          <cell r="N1045">
            <v>0.24804886454470701</v>
          </cell>
          <cell r="O1045">
            <v>0.192899950210664</v>
          </cell>
        </row>
        <row r="1046">
          <cell r="A1046" t="str">
            <v>SCOM-SHSOLBR</v>
          </cell>
          <cell r="B1046" t="str">
            <v>VAR_cap</v>
          </cell>
          <cell r="C1046" t="str">
            <v>-</v>
          </cell>
          <cell r="D1046">
            <v>9.1063500485491417E-2</v>
          </cell>
          <cell r="E1046">
            <v>9.9826754355190242E-2</v>
          </cell>
          <cell r="F1046">
            <v>9.9827691961713774E-2</v>
          </cell>
          <cell r="G1046">
            <v>0.1010595210721062</v>
          </cell>
          <cell r="H1046">
            <v>0.243352959949453</v>
          </cell>
          <cell r="I1046">
            <v>0.47944231142777599</v>
          </cell>
          <cell r="J1046">
            <v>0.50211229285052605</v>
          </cell>
          <cell r="K1046">
            <v>0.50211203283960004</v>
          </cell>
          <cell r="L1046">
            <v>0.50211178685444202</v>
          </cell>
          <cell r="M1046">
            <v>0.50211175142374598</v>
          </cell>
          <cell r="N1046">
            <v>0.50211150274909599</v>
          </cell>
          <cell r="O1046">
            <v>0.50211135001193896</v>
          </cell>
        </row>
        <row r="1047">
          <cell r="A1047" t="str">
            <v>RHEM-SHSTG-ELCHP</v>
          </cell>
          <cell r="B1047" t="str">
            <v>VAR_fout</v>
          </cell>
          <cell r="C1047" t="str">
            <v>RHEM-SHAELCH</v>
          </cell>
          <cell r="D1047">
            <v>1.1814677476802709E-7</v>
          </cell>
          <cell r="E1047">
            <v>1.8659814283420069E-7</v>
          </cell>
          <cell r="F1047">
            <v>1.7897998495276894</v>
          </cell>
          <cell r="G1047">
            <v>2.4885374053653506</v>
          </cell>
          <cell r="H1047">
            <v>4.2162970431319939</v>
          </cell>
          <cell r="I1047">
            <v>3.8155498492746789</v>
          </cell>
          <cell r="J1047">
            <v>4.5635904294576388</v>
          </cell>
          <cell r="K1047">
            <v>5.1609811531786187</v>
          </cell>
          <cell r="L1047">
            <v>5.3629821728955438</v>
          </cell>
          <cell r="M1047">
            <v>5.5501574310003878</v>
          </cell>
          <cell r="N1047">
            <v>5.3383892273288174</v>
          </cell>
          <cell r="O1047">
            <v>5.1811460813683601</v>
          </cell>
        </row>
        <row r="1048">
          <cell r="A1048" t="str">
            <v>RHEM-SHSTG-ELCHP</v>
          </cell>
          <cell r="B1048" t="str">
            <v>VAR_fin</v>
          </cell>
          <cell r="C1048" t="str">
            <v>RHEM-SHAELCH</v>
          </cell>
          <cell r="D1048">
            <v>2.5647580897439136E-7</v>
          </cell>
          <cell r="E1048">
            <v>3.3543465096004526E-7</v>
          </cell>
          <cell r="F1048">
            <v>1.7898933703507705</v>
          </cell>
          <cell r="G1048">
            <v>2.4886428166279249</v>
          </cell>
          <cell r="H1048">
            <v>4.2164622959798681</v>
          </cell>
          <cell r="I1048">
            <v>3.8156956197109264</v>
          </cell>
          <cell r="J1048">
            <v>4.5637837445986769</v>
          </cell>
          <cell r="K1048">
            <v>5.1611578222620889</v>
          </cell>
          <cell r="L1048">
            <v>5.3631630569737823</v>
          </cell>
          <cell r="M1048">
            <v>5.5503537987803098</v>
          </cell>
          <cell r="N1048">
            <v>5.3385696927139694</v>
          </cell>
          <cell r="O1048">
            <v>5.181349950968932</v>
          </cell>
        </row>
        <row r="1049">
          <cell r="A1049" t="str">
            <v>RHEM-SHSTG-ELCHP</v>
          </cell>
          <cell r="B1049" t="str">
            <v>VAR_ncap</v>
          </cell>
          <cell r="C1049" t="str">
            <v>-</v>
          </cell>
          <cell r="D1049">
            <v>2.2117402077407701E-3</v>
          </cell>
          <cell r="E1049">
            <v>0.19144286432347299</v>
          </cell>
          <cell r="F1049">
            <v>1.4734311510774E-5</v>
          </cell>
          <cell r="G1049">
            <v>8.5499519453377207E-2</v>
          </cell>
          <cell r="H1049">
            <v>0.20868018299537699</v>
          </cell>
          <cell r="I1049">
            <v>0.114480788545402</v>
          </cell>
          <cell r="J1049">
            <v>0.12140820257078</v>
          </cell>
          <cell r="K1049">
            <v>0.27555421731731899</v>
          </cell>
          <cell r="L1049">
            <v>0.11302890026175599</v>
          </cell>
          <cell r="M1049">
            <v>0.122899459827149</v>
          </cell>
          <cell r="N1049">
            <v>0.26270185477832902</v>
          </cell>
          <cell r="O1049">
            <v>0.124981448928384</v>
          </cell>
        </row>
        <row r="1050">
          <cell r="A1050" t="str">
            <v>RHEM-SHSTG-ELCHP</v>
          </cell>
          <cell r="B1050" t="str">
            <v>VAR_cap</v>
          </cell>
          <cell r="C1050" t="str">
            <v>-</v>
          </cell>
          <cell r="D1050">
            <v>2.2117402077407701E-3</v>
          </cell>
          <cell r="E1050">
            <v>0.19365038167289206</v>
          </cell>
          <cell r="F1050">
            <v>0.19365156588206051</v>
          </cell>
          <cell r="G1050">
            <v>0.27914502250040185</v>
          </cell>
          <cell r="H1050">
            <v>0.39281348947790801</v>
          </cell>
          <cell r="I1050">
            <v>0.39237698763138212</v>
          </cell>
          <cell r="J1050">
            <v>0.44454834917778979</v>
          </cell>
          <cell r="K1050">
            <v>0.51138331029121409</v>
          </cell>
          <cell r="L1050">
            <v>0.51140057123845128</v>
          </cell>
          <cell r="M1050">
            <v>0.51138263182438504</v>
          </cell>
          <cell r="N1050">
            <v>0.51146133575669361</v>
          </cell>
          <cell r="O1050">
            <v>0.51047439992071586</v>
          </cell>
        </row>
        <row r="1051">
          <cell r="A1051" t="str">
            <v>ITOT-SWHELCBR</v>
          </cell>
          <cell r="B1051" t="str">
            <v>VAR_fout</v>
          </cell>
          <cell r="C1051" t="str">
            <v>ITOT-SWHAELC</v>
          </cell>
          <cell r="D1051">
            <v>9.8138902317742289</v>
          </cell>
          <cell r="E1051">
            <v>10.335082835766785</v>
          </cell>
          <cell r="F1051">
            <v>10.337328994133125</v>
          </cell>
          <cell r="G1051">
            <v>11.615439040443233</v>
          </cell>
          <cell r="H1051">
            <v>11.615439229162458</v>
          </cell>
          <cell r="I1051">
            <v>11.615439448892037</v>
          </cell>
          <cell r="J1051">
            <v>11.6154396671127</v>
          </cell>
          <cell r="K1051">
            <v>11.615439826448069</v>
          </cell>
          <cell r="L1051">
            <v>11.615438255634475</v>
          </cell>
          <cell r="M1051">
            <v>11.615494765458969</v>
          </cell>
          <cell r="N1051">
            <v>11.615494109150823</v>
          </cell>
          <cell r="O1051">
            <v>11.615495095801611</v>
          </cell>
        </row>
        <row r="1052">
          <cell r="A1052" t="str">
            <v>ITOT-SWHELCBR</v>
          </cell>
          <cell r="B1052" t="str">
            <v>VAR_fin</v>
          </cell>
          <cell r="C1052" t="str">
            <v>ITOT_ELC</v>
          </cell>
          <cell r="D1052">
            <v>11.646938673562717</v>
          </cell>
          <cell r="E1052">
            <v>12.25897782075984</v>
          </cell>
          <cell r="F1052">
            <v>12.25189938953851</v>
          </cell>
          <cell r="G1052">
            <v>13.748520512480082</v>
          </cell>
          <cell r="H1052">
            <v>13.730361925125566</v>
          </cell>
          <cell r="I1052">
            <v>13.712251278211181</v>
          </cell>
          <cell r="J1052">
            <v>13.694188343941594</v>
          </cell>
          <cell r="K1052">
            <v>13.676172866453181</v>
          </cell>
          <cell r="L1052">
            <v>13.676171016956422</v>
          </cell>
          <cell r="M1052">
            <v>13.676237552373088</v>
          </cell>
          <cell r="N1052">
            <v>13.67623677962715</v>
          </cell>
          <cell r="O1052">
            <v>13.676237941322881</v>
          </cell>
        </row>
        <row r="1053">
          <cell r="A1053" t="str">
            <v>ITOT-SWHELCBR</v>
          </cell>
          <cell r="B1053" t="str">
            <v>VAR_ncap</v>
          </cell>
          <cell r="C1053" t="str">
            <v>-</v>
          </cell>
          <cell r="E1053">
            <v>0.167053734336293</v>
          </cell>
          <cell r="F1053">
            <v>8.1254244275014799E-5</v>
          </cell>
          <cell r="G1053">
            <v>0.174159569615772</v>
          </cell>
          <cell r="H1053">
            <v>0.76994382717922905</v>
          </cell>
          <cell r="I1053">
            <v>0.25403164557180002</v>
          </cell>
          <cell r="J1053">
            <v>0.16571127617106399</v>
          </cell>
          <cell r="K1053">
            <v>0.76497077424021398</v>
          </cell>
          <cell r="L1053">
            <v>0.227892285842349</v>
          </cell>
          <cell r="M1053">
            <v>0.17438797524710201</v>
          </cell>
          <cell r="N1053">
            <v>0.68486050090453199</v>
          </cell>
          <cell r="O1053">
            <v>0.28250733657425497</v>
          </cell>
        </row>
        <row r="1054">
          <cell r="A1054" t="str">
            <v>ITOT-SWHELCBR</v>
          </cell>
          <cell r="B1054" t="str">
            <v>VAR_cap</v>
          </cell>
          <cell r="C1054" t="str">
            <v>-</v>
          </cell>
          <cell r="D1054">
            <v>0.55644997413134401</v>
          </cell>
          <cell r="E1054">
            <v>0.72350263631951695</v>
          </cell>
          <cell r="F1054">
            <v>0.72358102228294829</v>
          </cell>
          <cell r="G1054">
            <v>0.89773539737487562</v>
          </cell>
          <cell r="H1054">
            <v>1.1740611515629713</v>
          </cell>
          <cell r="I1054">
            <v>1.1650079024201889</v>
          </cell>
          <cell r="J1054">
            <v>1.1896794234025139</v>
          </cell>
          <cell r="K1054">
            <v>1.184701584879982</v>
          </cell>
          <cell r="L1054">
            <v>1.1756377133722484</v>
          </cell>
          <cell r="M1054">
            <v>1.1672377247952679</v>
          </cell>
          <cell r="N1054">
            <v>1.150369211400627</v>
          </cell>
          <cell r="O1054">
            <v>1.1417413565940513</v>
          </cell>
        </row>
        <row r="1055">
          <cell r="A1055"/>
          <cell r="B1055"/>
          <cell r="C1055"/>
        </row>
        <row r="1056">
          <cell r="A1056"/>
          <cell r="B1056"/>
          <cell r="C1056"/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  <cell r="J4">
            <v>11.802587583166176</v>
          </cell>
          <cell r="K4">
            <v>8.2898671109134998</v>
          </cell>
          <cell r="L4">
            <v>23.724423851558406</v>
          </cell>
          <cell r="M4">
            <v>77.063104886117202</v>
          </cell>
          <cell r="N4">
            <v>286.39857115285685</v>
          </cell>
          <cell r="O4">
            <v>409.55544625720739</v>
          </cell>
          <cell r="P4">
            <v>411.08020696619127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  <cell r="J5">
            <v>1.4663254230508722E-2</v>
          </cell>
          <cell r="K5">
            <v>6.0121694214201995E-3</v>
          </cell>
          <cell r="L5">
            <v>0.10550994459208742</v>
          </cell>
          <cell r="M5">
            <v>72.136197789561933</v>
          </cell>
          <cell r="N5">
            <v>282.18578040049613</v>
          </cell>
          <cell r="O5">
            <v>402.25976897236256</v>
          </cell>
          <cell r="P5">
            <v>404.82204817471552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  <cell r="J6">
            <v>11.65053450664089</v>
          </cell>
          <cell r="K6">
            <v>8.2203723029731322</v>
          </cell>
          <cell r="L6">
            <v>23.599663852807634</v>
          </cell>
          <cell r="M6">
            <v>4.9124865485992437</v>
          </cell>
          <cell r="N6">
            <v>4.1899790081386215</v>
          </cell>
          <cell r="O6">
            <v>7.2714425690441242</v>
          </cell>
          <cell r="P6">
            <v>6.2172667703551063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  <cell r="J7">
            <v>0.13738982229476426</v>
          </cell>
          <cell r="K7">
            <v>6.3482638518956275E-2</v>
          </cell>
          <cell r="L7">
            <v>1.9250054158695299E-2</v>
          </cell>
          <cell r="M7">
            <v>1.4420547955976791E-2</v>
          </cell>
          <cell r="N7">
            <v>2.2811744222049863E-2</v>
          </cell>
          <cell r="O7">
            <v>2.4234715800933719E-2</v>
          </cell>
          <cell r="P7">
            <v>4.089202112057494E-2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J8">
            <v>-66.267224100559019</v>
          </cell>
          <cell r="K8">
            <v>-45.802309060905486</v>
          </cell>
          <cell r="L8">
            <v>-55.975766943566917</v>
          </cell>
          <cell r="M8">
            <v>-63.893117933169194</v>
          </cell>
          <cell r="N8">
            <v>-73.259169984800877</v>
          </cell>
          <cell r="O8">
            <v>-80.029499763678686</v>
          </cell>
          <cell r="P8">
            <v>-85.182076768958595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  <cell r="J9">
            <v>565.52768301850097</v>
          </cell>
          <cell r="K9">
            <v>1096.6320533663595</v>
          </cell>
          <cell r="L9">
            <v>1140.9252036442006</v>
          </cell>
          <cell r="M9">
            <v>1140.9250501479653</v>
          </cell>
          <cell r="N9">
            <v>1140.9250503390538</v>
          </cell>
          <cell r="O9">
            <v>1140.9249965942543</v>
          </cell>
          <cell r="P9">
            <v>1140.9250339086364</v>
          </cell>
        </row>
        <row r="10">
          <cell r="B10" t="str">
            <v>CO2_O</v>
          </cell>
          <cell r="C10" t="str">
            <v>VAR_fout</v>
          </cell>
          <cell r="D10" t="str">
            <v>ENGA-CCS</v>
          </cell>
          <cell r="K10">
            <v>1.9191964776832057E-4</v>
          </cell>
          <cell r="L10">
            <v>4.5770620573001288E-3</v>
          </cell>
          <cell r="M10">
            <v>240.63139163303251</v>
          </cell>
          <cell r="N10">
            <v>265.34743323053988</v>
          </cell>
          <cell r="O10">
            <v>270.35731393953705</v>
          </cell>
          <cell r="P10">
            <v>275.20979384360976</v>
          </cell>
        </row>
        <row r="11">
          <cell r="B11" t="str">
            <v>CO2_O</v>
          </cell>
          <cell r="C11" t="str">
            <v>VAR_fout</v>
          </cell>
          <cell r="D11" t="str">
            <v>CHPWSTCCS</v>
          </cell>
          <cell r="J11">
            <v>630.83421439902372</v>
          </cell>
          <cell r="K11">
            <v>1132.529793253306</v>
          </cell>
          <cell r="L11">
            <v>1088.6111770569003</v>
          </cell>
          <cell r="M11">
            <v>1088.6109551265793</v>
          </cell>
          <cell r="N11">
            <v>1088.6110116305379</v>
          </cell>
          <cell r="O11">
            <v>1088.6109208522896</v>
          </cell>
          <cell r="P11">
            <v>1088.6110171135451</v>
          </cell>
        </row>
        <row r="12">
          <cell r="B12" t="str">
            <v>CO2_O</v>
          </cell>
          <cell r="C12" t="str">
            <v>VAR_fout</v>
          </cell>
          <cell r="D12" t="str">
            <v>ITOT-CHPWSTCCS</v>
          </cell>
          <cell r="J12">
            <v>149.57700031560995</v>
          </cell>
          <cell r="K12">
            <v>754.21293382536317</v>
          </cell>
          <cell r="L12">
            <v>715.173717959908</v>
          </cell>
          <cell r="M12">
            <v>715.12904717063566</v>
          </cell>
          <cell r="N12">
            <v>715.18759754081054</v>
          </cell>
          <cell r="O12">
            <v>715.16255410639371</v>
          </cell>
          <cell r="P12">
            <v>715.20189331435267</v>
          </cell>
        </row>
        <row r="13">
          <cell r="B13" t="str">
            <v>CO2_O</v>
          </cell>
          <cell r="C13" t="str">
            <v>VAR_fout</v>
          </cell>
          <cell r="D13" t="str">
            <v>ITOT-CHPNGACCS</v>
          </cell>
          <cell r="J13">
            <v>0.26997158577365654</v>
          </cell>
          <cell r="K13">
            <v>37.9609612956531</v>
          </cell>
          <cell r="L13">
            <v>38.005661793569779</v>
          </cell>
          <cell r="M13">
            <v>37.988153436308878</v>
          </cell>
          <cell r="N13">
            <v>27.784172051073302</v>
          </cell>
          <cell r="O13">
            <v>38.005552251797589</v>
          </cell>
          <cell r="P13">
            <v>38.008060796741894</v>
          </cell>
        </row>
        <row r="14">
          <cell r="B14" t="str">
            <v>CO2_O</v>
          </cell>
          <cell r="C14" t="str">
            <v>VAR_fout</v>
          </cell>
          <cell r="D14" t="str">
            <v>SUP_WSTHTGBIOCCS</v>
          </cell>
          <cell r="J14">
            <v>1.5944389741564687E-3</v>
          </cell>
          <cell r="K14">
            <v>2.2067975855734698E-3</v>
          </cell>
          <cell r="L14">
            <v>1.5200812752842147E-2</v>
          </cell>
          <cell r="M14">
            <v>1.5036954096962986E-2</v>
          </cell>
          <cell r="N14">
            <v>1.1048861763677462E-2</v>
          </cell>
          <cell r="O14">
            <v>1.1577434482943839E-2</v>
          </cell>
          <cell r="P14">
            <v>1.2940490054544996E-2</v>
          </cell>
        </row>
        <row r="15">
          <cell r="B15" t="str">
            <v>CO2_O</v>
          </cell>
          <cell r="C15" t="str">
            <v>VAR_fout</v>
          </cell>
          <cell r="D15" t="str">
            <v>ITOT-CHPWODCCS</v>
          </cell>
          <cell r="J15">
            <v>487.56841045216538</v>
          </cell>
          <cell r="K15">
            <v>1055.3087922350396</v>
          </cell>
          <cell r="L15">
            <v>1225.7773624740087</v>
          </cell>
          <cell r="M15">
            <v>1209.6914315036624</v>
          </cell>
          <cell r="N15">
            <v>1225.7778964967238</v>
          </cell>
          <cell r="O15">
            <v>1220.9405853600081</v>
          </cell>
          <cell r="P15">
            <v>1225.77821182925</v>
          </cell>
        </row>
        <row r="16">
          <cell r="B16" t="str">
            <v>CO2_O</v>
          </cell>
          <cell r="C16" t="str">
            <v>VAR_fout</v>
          </cell>
          <cell r="D16" t="str">
            <v>EWOD-CCS</v>
          </cell>
          <cell r="J16">
            <v>6.3493771160830187E-2</v>
          </cell>
          <cell r="K16">
            <v>11.386037531215123</v>
          </cell>
          <cell r="L16">
            <v>197.59784395061254</v>
          </cell>
          <cell r="M16">
            <v>203.20900785954186</v>
          </cell>
          <cell r="N16">
            <v>203.43848586327647</v>
          </cell>
          <cell r="O16">
            <v>203.35216078956816</v>
          </cell>
          <cell r="P16">
            <v>203.28615805114484</v>
          </cell>
        </row>
        <row r="17">
          <cell r="B17" t="str">
            <v>CO2_O</v>
          </cell>
          <cell r="C17" t="str">
            <v>VAR_fout</v>
          </cell>
          <cell r="D17" t="str">
            <v>ITOT-PROCESSCO2CCS</v>
          </cell>
          <cell r="J17">
            <v>2.9539679440699764E-2</v>
          </cell>
          <cell r="K17">
            <v>1035.2918142915414</v>
          </cell>
          <cell r="L17">
            <v>1031.8768963287014</v>
          </cell>
          <cell r="M17">
            <v>1031.8780231141075</v>
          </cell>
          <cell r="N17">
            <v>1031.8790657550776</v>
          </cell>
          <cell r="O17">
            <v>1031.8793468857282</v>
          </cell>
          <cell r="P17">
            <v>1031.8800711048309</v>
          </cell>
        </row>
        <row r="18">
          <cell r="B18" t="str">
            <v>CO2_O</v>
          </cell>
          <cell r="C18" t="str">
            <v>VAR_fout</v>
          </cell>
          <cell r="D18" t="str">
            <v>SUP_WODH2CCS</v>
          </cell>
          <cell r="L18">
            <v>383.17673859016361</v>
          </cell>
          <cell r="M18">
            <v>963.67593316353998</v>
          </cell>
          <cell r="N18">
            <v>963.66789771029346</v>
          </cell>
          <cell r="O18">
            <v>1058.4190353693134</v>
          </cell>
          <cell r="P18">
            <v>1062.1598890806406</v>
          </cell>
        </row>
        <row r="19">
          <cell r="B19" t="str">
            <v>CO2_O</v>
          </cell>
          <cell r="C19" t="str">
            <v>VAR_fout</v>
          </cell>
          <cell r="D19" t="str">
            <v>SUP_WODBIOCCS</v>
          </cell>
          <cell r="J19">
            <v>8.5416054031695991E-3</v>
          </cell>
          <cell r="K19">
            <v>1.2002030910712495E-2</v>
          </cell>
          <cell r="L19">
            <v>2.3686503336320903E-2</v>
          </cell>
          <cell r="M19">
            <v>2.5115253785085997E-2</v>
          </cell>
          <cell r="N19">
            <v>2.3323832089084423E-2</v>
          </cell>
          <cell r="O19">
            <v>2.3229506142303988E-2</v>
          </cell>
          <cell r="P19">
            <v>3.8026105386988994E-2</v>
          </cell>
        </row>
        <row r="20">
          <cell r="B20" t="str">
            <v>CO2_O</v>
          </cell>
          <cell r="C20" t="str">
            <v>VAR_fout</v>
          </cell>
          <cell r="D20" t="str">
            <v>SUP_NGAH2CCS</v>
          </cell>
          <cell r="L20">
            <v>3.5874213770918009E-3</v>
          </cell>
          <cell r="M20">
            <v>4.1886544626182562E-3</v>
          </cell>
          <cell r="N20">
            <v>3.8104909796859371E-3</v>
          </cell>
          <cell r="O20">
            <v>4.5561711479549811E-3</v>
          </cell>
          <cell r="P20">
            <v>6.6167200586721249E-3</v>
          </cell>
        </row>
        <row r="21">
          <cell r="B21" t="str">
            <v>CO2_O</v>
          </cell>
          <cell r="C21" t="str">
            <v>VAR_fout</v>
          </cell>
          <cell r="D21" t="str">
            <v>CT_CWODETHCCS</v>
          </cell>
          <cell r="J21">
            <v>8.5194146833462775E-4</v>
          </cell>
          <cell r="K21">
            <v>6.6993975061292157E-4</v>
          </cell>
          <cell r="L21">
            <v>1.331312533089382E-3</v>
          </cell>
          <cell r="M21">
            <v>5.9212019633778936E-4</v>
          </cell>
          <cell r="N21">
            <v>1.3542529298762017E-3</v>
          </cell>
          <cell r="O21">
            <v>9.5443456814332459E-4</v>
          </cell>
          <cell r="P21">
            <v>3.0644394058102348E-3</v>
          </cell>
        </row>
        <row r="22">
          <cell r="B22" t="str">
            <v>CO2_O</v>
          </cell>
          <cell r="C22" t="str">
            <v>VAR_fout</v>
          </cell>
          <cell r="D22" t="str">
            <v>SUP_DAC</v>
          </cell>
          <cell r="J22">
            <v>1.9430678985890382E-3</v>
          </cell>
          <cell r="K22">
            <v>3.1391762835147083E-3</v>
          </cell>
          <cell r="L22">
            <v>96.149909621709241</v>
          </cell>
          <cell r="M22">
            <v>214.27537892772824</v>
          </cell>
          <cell r="N22">
            <v>1418.6254257380408</v>
          </cell>
          <cell r="O22">
            <v>2074.3549650134742</v>
          </cell>
          <cell r="P22">
            <v>2756.9083032561766</v>
          </cell>
        </row>
        <row r="23">
          <cell r="B23" t="str">
            <v>CO2_O</v>
          </cell>
          <cell r="C23" t="str">
            <v>VAR_fout</v>
          </cell>
          <cell r="D23" t="str">
            <v>CT_CWODBDSCCS</v>
          </cell>
          <cell r="J23">
            <v>6.634251467577487E-3</v>
          </cell>
          <cell r="K23">
            <v>1.0561104482861416E-2</v>
          </cell>
          <cell r="L23">
            <v>604.36664132676901</v>
          </cell>
          <cell r="M23">
            <v>641.40545832154532</v>
          </cell>
          <cell r="N23">
            <v>604.36654102854186</v>
          </cell>
          <cell r="O23">
            <v>641.61583733478528</v>
          </cell>
          <cell r="P23">
            <v>707.87831979882606</v>
          </cell>
        </row>
        <row r="24">
          <cell r="B24" t="str">
            <v>CO2_O</v>
          </cell>
          <cell r="C24" t="str">
            <v>VAR_fin</v>
          </cell>
          <cell r="D24" t="str">
            <v>D-CO2_O</v>
          </cell>
          <cell r="J24">
            <v>1833.8813583408798</v>
          </cell>
          <cell r="K24">
            <v>5123.3413128203983</v>
          </cell>
          <cell r="L24">
            <v>6521.6989106396768</v>
          </cell>
          <cell r="M24">
            <v>7487.4580358263565</v>
          </cell>
          <cell r="N24">
            <v>8685.6400506559839</v>
          </cell>
          <cell r="O24">
            <v>9483.6548399542426</v>
          </cell>
          <cell r="P24">
            <v>10245.898250851298</v>
          </cell>
        </row>
        <row r="25">
          <cell r="B25" t="str">
            <v>CO2_O</v>
          </cell>
          <cell r="C25" t="str">
            <v>EQ_combalM</v>
          </cell>
          <cell r="D25" t="str">
            <v>-</v>
          </cell>
          <cell r="J25">
            <v>-67.874742615628037</v>
          </cell>
          <cell r="K25">
            <v>-48.17387835158091</v>
          </cell>
          <cell r="L25">
            <v>-57.722569208731414</v>
          </cell>
          <cell r="M25">
            <v>-64.985597741790059</v>
          </cell>
          <cell r="N25">
            <v>-74.797843556239897</v>
          </cell>
          <cell r="O25">
            <v>-81.357990468372208</v>
          </cell>
          <cell r="P25">
            <v>-86.190612307428495</v>
          </cell>
        </row>
        <row r="26">
          <cell r="B26" t="str">
            <v>CO2_Q</v>
          </cell>
          <cell r="C26" t="str">
            <v>VAR_fout</v>
          </cell>
          <cell r="D26" t="str">
            <v>D-CO2_O</v>
          </cell>
          <cell r="J26">
            <v>833.33092443225394</v>
          </cell>
          <cell r="K26">
            <v>331.04387477326719</v>
          </cell>
          <cell r="L26">
            <v>190.77643964365768</v>
          </cell>
          <cell r="M26">
            <v>1103.19609283819</v>
          </cell>
          <cell r="N26">
            <v>2092.0426216971205</v>
          </cell>
          <cell r="O26">
            <v>2766.9001208465206</v>
          </cell>
          <cell r="P26">
            <v>3527.6076731241842</v>
          </cell>
        </row>
        <row r="27">
          <cell r="B27" t="str">
            <v>CO2_Q</v>
          </cell>
          <cell r="C27" t="str">
            <v>VAR_fin</v>
          </cell>
          <cell r="D27" t="str">
            <v>CO2SINK</v>
          </cell>
          <cell r="J27">
            <v>833.33092443225394</v>
          </cell>
          <cell r="K27">
            <v>331.04387477326719</v>
          </cell>
          <cell r="L27">
            <v>190.77643964365768</v>
          </cell>
          <cell r="M27">
            <v>1103.19609283819</v>
          </cell>
          <cell r="N27">
            <v>2092.0426216971205</v>
          </cell>
          <cell r="O27">
            <v>2766.9001208465206</v>
          </cell>
          <cell r="P27">
            <v>3527.6076731241842</v>
          </cell>
        </row>
        <row r="28">
          <cell r="B28" t="str">
            <v>CO2_Q</v>
          </cell>
          <cell r="C28" t="str">
            <v>EQ_combalM</v>
          </cell>
          <cell r="D28" t="str">
            <v>-</v>
          </cell>
          <cell r="J28">
            <v>-66.267224100559019</v>
          </cell>
          <cell r="K28">
            <v>-45.802309060905486</v>
          </cell>
          <cell r="L28">
            <v>-55.975766943566917</v>
          </cell>
          <cell r="M28">
            <v>-63.893117933169194</v>
          </cell>
          <cell r="N28">
            <v>-73.259169984800877</v>
          </cell>
          <cell r="O28">
            <v>-80.029499763678686</v>
          </cell>
          <cell r="P28">
            <v>-85.182076768958595</v>
          </cell>
        </row>
        <row r="29">
          <cell r="B29" t="str">
            <v>CO2_R</v>
          </cell>
          <cell r="C29" t="str">
            <v>VAR_fout</v>
          </cell>
          <cell r="D29" t="str">
            <v>RHNS-SHNGAHP</v>
          </cell>
          <cell r="G29">
            <v>2.2649894096820101E-2</v>
          </cell>
          <cell r="H29">
            <v>1.93861322161928E-2</v>
          </cell>
          <cell r="I29">
            <v>0.22310783750940499</v>
          </cell>
          <cell r="J29">
            <v>19.8716882660454</v>
          </cell>
          <cell r="K29">
            <v>19.064878330189899</v>
          </cell>
          <cell r="L29">
            <v>18.660268705795801</v>
          </cell>
          <cell r="M29">
            <v>1.8752930096787499</v>
          </cell>
          <cell r="N29">
            <v>2.64576973062105E-2</v>
          </cell>
          <cell r="O29">
            <v>2.62684760717912E-2</v>
          </cell>
          <cell r="P29">
            <v>2.61249355072951E-2</v>
          </cell>
        </row>
        <row r="30">
          <cell r="B30" t="str">
            <v>CO2_R</v>
          </cell>
          <cell r="C30" t="str">
            <v>VAR_fout</v>
          </cell>
          <cell r="D30" t="str">
            <v>RHNS-CHPGFC</v>
          </cell>
          <cell r="M30">
            <v>2.2606610409701199E-2</v>
          </cell>
          <cell r="N30">
            <v>3.4209817361587097E-2</v>
          </cell>
          <cell r="O30">
            <v>3.4285678116984797E-2</v>
          </cell>
          <cell r="P30">
            <v>6.8203322817907197E-2</v>
          </cell>
        </row>
        <row r="31">
          <cell r="B31" t="str">
            <v>CO2_R</v>
          </cell>
          <cell r="C31" t="str">
            <v>VAR_fout</v>
          </cell>
          <cell r="D31" t="str">
            <v>RHES-CHPNGA</v>
          </cell>
          <cell r="E31">
            <v>3.0442951539198999</v>
          </cell>
          <cell r="F31">
            <v>0.267507470667393</v>
          </cell>
          <cell r="G31">
            <v>0.71733854825510301</v>
          </cell>
          <cell r="H31">
            <v>0.48596595949188698</v>
          </cell>
          <cell r="I31">
            <v>0.45944280453879999</v>
          </cell>
          <cell r="J31">
            <v>0.34865475631736698</v>
          </cell>
          <cell r="M31">
            <v>0.17358181637824199</v>
          </cell>
          <cell r="N31">
            <v>0.27774373936734098</v>
          </cell>
          <cell r="O31">
            <v>0.28819099720324098</v>
          </cell>
          <cell r="P31">
            <v>0.28893312339115401</v>
          </cell>
        </row>
        <row r="32">
          <cell r="B32" t="str">
            <v>CO2_R</v>
          </cell>
          <cell r="C32" t="str">
            <v>VAR_fout</v>
          </cell>
          <cell r="D32" t="str">
            <v>RHEM-CHPGFC</v>
          </cell>
          <cell r="M32">
            <v>7.2270657438162994E-2</v>
          </cell>
          <cell r="N32">
            <v>0.124048478474296</v>
          </cell>
          <cell r="O32">
            <v>0.116731040242097</v>
          </cell>
          <cell r="P32">
            <v>0.196179470250125</v>
          </cell>
        </row>
        <row r="33">
          <cell r="B33" t="str">
            <v>CO2_R</v>
          </cell>
          <cell r="C33" t="str">
            <v>VAR_fout</v>
          </cell>
          <cell r="D33" t="str">
            <v>RHEM-SHNGABR</v>
          </cell>
          <cell r="E33">
            <v>1127.9631318582899</v>
          </cell>
          <cell r="F33">
            <v>1119.6360653706199</v>
          </cell>
          <cell r="G33">
            <v>1133.9543023681599</v>
          </cell>
          <cell r="H33">
            <v>1133.95357047058</v>
          </cell>
          <cell r="I33">
            <v>1051.9383251709401</v>
          </cell>
          <cell r="J33">
            <v>967.88539743213005</v>
          </cell>
          <cell r="K33">
            <v>939.59055294964298</v>
          </cell>
          <cell r="L33">
            <v>278.23893858584501</v>
          </cell>
          <cell r="M33">
            <v>199.06983946144999</v>
          </cell>
          <cell r="N33">
            <v>180.175914868966</v>
          </cell>
          <cell r="O33">
            <v>180.17582820913</v>
          </cell>
          <cell r="P33">
            <v>131.46533094492</v>
          </cell>
        </row>
        <row r="34">
          <cell r="B34" t="str">
            <v>CO2_R</v>
          </cell>
          <cell r="C34" t="str">
            <v>VAR_fout</v>
          </cell>
          <cell r="D34" t="str">
            <v>RHSA-WHNGAHP</v>
          </cell>
          <cell r="G34">
            <v>2.3314279775352598E-2</v>
          </cell>
          <cell r="H34">
            <v>2.8976945812225902E-2</v>
          </cell>
          <cell r="I34">
            <v>45.598387565226503</v>
          </cell>
          <cell r="J34">
            <v>100.448394937686</v>
          </cell>
          <cell r="K34">
            <v>109.60319654726101</v>
          </cell>
          <cell r="L34">
            <v>64.356542810156796</v>
          </cell>
          <cell r="M34">
            <v>32.581069541466299</v>
          </cell>
          <cell r="N34">
            <v>29.0682969346541</v>
          </cell>
          <cell r="O34">
            <v>29.068120216836999</v>
          </cell>
          <cell r="P34">
            <v>29.068077352144002</v>
          </cell>
        </row>
        <row r="35">
          <cell r="B35" t="str">
            <v>CO2_R</v>
          </cell>
          <cell r="C35" t="str">
            <v>VAR_fout</v>
          </cell>
          <cell r="D35" t="str">
            <v>RHEM-SHLFOBR</v>
          </cell>
          <cell r="E35">
            <v>1928.71050765364</v>
          </cell>
          <cell r="F35">
            <v>1525.5761600772701</v>
          </cell>
          <cell r="G35">
            <v>1550.9079592161199</v>
          </cell>
          <cell r="H35">
            <v>1329.02663505395</v>
          </cell>
          <cell r="I35">
            <v>765.45470242559304</v>
          </cell>
          <cell r="J35">
            <v>576.82021394695005</v>
          </cell>
          <cell r="K35">
            <v>387.34632788712202</v>
          </cell>
          <cell r="L35">
            <v>387.34627159940698</v>
          </cell>
          <cell r="M35">
            <v>387.34612144685502</v>
          </cell>
          <cell r="N35">
            <v>260.56796069605099</v>
          </cell>
          <cell r="O35">
            <v>201.46063278671099</v>
          </cell>
          <cell r="P35">
            <v>1.8322762218784501</v>
          </cell>
        </row>
        <row r="36">
          <cell r="B36" t="str">
            <v>CO2_R</v>
          </cell>
          <cell r="C36" t="str">
            <v>VAR_fout</v>
          </cell>
          <cell r="D36" t="str">
            <v>RHES-SHNGAHP</v>
          </cell>
          <cell r="G36">
            <v>1.8271836340393199E-2</v>
          </cell>
          <cell r="H36">
            <v>1.9501633022313801E-2</v>
          </cell>
          <cell r="I36">
            <v>78.727382231389399</v>
          </cell>
          <cell r="J36">
            <v>166.79015616034701</v>
          </cell>
          <cell r="K36">
            <v>162.114373497679</v>
          </cell>
          <cell r="L36">
            <v>85.639468329702396</v>
          </cell>
          <cell r="M36">
            <v>12.1222710398486</v>
          </cell>
          <cell r="N36">
            <v>2.9705960410523698E-2</v>
          </cell>
          <cell r="O36">
            <v>2.9563099733613801E-2</v>
          </cell>
          <cell r="P36">
            <v>2.9612973310969001E-2</v>
          </cell>
        </row>
        <row r="37">
          <cell r="B37" t="str">
            <v>CO2_R</v>
          </cell>
          <cell r="C37" t="str">
            <v>VAR_fout</v>
          </cell>
          <cell r="D37" t="str">
            <v>RHES-CHPGFC</v>
          </cell>
          <cell r="M37">
            <v>2.59166935314241E-2</v>
          </cell>
          <cell r="N37">
            <v>4.7171837719453102E-2</v>
          </cell>
          <cell r="O37">
            <v>4.7348958464374397E-2</v>
          </cell>
          <cell r="P37">
            <v>8.2494100657355199E-2</v>
          </cell>
        </row>
        <row r="38">
          <cell r="B38" t="str">
            <v>CO2_R</v>
          </cell>
          <cell r="C38" t="str">
            <v>VAR_fout</v>
          </cell>
          <cell r="D38" t="str">
            <v>RHNM-CHPNGA</v>
          </cell>
          <cell r="F38">
            <v>0.27345512603889799</v>
          </cell>
          <cell r="G38">
            <v>0.58633035203289097</v>
          </cell>
          <cell r="H38">
            <v>0.52168963554382497</v>
          </cell>
          <cell r="I38">
            <v>0.55347360226247599</v>
          </cell>
          <cell r="J38">
            <v>0.34386872840833699</v>
          </cell>
          <cell r="M38">
            <v>4.55585870158993E-2</v>
          </cell>
          <cell r="N38">
            <v>0.19265125073102499</v>
          </cell>
          <cell r="O38">
            <v>6.3034369230305198E-2</v>
          </cell>
          <cell r="P38">
            <v>9.9682488326104504E-2</v>
          </cell>
        </row>
        <row r="39">
          <cell r="B39" t="str">
            <v>CO2_R</v>
          </cell>
          <cell r="C39" t="str">
            <v>VAR_fout</v>
          </cell>
          <cell r="D39" t="str">
            <v>RHNM-SHNGAHP</v>
          </cell>
          <cell r="G39">
            <v>4.8123218992117099E-2</v>
          </cell>
          <cell r="H39">
            <v>4.74782538505912E-2</v>
          </cell>
          <cell r="I39">
            <v>50.244832449559603</v>
          </cell>
          <cell r="J39">
            <v>87.739341364912505</v>
          </cell>
          <cell r="K39">
            <v>85.180524682166705</v>
          </cell>
          <cell r="L39">
            <v>36.428990069293597</v>
          </cell>
          <cell r="M39">
            <v>8.7611571950973396E-2</v>
          </cell>
          <cell r="N39">
            <v>2.8483576440460501E-2</v>
          </cell>
          <cell r="O39">
            <v>2.8211752077523199E-2</v>
          </cell>
          <cell r="P39">
            <v>2.8197347903532798E-2</v>
          </cell>
        </row>
        <row r="40">
          <cell r="B40" t="str">
            <v>CO2_R</v>
          </cell>
          <cell r="C40" t="str">
            <v>VAR_fout</v>
          </cell>
          <cell r="D40" t="str">
            <v>RHES-SHNGABR</v>
          </cell>
          <cell r="E40">
            <v>1043.13512009287</v>
          </cell>
          <cell r="F40">
            <v>1215.05694857449</v>
          </cell>
          <cell r="G40">
            <v>1103.70747223792</v>
          </cell>
          <cell r="H40">
            <v>1103.7073888748</v>
          </cell>
          <cell r="I40">
            <v>1103.7069970652301</v>
          </cell>
          <cell r="J40">
            <v>924.74491768218502</v>
          </cell>
          <cell r="K40">
            <v>606.66833056338305</v>
          </cell>
          <cell r="L40">
            <v>190.90913735115299</v>
          </cell>
          <cell r="M40">
            <v>44.726468288700097</v>
          </cell>
          <cell r="N40">
            <v>1.31516680614852</v>
          </cell>
          <cell r="O40">
            <v>1.3149177351964501</v>
          </cell>
          <cell r="P40">
            <v>2.9367494972910101E-2</v>
          </cell>
        </row>
        <row r="41">
          <cell r="B41" t="str">
            <v>CO2_R</v>
          </cell>
          <cell r="C41" t="str">
            <v>VAR_fout</v>
          </cell>
          <cell r="D41" t="str">
            <v>RHSA-WHNGABR</v>
          </cell>
          <cell r="E41">
            <v>479.80986428214197</v>
          </cell>
          <cell r="F41">
            <v>382.49743890291597</v>
          </cell>
          <cell r="G41">
            <v>473.490333154354</v>
          </cell>
          <cell r="H41">
            <v>717.03725918954501</v>
          </cell>
          <cell r="I41">
            <v>536.77277808011797</v>
          </cell>
          <cell r="J41">
            <v>472.28844075440298</v>
          </cell>
          <cell r="K41">
            <v>236.39727553737399</v>
          </cell>
          <cell r="L41">
            <v>71.276296733822704</v>
          </cell>
          <cell r="M41">
            <v>37.039239883024599</v>
          </cell>
          <cell r="N41">
            <v>27.573485691248699</v>
          </cell>
          <cell r="O41">
            <v>27.573363675583899</v>
          </cell>
          <cell r="P41">
            <v>19.977737315338398</v>
          </cell>
        </row>
        <row r="42">
          <cell r="B42" t="str">
            <v>CO2_R</v>
          </cell>
          <cell r="C42" t="str">
            <v>VAR_fout</v>
          </cell>
          <cell r="D42" t="str">
            <v>RHSA-WHLFOBR</v>
          </cell>
          <cell r="E42">
            <v>726.71235759029105</v>
          </cell>
          <cell r="F42">
            <v>615.73850725819</v>
          </cell>
          <cell r="G42">
            <v>400.50382331105499</v>
          </cell>
          <cell r="H42">
            <v>106.08444116609201</v>
          </cell>
          <cell r="I42">
            <v>50.362783250072603</v>
          </cell>
          <cell r="J42">
            <v>3.8907760734490399E-2</v>
          </cell>
          <cell r="K42">
            <v>2.85648302139123E-2</v>
          </cell>
          <cell r="L42">
            <v>1.79316900852046E-2</v>
          </cell>
          <cell r="M42">
            <v>1.0785491186566999E-2</v>
          </cell>
          <cell r="N42">
            <v>1.9695933344054999E-2</v>
          </cell>
          <cell r="O42">
            <v>1.68012499713894E-2</v>
          </cell>
          <cell r="P42">
            <v>4.1165195665375402E-2</v>
          </cell>
        </row>
        <row r="43">
          <cell r="B43" t="str">
            <v>CO2_R</v>
          </cell>
          <cell r="C43" t="str">
            <v>VAR_fout</v>
          </cell>
          <cell r="D43" t="str">
            <v>RHES-SHLFOBR</v>
          </cell>
          <cell r="E43">
            <v>1783.66264616894</v>
          </cell>
          <cell r="F43">
            <v>1640.9694812415801</v>
          </cell>
          <cell r="G43">
            <v>1768.4580616650901</v>
          </cell>
          <cell r="H43">
            <v>1625.8782546910199</v>
          </cell>
          <cell r="I43">
            <v>772.85440246611404</v>
          </cell>
          <cell r="J43">
            <v>311.11453850011702</v>
          </cell>
          <cell r="K43">
            <v>311.10405554750503</v>
          </cell>
          <cell r="L43">
            <v>311.10401685012698</v>
          </cell>
          <cell r="M43">
            <v>311.10395143783802</v>
          </cell>
          <cell r="N43">
            <v>270.44803416137597</v>
          </cell>
          <cell r="O43">
            <v>216.00013632858199</v>
          </cell>
          <cell r="P43">
            <v>99.897622948734295</v>
          </cell>
        </row>
        <row r="44">
          <cell r="B44" t="str">
            <v>CO2_R</v>
          </cell>
          <cell r="C44" t="str">
            <v>VAR_fout</v>
          </cell>
          <cell r="D44" t="str">
            <v>RHNS-CHPNGA</v>
          </cell>
          <cell r="F44">
            <v>9.1738370467670596E-2</v>
          </cell>
          <cell r="G44">
            <v>0.14142977916089799</v>
          </cell>
          <cell r="H44">
            <v>0.117999771672384</v>
          </cell>
          <cell r="I44">
            <v>0.118101591942912</v>
          </cell>
          <cell r="J44">
            <v>7.8421928046041797E-2</v>
          </cell>
          <cell r="M44">
            <v>5.6896670259134301E-2</v>
          </cell>
          <cell r="N44">
            <v>5.5466815431492102E-2</v>
          </cell>
          <cell r="O44">
            <v>4.6426313093624397E-2</v>
          </cell>
          <cell r="P44">
            <v>9.7568332851782902E-2</v>
          </cell>
        </row>
        <row r="45">
          <cell r="B45" t="str">
            <v>CO2_R</v>
          </cell>
          <cell r="C45" t="str">
            <v>VAR_fout</v>
          </cell>
          <cell r="D45" t="str">
            <v>RHNM-CHPGFC</v>
          </cell>
          <cell r="M45">
            <v>4.5364086687291298E-2</v>
          </cell>
          <cell r="N45">
            <v>0.103503042150419</v>
          </cell>
          <cell r="O45">
            <v>5.9420030360104299E-2</v>
          </cell>
          <cell r="P45">
            <v>0.11395069205352799</v>
          </cell>
        </row>
        <row r="46">
          <cell r="B46" t="str">
            <v>CO2_R</v>
          </cell>
          <cell r="C46" t="str">
            <v>VAR_fout</v>
          </cell>
          <cell r="D46" t="str">
            <v>RHEM-CHPNGA</v>
          </cell>
          <cell r="E46">
            <v>5.6606643830421497</v>
          </cell>
          <cell r="F46">
            <v>5.3383263544509498</v>
          </cell>
          <cell r="G46">
            <v>21.5759629985785</v>
          </cell>
          <cell r="H46">
            <v>21.078891597245001</v>
          </cell>
          <cell r="I46">
            <v>21.093778183027901</v>
          </cell>
          <cell r="J46">
            <v>8.6897591446684004</v>
          </cell>
          <cell r="M46">
            <v>0.195069074832426</v>
          </cell>
          <cell r="N46">
            <v>0.40444542469054401</v>
          </cell>
          <cell r="O46">
            <v>0.340357988988013</v>
          </cell>
          <cell r="P46">
            <v>0.454475508487166</v>
          </cell>
        </row>
        <row r="47">
          <cell r="B47" t="str">
            <v>CO2_R</v>
          </cell>
          <cell r="C47" t="str">
            <v>VAR_fout</v>
          </cell>
          <cell r="D47" t="str">
            <v>RHES-SHCOABR</v>
          </cell>
          <cell r="E47">
            <v>9.2700412864716402</v>
          </cell>
          <cell r="F47">
            <v>9.2700133145970405</v>
          </cell>
          <cell r="G47">
            <v>5.3640066552239199E-2</v>
          </cell>
          <cell r="H47">
            <v>3.2382614697499597E-2</v>
          </cell>
          <cell r="I47">
            <v>1.23472012021514E-2</v>
          </cell>
        </row>
        <row r="48">
          <cell r="B48" t="str">
            <v>CO2_R</v>
          </cell>
          <cell r="C48" t="str">
            <v>VAR_fout</v>
          </cell>
          <cell r="D48" t="str">
            <v>RHEM-SHNGAHP</v>
          </cell>
          <cell r="G48">
            <v>9.7360750795169003E-3</v>
          </cell>
          <cell r="H48">
            <v>2.04254202969954E-2</v>
          </cell>
          <cell r="I48">
            <v>20.9366620802904</v>
          </cell>
          <cell r="J48">
            <v>21.2875393939612</v>
          </cell>
          <cell r="K48">
            <v>20.6879707954316</v>
          </cell>
          <cell r="L48">
            <v>115.76963879053601</v>
          </cell>
          <cell r="M48">
            <v>115.769424968379</v>
          </cell>
          <cell r="N48">
            <v>115.769436732705</v>
          </cell>
          <cell r="O48">
            <v>115.769382299364</v>
          </cell>
          <cell r="P48">
            <v>115.769451212947</v>
          </cell>
        </row>
        <row r="49">
          <cell r="B49" t="str">
            <v>CO2_R</v>
          </cell>
          <cell r="C49" t="str">
            <v>VAR_comnet</v>
          </cell>
          <cell r="D49" t="str">
            <v>-</v>
          </cell>
          <cell r="E49">
            <v>7107.9686284695999</v>
          </cell>
          <cell r="F49">
            <v>6514.7156420613001</v>
          </cell>
          <cell r="G49">
            <v>6454.2187490015604</v>
          </cell>
          <cell r="H49">
            <v>6038.0602474098296</v>
          </cell>
          <cell r="I49">
            <v>4499.0575040050098</v>
          </cell>
          <cell r="J49">
            <v>3658.4902407569102</v>
          </cell>
          <cell r="K49">
            <v>2877.7860511679701</v>
          </cell>
          <cell r="L49">
            <v>1559.74750151592</v>
          </cell>
          <cell r="M49">
            <v>1142.36934033693</v>
          </cell>
          <cell r="N49">
            <v>886.26187946457605</v>
          </cell>
          <cell r="O49">
            <v>772.45902120495703</v>
          </cell>
          <cell r="P49">
            <v>399.56645098215802</v>
          </cell>
        </row>
        <row r="50">
          <cell r="B50" t="str">
            <v>CO2_S</v>
          </cell>
          <cell r="C50" t="str">
            <v>VAR_fout</v>
          </cell>
          <cell r="D50" t="str">
            <v>SCOM-SHNGAHP</v>
          </cell>
          <cell r="G50">
            <v>1.7197383479394299E-2</v>
          </cell>
          <cell r="H50">
            <v>1.55072832118978E-2</v>
          </cell>
          <cell r="I50">
            <v>0.23274780089226599</v>
          </cell>
          <cell r="J50">
            <v>0.355594955559488</v>
          </cell>
          <cell r="K50">
            <v>12.1978749099911</v>
          </cell>
          <cell r="L50">
            <v>30.671299830435899</v>
          </cell>
          <cell r="M50">
            <v>51.016781809475297</v>
          </cell>
          <cell r="N50">
            <v>72.934814114644297</v>
          </cell>
          <cell r="O50">
            <v>96.546487627502501</v>
          </cell>
          <cell r="P50">
            <v>104.008199537187</v>
          </cell>
        </row>
        <row r="51">
          <cell r="B51" t="str">
            <v>CO2_S</v>
          </cell>
          <cell r="C51" t="str">
            <v>VAR_fout</v>
          </cell>
          <cell r="D51" t="str">
            <v>SCOM-CHPNGA</v>
          </cell>
          <cell r="E51">
            <v>93.324827692847407</v>
          </cell>
          <cell r="F51">
            <v>98.052961083681097</v>
          </cell>
          <cell r="G51">
            <v>150.50662750108901</v>
          </cell>
          <cell r="H51">
            <v>170.29810909994899</v>
          </cell>
          <cell r="I51">
            <v>157.82738229893201</v>
          </cell>
          <cell r="J51">
            <v>96.192026989687406</v>
          </cell>
          <cell r="M51">
            <v>0.12994831589625799</v>
          </cell>
          <cell r="N51">
            <v>0.12971691869741001</v>
          </cell>
          <cell r="O51">
            <v>9.3250353358794905E-2</v>
          </cell>
          <cell r="P51">
            <v>0.160601864191492</v>
          </cell>
        </row>
        <row r="52">
          <cell r="B52" t="str">
            <v>CO2_S</v>
          </cell>
          <cell r="C52" t="str">
            <v>VAR_fout</v>
          </cell>
          <cell r="D52" t="str">
            <v>SCOM-SHNGABR</v>
          </cell>
          <cell r="E52">
            <v>1440.94597310516</v>
          </cell>
          <cell r="F52">
            <v>1508.6876444415</v>
          </cell>
          <cell r="G52">
            <v>1464.2465877186801</v>
          </cell>
          <cell r="H52">
            <v>1424.55761565285</v>
          </cell>
          <cell r="I52">
            <v>1445.4258035705</v>
          </cell>
          <cell r="J52">
            <v>1497.6971009855799</v>
          </cell>
          <cell r="K52">
            <v>1375.00936809926</v>
          </cell>
          <cell r="L52">
            <v>209.43446705461801</v>
          </cell>
          <cell r="M52">
            <v>232.61286016246399</v>
          </cell>
          <cell r="N52">
            <v>105.359302051882</v>
          </cell>
          <cell r="O52">
            <v>48.578262538497398</v>
          </cell>
          <cell r="P52">
            <v>30.691427338838601</v>
          </cell>
        </row>
        <row r="53">
          <cell r="B53" t="str">
            <v>CO2_S</v>
          </cell>
          <cell r="C53" t="str">
            <v>VAR_fout</v>
          </cell>
          <cell r="D53" t="str">
            <v>SCOM-CHPGFC</v>
          </cell>
          <cell r="M53">
            <v>3.5524721758836003E-2</v>
          </cell>
          <cell r="N53">
            <v>5.64710421933576E-2</v>
          </cell>
          <cell r="O53">
            <v>4.5992867005612101E-2</v>
          </cell>
          <cell r="P53">
            <v>9.2844514861417302E-2</v>
          </cell>
        </row>
        <row r="54">
          <cell r="B54" t="str">
            <v>CO2_S</v>
          </cell>
          <cell r="C54" t="str">
            <v>VAR_fout</v>
          </cell>
          <cell r="D54" t="str">
            <v>SCOM-SHLFOBR</v>
          </cell>
          <cell r="E54">
            <v>2229.9139514482999</v>
          </cell>
          <cell r="F54">
            <v>1959.91226120483</v>
          </cell>
          <cell r="G54">
            <v>1847.0912523121001</v>
          </cell>
          <cell r="H54">
            <v>1545.7810182800499</v>
          </cell>
          <cell r="I54">
            <v>1067.8395579072001</v>
          </cell>
          <cell r="J54">
            <v>559.171121074756</v>
          </cell>
          <cell r="K54">
            <v>304.64281143388303</v>
          </cell>
          <cell r="L54">
            <v>64.146703959612694</v>
          </cell>
          <cell r="M54">
            <v>77.5838220291038</v>
          </cell>
          <cell r="N54">
            <v>63.624652438187297</v>
          </cell>
          <cell r="O54">
            <v>63.642138102919603</v>
          </cell>
          <cell r="P54">
            <v>63.6607605566617</v>
          </cell>
        </row>
        <row r="55">
          <cell r="B55" t="str">
            <v>CO2_S</v>
          </cell>
          <cell r="C55" t="str">
            <v>VAR_comnet</v>
          </cell>
          <cell r="D55" t="str">
            <v>-</v>
          </cell>
          <cell r="E55">
            <v>3764.1847522463099</v>
          </cell>
          <cell r="F55">
            <v>3566.6528667300199</v>
          </cell>
          <cell r="G55">
            <v>3461.86166491535</v>
          </cell>
          <cell r="H55">
            <v>3140.65225031606</v>
          </cell>
          <cell r="I55">
            <v>2671.3254915775301</v>
          </cell>
          <cell r="J55">
            <v>2153.4158440055799</v>
          </cell>
          <cell r="K55">
            <v>1691.8500544431299</v>
          </cell>
          <cell r="L55">
            <v>304.25247084466599</v>
          </cell>
          <cell r="M55">
            <v>361.37893703869798</v>
          </cell>
          <cell r="N55">
            <v>242.104956565604</v>
          </cell>
          <cell r="O55">
            <v>208.90613148928401</v>
          </cell>
          <cell r="P55">
            <v>198.61383381173999</v>
          </cell>
        </row>
        <row r="56">
          <cell r="B56" t="str">
            <v>CO2_T</v>
          </cell>
          <cell r="C56" t="str">
            <v>VAR_fout</v>
          </cell>
          <cell r="D56" t="str">
            <v>T_B_u-ICENGAEXT</v>
          </cell>
          <cell r="E56">
            <v>1.78637107403819E-2</v>
          </cell>
          <cell r="F56">
            <v>1.7877655403959001E-2</v>
          </cell>
          <cell r="G56">
            <v>1.7820888217036101E-2</v>
          </cell>
        </row>
        <row r="57">
          <cell r="B57" t="str">
            <v>CO2_T</v>
          </cell>
          <cell r="C57" t="str">
            <v>VAR_fout</v>
          </cell>
          <cell r="D57" t="str">
            <v>TFHGV-ICENGA</v>
          </cell>
          <cell r="E57">
            <v>0.60629940104353941</v>
          </cell>
          <cell r="F57">
            <v>5.129054936382705E-2</v>
          </cell>
          <cell r="G57">
            <v>6.5140297566359195E-2</v>
          </cell>
          <cell r="H57">
            <v>6.3170285598091735E-2</v>
          </cell>
          <cell r="I57">
            <v>5.7092895424148096E-2</v>
          </cell>
          <cell r="J57">
            <v>5.9849190212630798E-2</v>
          </cell>
          <cell r="K57">
            <v>5.4946899432770903E-2</v>
          </cell>
          <cell r="L57">
            <v>2.63532689552354E-2</v>
          </cell>
        </row>
        <row r="58">
          <cell r="B58" t="str">
            <v>CO2_T</v>
          </cell>
          <cell r="C58" t="str">
            <v>VAR_fout</v>
          </cell>
          <cell r="D58" t="str">
            <v>T-Plg-GSL-mix_S1</v>
          </cell>
          <cell r="E58">
            <v>2.1883187058246101E-2</v>
          </cell>
          <cell r="F58">
            <v>3.3739350701114404E-2</v>
          </cell>
          <cell r="G58">
            <v>3.4722594874230614E-2</v>
          </cell>
          <cell r="H58">
            <v>3.3948749963017791E-2</v>
          </cell>
          <cell r="I58">
            <v>2.56700451567612E-2</v>
          </cell>
          <cell r="J58">
            <v>1.2611747594401701E-2</v>
          </cell>
          <cell r="K58">
            <v>1.0452467287545088E-2</v>
          </cell>
          <cell r="L58">
            <v>4.0643038345700398E-3</v>
          </cell>
          <cell r="M58">
            <v>2.9565836621529808E-2</v>
          </cell>
          <cell r="N58">
            <v>4.5433276812960902E-2</v>
          </cell>
          <cell r="O58">
            <v>5.5999169739524499E-2</v>
          </cell>
          <cell r="P58">
            <v>6.8372644987539102E-2</v>
          </cell>
        </row>
        <row r="59">
          <cell r="B59" t="str">
            <v>CO2_T</v>
          </cell>
          <cell r="C59" t="str">
            <v>VAR_fout</v>
          </cell>
          <cell r="D59" t="str">
            <v>T-Plg-GSL-mix_S2</v>
          </cell>
          <cell r="E59">
            <v>6.0398757485526602</v>
          </cell>
          <cell r="F59">
            <v>12.36439742183906</v>
          </cell>
          <cell r="G59">
            <v>8.6393845178641904</v>
          </cell>
          <cell r="H59">
            <v>9.7288484595521929</v>
          </cell>
          <cell r="I59">
            <v>0.91468850147227032</v>
          </cell>
          <cell r="J59">
            <v>4.9547129543658523E-2</v>
          </cell>
          <cell r="K59">
            <v>3.9111356790318796E-2</v>
          </cell>
          <cell r="L59">
            <v>2.0003699584106079E-2</v>
          </cell>
          <cell r="M59">
            <v>0.1291613482533748</v>
          </cell>
          <cell r="N59">
            <v>0.11568797029928139</v>
          </cell>
          <cell r="O59">
            <v>9.5538556333112701E-2</v>
          </cell>
          <cell r="P59">
            <v>4.5624493334034601E-2</v>
          </cell>
        </row>
        <row r="60">
          <cell r="B60" t="str">
            <v>CO2_T</v>
          </cell>
          <cell r="C60" t="str">
            <v>VAR_fout</v>
          </cell>
          <cell r="D60" t="str">
            <v>T-Plg-GSL-mix_S3</v>
          </cell>
          <cell r="E60">
            <v>6.3623663239237196</v>
          </cell>
          <cell r="F60">
            <v>17.705426145335991</v>
          </cell>
          <cell r="G60">
            <v>131.72086382370054</v>
          </cell>
          <cell r="H60">
            <v>341.86211085779132</v>
          </cell>
          <cell r="I60">
            <v>887.43377673529403</v>
          </cell>
          <cell r="J60">
            <v>562.78890198216891</v>
          </cell>
          <cell r="K60">
            <v>483.34422949508684</v>
          </cell>
          <cell r="L60">
            <v>126.4279290476764</v>
          </cell>
          <cell r="M60">
            <v>83.17108222465292</v>
          </cell>
          <cell r="N60">
            <v>0.17431320864753652</v>
          </cell>
          <cell r="O60">
            <v>0.15527522285786471</v>
          </cell>
          <cell r="P60">
            <v>8.0619113435792297E-2</v>
          </cell>
        </row>
        <row r="61">
          <cell r="B61" t="str">
            <v>CO2_T</v>
          </cell>
          <cell r="C61" t="str">
            <v>VAR_fout</v>
          </cell>
          <cell r="D61" t="str">
            <v>T-Plg-GSL-mix_S4</v>
          </cell>
          <cell r="E61">
            <v>12.8991367848667</v>
          </cell>
          <cell r="F61">
            <v>22.487779019355202</v>
          </cell>
          <cell r="G61">
            <v>21.535212675914355</v>
          </cell>
          <cell r="H61">
            <v>16.113409573073689</v>
          </cell>
          <cell r="I61">
            <v>2.45147465083194</v>
          </cell>
          <cell r="J61">
            <v>0.12419880203314961</v>
          </cell>
          <cell r="K61">
            <v>6.7442758018981502E-2</v>
          </cell>
          <cell r="L61">
            <v>2.52650289591165E-2</v>
          </cell>
          <cell r="M61">
            <v>53.071668329241156</v>
          </cell>
          <cell r="N61">
            <v>125.88181560648073</v>
          </cell>
          <cell r="O61">
            <v>115.49168003451327</v>
          </cell>
          <cell r="P61">
            <v>92.812623701928302</v>
          </cell>
        </row>
        <row r="62">
          <cell r="B62" t="str">
            <v>CO2_T</v>
          </cell>
          <cell r="C62" t="str">
            <v>VAR_fout</v>
          </cell>
          <cell r="D62" t="str">
            <v>TFLGV-HYBDSL</v>
          </cell>
          <cell r="F62">
            <v>31.682002955032601</v>
          </cell>
          <cell r="G62">
            <v>144.08836947150769</v>
          </cell>
          <cell r="H62">
            <v>234.55755378317701</v>
          </cell>
          <cell r="I62">
            <v>203.28293883970511</v>
          </cell>
          <cell r="J62">
            <v>2.9119390050697598E-3</v>
          </cell>
        </row>
        <row r="63">
          <cell r="B63" t="str">
            <v>CO2_T</v>
          </cell>
          <cell r="C63" t="str">
            <v>VAR_fout</v>
          </cell>
          <cell r="D63" t="str">
            <v>TFLGV-ICEGSLExt</v>
          </cell>
          <cell r="E63">
            <v>53.197407546358697</v>
          </cell>
          <cell r="F63">
            <v>106.671796010381</v>
          </cell>
          <cell r="G63">
            <v>39.988472790051503</v>
          </cell>
          <cell r="H63">
            <v>19.988373294091598</v>
          </cell>
        </row>
        <row r="64">
          <cell r="B64" t="str">
            <v>CO2_T</v>
          </cell>
          <cell r="C64" t="str">
            <v>VAR_fout</v>
          </cell>
          <cell r="D64" t="str">
            <v>TFLGV-ICEDSLExt</v>
          </cell>
          <cell r="E64">
            <v>812.12411818402302</v>
          </cell>
          <cell r="F64">
            <v>569.81704880128996</v>
          </cell>
          <cell r="G64">
            <v>399.54656503085499</v>
          </cell>
          <cell r="H64">
            <v>199.76435692723501</v>
          </cell>
        </row>
        <row r="65">
          <cell r="B65" t="str">
            <v>CO2_T</v>
          </cell>
          <cell r="C65" t="str">
            <v>VAR_fout</v>
          </cell>
          <cell r="D65" t="str">
            <v>T_C-ICE-NGA-S1</v>
          </cell>
          <cell r="E65">
            <v>0.2098006230723348</v>
          </cell>
          <cell r="F65">
            <v>0.10101827738746845</v>
          </cell>
          <cell r="G65">
            <v>9.8035825381804775E-2</v>
          </cell>
          <cell r="H65">
            <v>6.22819996647827E-3</v>
          </cell>
          <cell r="I65">
            <v>1.15549704097627E-3</v>
          </cell>
        </row>
        <row r="66">
          <cell r="B66" t="str">
            <v>CO2_T</v>
          </cell>
          <cell r="C66" t="str">
            <v>VAR_fout</v>
          </cell>
          <cell r="D66" t="str">
            <v>T_C-ICE-NGA-S2</v>
          </cell>
          <cell r="E66">
            <v>3.1636823815109265</v>
          </cell>
          <cell r="F66">
            <v>3.031879859826013</v>
          </cell>
          <cell r="G66">
            <v>3.3747035700189834</v>
          </cell>
        </row>
        <row r="67">
          <cell r="B67" t="str">
            <v>CO2_T</v>
          </cell>
          <cell r="C67" t="str">
            <v>VAR_fout</v>
          </cell>
          <cell r="D67" t="str">
            <v>TFLGV-ICEDSL</v>
          </cell>
          <cell r="E67">
            <v>326.19156816115782</v>
          </cell>
          <cell r="F67">
            <v>384.71554910080232</v>
          </cell>
          <cell r="G67">
            <v>374.026873483815</v>
          </cell>
          <cell r="H67">
            <v>152.58718247050035</v>
          </cell>
          <cell r="I67">
            <v>7.5115248802969395E-2</v>
          </cell>
          <cell r="J67">
            <v>3.46622452514139E-3</v>
          </cell>
        </row>
        <row r="68">
          <cell r="B68" t="str">
            <v>CO2_T</v>
          </cell>
          <cell r="C68" t="str">
            <v>VAR_fout</v>
          </cell>
          <cell r="D68" t="str">
            <v>T_C-ICE-NGA-S3</v>
          </cell>
          <cell r="E68">
            <v>0.251614192689607</v>
          </cell>
          <cell r="F68">
            <v>0.22682140421611982</v>
          </cell>
          <cell r="G68">
            <v>0.27132015766115725</v>
          </cell>
          <cell r="H68">
            <v>2.11540859168084E-2</v>
          </cell>
          <cell r="I68">
            <v>3.4686469263830902E-3</v>
          </cell>
        </row>
        <row r="69">
          <cell r="B69" t="str">
            <v>CO2_T</v>
          </cell>
          <cell r="C69" t="str">
            <v>VAR_fout</v>
          </cell>
          <cell r="D69" t="str">
            <v>T_C-ICE-NGA-S4</v>
          </cell>
          <cell r="E69">
            <v>2.7306215254697705</v>
          </cell>
          <cell r="F69">
            <v>2.6587672451609285</v>
          </cell>
          <cell r="G69">
            <v>2.4737873957439391</v>
          </cell>
        </row>
        <row r="70">
          <cell r="B70" t="str">
            <v>CO2_T</v>
          </cell>
          <cell r="C70" t="str">
            <v>VAR_fout</v>
          </cell>
          <cell r="D70" t="str">
            <v>T_C-MHY-GSL-S1</v>
          </cell>
          <cell r="F70">
            <v>9.1784586735271598E-3</v>
          </cell>
          <cell r="G70">
            <v>3.4855633883076859E-2</v>
          </cell>
          <cell r="H70">
            <v>4.2915909681478091E-2</v>
          </cell>
          <cell r="I70">
            <v>3.0310084242211759E-2</v>
          </cell>
          <cell r="J70">
            <v>9.4077786270011596E-3</v>
          </cell>
        </row>
        <row r="71">
          <cell r="B71" t="str">
            <v>CO2_T</v>
          </cell>
          <cell r="C71" t="str">
            <v>VAR_fout</v>
          </cell>
          <cell r="D71" t="str">
            <v>T_C-MHY-GSL-S2</v>
          </cell>
          <cell r="F71">
            <v>8.4669120120531797E-3</v>
          </cell>
          <cell r="G71">
            <v>3.4611445997581466E-2</v>
          </cell>
          <cell r="H71">
            <v>4.7704351380076296E-2</v>
          </cell>
          <cell r="I71">
            <v>3.2458571636468307E-2</v>
          </cell>
          <cell r="J71">
            <v>1.0939401893323141E-2</v>
          </cell>
        </row>
        <row r="72">
          <cell r="B72" t="str">
            <v>CO2_T</v>
          </cell>
          <cell r="C72" t="str">
            <v>VAR_fout</v>
          </cell>
          <cell r="D72" t="str">
            <v>T_C-MHY-DSL-S1</v>
          </cell>
          <cell r="F72">
            <v>8.4153609574371905E-3</v>
          </cell>
          <cell r="G72">
            <v>2.7387413994877739E-2</v>
          </cell>
          <cell r="H72">
            <v>3.7307346737887825E-2</v>
          </cell>
          <cell r="I72">
            <v>2.6599083846925636E-2</v>
          </cell>
          <cell r="J72">
            <v>9.1177534493844491E-3</v>
          </cell>
        </row>
        <row r="73">
          <cell r="B73" t="str">
            <v>CO2_T</v>
          </cell>
          <cell r="C73" t="str">
            <v>VAR_fout</v>
          </cell>
          <cell r="D73" t="str">
            <v>T_C-MHY-GSL-S3</v>
          </cell>
          <cell r="F73">
            <v>1.19699539958139E-2</v>
          </cell>
          <cell r="G73">
            <v>4.0977401641332296E-2</v>
          </cell>
          <cell r="H73">
            <v>5.1277574933263542E-2</v>
          </cell>
          <cell r="I73">
            <v>3.3689527484636494E-2</v>
          </cell>
          <cell r="J73">
            <v>1.00688678636518E-2</v>
          </cell>
        </row>
        <row r="74">
          <cell r="B74" t="str">
            <v>CO2_T</v>
          </cell>
          <cell r="C74" t="str">
            <v>VAR_fout</v>
          </cell>
          <cell r="D74" t="str">
            <v>T_C-MHY-DSL-S2</v>
          </cell>
          <cell r="F74">
            <v>7.7272427644642901E-3</v>
          </cell>
          <cell r="G74">
            <v>2.8595053411627089E-2</v>
          </cell>
          <cell r="H74">
            <v>3.9208985877906451E-2</v>
          </cell>
          <cell r="I74">
            <v>2.5870377915724357E-2</v>
          </cell>
          <cell r="J74">
            <v>8.6011297708522491E-3</v>
          </cell>
        </row>
        <row r="75">
          <cell r="B75" t="str">
            <v>CO2_T</v>
          </cell>
          <cell r="C75" t="str">
            <v>VAR_fout</v>
          </cell>
          <cell r="D75" t="str">
            <v>T_C-MHY-GSL-S4</v>
          </cell>
          <cell r="F75">
            <v>1.42339753573309E-2</v>
          </cell>
          <cell r="G75">
            <v>5.2552135995473995E-2</v>
          </cell>
          <cell r="H75">
            <v>7.4515789015201797E-2</v>
          </cell>
          <cell r="I75">
            <v>4.8433678057418564E-2</v>
          </cell>
          <cell r="J75">
            <v>1.6074442268354871E-2</v>
          </cell>
        </row>
        <row r="76">
          <cell r="B76" t="str">
            <v>CO2_T</v>
          </cell>
          <cell r="C76" t="str">
            <v>VAR_fout</v>
          </cell>
          <cell r="D76" t="str">
            <v>T_C-MHY-DSL-S3</v>
          </cell>
          <cell r="F76">
            <v>1.0500729292045201E-2</v>
          </cell>
          <cell r="G76">
            <v>3.1405031652987983E-2</v>
          </cell>
          <cell r="H76">
            <v>3.9218608115552313E-2</v>
          </cell>
          <cell r="I76">
            <v>2.5508262264588577E-2</v>
          </cell>
          <cell r="J76">
            <v>7.5844364789824596E-3</v>
          </cell>
        </row>
        <row r="77">
          <cell r="B77" t="str">
            <v>CO2_T</v>
          </cell>
          <cell r="C77" t="str">
            <v>VAR_fout</v>
          </cell>
          <cell r="D77" t="str">
            <v>T_B_c-HYBDSL-S1</v>
          </cell>
          <cell r="F77">
            <v>5.3103951247609402E-2</v>
          </cell>
          <cell r="G77">
            <v>6.0676109663017001E-2</v>
          </cell>
          <cell r="K77">
            <v>2.65295235700038E-2</v>
          </cell>
          <cell r="L77">
            <v>2.6556868326870198E-2</v>
          </cell>
        </row>
        <row r="78">
          <cell r="B78" t="str">
            <v>CO2_T</v>
          </cell>
          <cell r="C78" t="str">
            <v>VAR_fout</v>
          </cell>
          <cell r="D78" t="str">
            <v>T_C-MHY-DSL-S4</v>
          </cell>
          <cell r="F78">
            <v>7.1313123499578404E-3</v>
          </cell>
          <cell r="G78">
            <v>1.7371205654342269E-2</v>
          </cell>
          <cell r="H78">
            <v>2.2897844735066231E-2</v>
          </cell>
          <cell r="I78">
            <v>1.47124899291186E-2</v>
          </cell>
          <cell r="J78">
            <v>4.6581783728979198E-3</v>
          </cell>
        </row>
        <row r="79">
          <cell r="B79" t="str">
            <v>CO2_T</v>
          </cell>
          <cell r="C79" t="str">
            <v>VAR_fout</v>
          </cell>
          <cell r="D79" t="str">
            <v>T_B_c-HYBDSL-S2</v>
          </cell>
          <cell r="F79">
            <v>4.3908593575001896E-3</v>
          </cell>
          <cell r="G79">
            <v>8.5647325127312206E-3</v>
          </cell>
        </row>
        <row r="80">
          <cell r="B80" t="str">
            <v>CO2_T</v>
          </cell>
          <cell r="C80" t="str">
            <v>VAR_fout</v>
          </cell>
          <cell r="D80" t="str">
            <v>T_B_c-HYBDSL-S3</v>
          </cell>
          <cell r="F80">
            <v>2.5126895025523498E-3</v>
          </cell>
          <cell r="G80">
            <v>4.4702888265455206E-3</v>
          </cell>
        </row>
        <row r="81">
          <cell r="B81" t="str">
            <v>CO2_T</v>
          </cell>
          <cell r="C81" t="str">
            <v>VAR_fout</v>
          </cell>
          <cell r="D81" t="str">
            <v>T_B_c-HYBDSL-S4</v>
          </cell>
          <cell r="F81">
            <v>2.2236467583659501E-4</v>
          </cell>
          <cell r="G81">
            <v>4.1427716951136502E-4</v>
          </cell>
        </row>
        <row r="82">
          <cell r="B82" t="str">
            <v>CO2_T</v>
          </cell>
          <cell r="C82" t="str">
            <v>VAR_fout</v>
          </cell>
          <cell r="D82" t="str">
            <v>TFHGV-ICEDSLExt</v>
          </cell>
          <cell r="E82">
            <v>1410.1749122569099</v>
          </cell>
          <cell r="F82">
            <v>865.17383615794904</v>
          </cell>
          <cell r="G82">
            <v>841.82055623684505</v>
          </cell>
          <cell r="H82">
            <v>362.469339686458</v>
          </cell>
        </row>
        <row r="83">
          <cell r="B83" t="str">
            <v>CO2_T</v>
          </cell>
          <cell r="C83" t="str">
            <v>VAR_fout</v>
          </cell>
          <cell r="D83" t="str">
            <v>TPSHPGSLEXT</v>
          </cell>
          <cell r="E83">
            <v>129.873812963153</v>
          </cell>
          <cell r="F83">
            <v>58.767986704559299</v>
          </cell>
          <cell r="G83">
            <v>117.82398177593301</v>
          </cell>
          <cell r="H83">
            <v>155.15100292583699</v>
          </cell>
          <cell r="I83">
            <v>155.15143695435401</v>
          </cell>
          <cell r="J83">
            <v>79.161381844323699</v>
          </cell>
          <cell r="K83">
            <v>7.8685628243797998</v>
          </cell>
        </row>
        <row r="84">
          <cell r="B84" t="str">
            <v>CO2_T</v>
          </cell>
          <cell r="C84" t="str">
            <v>VAR_fout</v>
          </cell>
          <cell r="D84" t="str">
            <v>T_TW-ICEGSL-S1</v>
          </cell>
          <cell r="E84">
            <v>3.2710176000911404</v>
          </cell>
          <cell r="F84">
            <v>36.646039015185018</v>
          </cell>
          <cell r="G84">
            <v>37.079574119253003</v>
          </cell>
          <cell r="H84">
            <v>45.938339262197154</v>
          </cell>
          <cell r="I84">
            <v>62.651626028553025</v>
          </cell>
          <cell r="J84">
            <v>66.109931790038871</v>
          </cell>
          <cell r="K84">
            <v>67.0718672593039</v>
          </cell>
          <cell r="L84">
            <v>28.458397573070869</v>
          </cell>
          <cell r="M84">
            <v>10.781919174167447</v>
          </cell>
          <cell r="N84">
            <v>0.11641863756684359</v>
          </cell>
          <cell r="O84">
            <v>0.12681751073005615</v>
          </cell>
          <cell r="P84">
            <v>0.2468127792595215</v>
          </cell>
        </row>
        <row r="85">
          <cell r="B85" t="str">
            <v>CO2_T</v>
          </cell>
          <cell r="C85" t="str">
            <v>VAR_fout</v>
          </cell>
          <cell r="D85" t="str">
            <v>TPSHPDSLEXT</v>
          </cell>
          <cell r="E85">
            <v>1273.9831592043399</v>
          </cell>
          <cell r="F85">
            <v>1273.9833583349</v>
          </cell>
          <cell r="G85">
            <v>1155.4087378910899</v>
          </cell>
          <cell r="H85">
            <v>1056.6050375191201</v>
          </cell>
          <cell r="I85">
            <v>1017.0719281902</v>
          </cell>
          <cell r="J85">
            <v>771.28430596903002</v>
          </cell>
          <cell r="K85">
            <v>349.33025527985097</v>
          </cell>
          <cell r="L85">
            <v>149.745864099507</v>
          </cell>
          <cell r="M85">
            <v>149.745611939669</v>
          </cell>
          <cell r="N85">
            <v>149.74585425402501</v>
          </cell>
          <cell r="O85">
            <v>149.745802972793</v>
          </cell>
          <cell r="P85">
            <v>149.74580396738</v>
          </cell>
        </row>
        <row r="86">
          <cell r="B86" t="str">
            <v>CO2_T</v>
          </cell>
          <cell r="C86" t="str">
            <v>VAR_fout</v>
          </cell>
          <cell r="D86" t="str">
            <v>T_TW-ICEGSL-S2</v>
          </cell>
          <cell r="E86">
            <v>8.2991048629240503</v>
          </cell>
          <cell r="F86">
            <v>12.021366413917736</v>
          </cell>
          <cell r="G86">
            <v>11.418656003173183</v>
          </cell>
          <cell r="H86">
            <v>7.4637550512942941</v>
          </cell>
          <cell r="I86">
            <v>0.70952255563036903</v>
          </cell>
          <cell r="J86">
            <v>1.4794573456422141E-2</v>
          </cell>
          <cell r="K86">
            <v>1.638046818206973E-2</v>
          </cell>
          <cell r="L86">
            <v>1.6954028157545768E-2</v>
          </cell>
          <cell r="M86">
            <v>1.6039419678254369E-2</v>
          </cell>
          <cell r="N86">
            <v>2.051689447776513E-2</v>
          </cell>
          <cell r="O86">
            <v>1.9938708247733139E-2</v>
          </cell>
          <cell r="P86">
            <v>3.0922109578037423E-2</v>
          </cell>
        </row>
        <row r="87">
          <cell r="B87" t="str">
            <v>CO2_T</v>
          </cell>
          <cell r="C87" t="str">
            <v>VAR_fout</v>
          </cell>
          <cell r="D87" t="str">
            <v>T_TW-ICEGSL-S3</v>
          </cell>
          <cell r="E87">
            <v>11.52970193621956</v>
          </cell>
          <cell r="F87">
            <v>14.499331972020794</v>
          </cell>
          <cell r="G87">
            <v>14.535340824870326</v>
          </cell>
          <cell r="H87">
            <v>14.507227189573543</v>
          </cell>
          <cell r="I87">
            <v>13.863835260028202</v>
          </cell>
          <cell r="J87">
            <v>3.9854239927104769</v>
          </cell>
          <cell r="K87">
            <v>1.4946909810727693E-2</v>
          </cell>
          <cell r="L87">
            <v>1.6397210285659748E-2</v>
          </cell>
          <cell r="M87">
            <v>1.696102580895311E-2</v>
          </cell>
          <cell r="N87">
            <v>1.8977767499216792E-2</v>
          </cell>
          <cell r="O87">
            <v>2.0920395766703209E-2</v>
          </cell>
          <cell r="P87">
            <v>2.7320389336289431E-2</v>
          </cell>
        </row>
        <row r="88">
          <cell r="B88" t="str">
            <v>CO2_T</v>
          </cell>
          <cell r="C88" t="str">
            <v>VAR_fout</v>
          </cell>
          <cell r="D88" t="str">
            <v>T_C-ICEGSLEXT</v>
          </cell>
          <cell r="E88">
            <v>4722.2883026289501</v>
          </cell>
          <cell r="F88">
            <v>4009.7014132218901</v>
          </cell>
          <cell r="G88">
            <v>3607.2495371484601</v>
          </cell>
          <cell r="H88">
            <v>1308.6051158033699</v>
          </cell>
        </row>
        <row r="89">
          <cell r="B89" t="str">
            <v>CO2_T</v>
          </cell>
          <cell r="C89" t="str">
            <v>VAR_fout</v>
          </cell>
          <cell r="D89" t="str">
            <v>T_TW-ICEGSL-S4</v>
          </cell>
          <cell r="E89">
            <v>7.5876399564294505</v>
          </cell>
          <cell r="F89">
            <v>9.2652561589129405</v>
          </cell>
          <cell r="G89">
            <v>9.2953821634206566</v>
          </cell>
          <cell r="H89">
            <v>9.2724772997303511</v>
          </cell>
          <cell r="I89">
            <v>9.2827888936883234</v>
          </cell>
          <cell r="J89">
            <v>8.9296713558031904</v>
          </cell>
          <cell r="K89">
            <v>1.9713495574646052</v>
          </cell>
          <cell r="L89">
            <v>1.2242061955479411E-2</v>
          </cell>
          <cell r="M89">
            <v>1.2497095612953301E-2</v>
          </cell>
          <cell r="N89">
            <v>1.456012149129114E-2</v>
          </cell>
          <cell r="O89">
            <v>1.540147701876813E-2</v>
          </cell>
          <cell r="P89">
            <v>1.987403917421611E-2</v>
          </cell>
        </row>
        <row r="90">
          <cell r="B90" t="str">
            <v>CO2_T</v>
          </cell>
          <cell r="C90" t="str">
            <v>VAR_fout</v>
          </cell>
          <cell r="D90" t="str">
            <v>T_C-ICEDSLEXT</v>
          </cell>
          <cell r="E90">
            <v>3821.29231848988</v>
          </cell>
          <cell r="F90">
            <v>3569.7775595243902</v>
          </cell>
          <cell r="G90">
            <v>2582.9155343294901</v>
          </cell>
          <cell r="H90">
            <v>841.85653220526694</v>
          </cell>
        </row>
        <row r="91">
          <cell r="B91" t="str">
            <v>CO2_T</v>
          </cell>
          <cell r="C91" t="str">
            <v>VAR_fout</v>
          </cell>
          <cell r="D91" t="str">
            <v>T_TW-ICEGSLEXT</v>
          </cell>
          <cell r="E91">
            <v>147.109848290146</v>
          </cell>
          <cell r="F91">
            <v>52.602247347795199</v>
          </cell>
          <cell r="G91">
            <v>51.046925117654098</v>
          </cell>
          <cell r="H91">
            <v>33.434304469119297</v>
          </cell>
        </row>
        <row r="92">
          <cell r="B92" t="str">
            <v>CO2_T</v>
          </cell>
          <cell r="C92" t="str">
            <v>VAR_fout</v>
          </cell>
          <cell r="D92" t="str">
            <v>TFLGV-ICENGA</v>
          </cell>
          <cell r="E92">
            <v>1.4510382307733658</v>
          </cell>
          <cell r="F92">
            <v>1.2567054653016232</v>
          </cell>
          <cell r="G92">
            <v>1.7790820294722043</v>
          </cell>
        </row>
        <row r="93">
          <cell r="B93" t="str">
            <v>CO2_T</v>
          </cell>
          <cell r="C93" t="str">
            <v>VAR_fout</v>
          </cell>
          <cell r="D93" t="str">
            <v>T_B_c-ICENGA-S1</v>
          </cell>
          <cell r="F93">
            <v>5.3607285441439499E-3</v>
          </cell>
          <cell r="G93">
            <v>0.53628496511181734</v>
          </cell>
          <cell r="H93">
            <v>0.43399762170835443</v>
          </cell>
          <cell r="K93">
            <v>7.7766885881976194E-2</v>
          </cell>
          <cell r="L93">
            <v>7.7818908589992394E-2</v>
          </cell>
        </row>
        <row r="94">
          <cell r="B94" t="str">
            <v>CO2_T</v>
          </cell>
          <cell r="C94" t="str">
            <v>VAR_fout</v>
          </cell>
          <cell r="D94" t="str">
            <v>T_B_c-ICENGA-S2</v>
          </cell>
          <cell r="F94">
            <v>1.5898797572057E-3</v>
          </cell>
          <cell r="G94">
            <v>8.4895794013500302E-3</v>
          </cell>
          <cell r="K94">
            <v>7.3130354764957997E-5</v>
          </cell>
          <cell r="L94">
            <v>1.02229716132197E-4</v>
          </cell>
        </row>
        <row r="95">
          <cell r="B95" t="str">
            <v>CO2_T</v>
          </cell>
          <cell r="C95" t="str">
            <v>VAR_fout</v>
          </cell>
          <cell r="D95" t="str">
            <v>T_B_u-ICEDSL-S1</v>
          </cell>
          <cell r="E95">
            <v>1.914291145250974E-2</v>
          </cell>
          <cell r="F95">
            <v>14.021599218696206</v>
          </cell>
          <cell r="G95">
            <v>29.183153191435352</v>
          </cell>
          <cell r="H95">
            <v>3.32666547501977E-3</v>
          </cell>
        </row>
        <row r="96">
          <cell r="B96" t="str">
            <v>CO2_T</v>
          </cell>
          <cell r="C96" t="str">
            <v>VAR_fout</v>
          </cell>
          <cell r="D96" t="str">
            <v>T_B_c-ICENGA-S3</v>
          </cell>
          <cell r="F96">
            <v>1.0806536029463801E-3</v>
          </cell>
          <cell r="G96">
            <v>5.2131291525509401E-3</v>
          </cell>
        </row>
        <row r="97">
          <cell r="B97" t="str">
            <v>CO2_T</v>
          </cell>
          <cell r="C97" t="str">
            <v>VAR_fout</v>
          </cell>
          <cell r="D97" t="str">
            <v>T_B_u-ICEDSL-S2</v>
          </cell>
          <cell r="E97">
            <v>8.1301154643967806</v>
          </cell>
          <cell r="F97">
            <v>10.074440105605486</v>
          </cell>
          <cell r="G97">
            <v>17.725557473286425</v>
          </cell>
        </row>
        <row r="98">
          <cell r="B98" t="str">
            <v>CO2_T</v>
          </cell>
          <cell r="C98" t="str">
            <v>VAR_fout</v>
          </cell>
          <cell r="D98" t="str">
            <v>T_B_c-ICENGA-S4</v>
          </cell>
          <cell r="G98">
            <v>2.8847147105888937E-4</v>
          </cell>
        </row>
        <row r="99">
          <cell r="B99" t="str">
            <v>CO2_T</v>
          </cell>
          <cell r="C99" t="str">
            <v>VAR_fout</v>
          </cell>
          <cell r="D99" t="str">
            <v>T_B_u-ICEDSL-S3</v>
          </cell>
          <cell r="E99">
            <v>45.568210415852057</v>
          </cell>
          <cell r="F99">
            <v>67.390803526147167</v>
          </cell>
          <cell r="G99">
            <v>118.7203860164087</v>
          </cell>
        </row>
        <row r="100">
          <cell r="B100" t="str">
            <v>CO2_T</v>
          </cell>
          <cell r="C100" t="str">
            <v>VAR_fout</v>
          </cell>
          <cell r="D100" t="str">
            <v>T_B_u-ICEDSL-S4</v>
          </cell>
          <cell r="E100">
            <v>0.2171343007725732</v>
          </cell>
          <cell r="F100">
            <v>5.2211888979881776E-3</v>
          </cell>
          <cell r="G100">
            <v>5.0649589222173403E-3</v>
          </cell>
        </row>
        <row r="101">
          <cell r="B101" t="str">
            <v>CO2_T</v>
          </cell>
          <cell r="C101" t="str">
            <v>VAR_fout</v>
          </cell>
          <cell r="D101" t="str">
            <v>T_B_c-ICENGAEXT</v>
          </cell>
          <cell r="E101">
            <v>7.7520411777236902E-3</v>
          </cell>
          <cell r="F101">
            <v>7.7420003945287003E-3</v>
          </cell>
          <cell r="G101">
            <v>7.69592947274432E-3</v>
          </cell>
        </row>
        <row r="102">
          <cell r="B102" t="str">
            <v>CO2_T</v>
          </cell>
          <cell r="C102" t="str">
            <v>VAR_fout</v>
          </cell>
          <cell r="D102" t="str">
            <v>T_B_u-ICEDSLEXT</v>
          </cell>
          <cell r="E102">
            <v>1.27102586354194</v>
          </cell>
          <cell r="F102">
            <v>1.26941810706461</v>
          </cell>
          <cell r="G102">
            <v>1.26444724198378</v>
          </cell>
        </row>
        <row r="103">
          <cell r="B103" t="str">
            <v>CO2_T</v>
          </cell>
          <cell r="C103" t="str">
            <v>VAR_fout</v>
          </cell>
          <cell r="D103" t="str">
            <v>T_C-HYBGSLEXT</v>
          </cell>
          <cell r="E103">
            <v>92.549447969528202</v>
          </cell>
          <cell r="F103">
            <v>91.724484847861106</v>
          </cell>
          <cell r="G103">
            <v>68.278439144682906</v>
          </cell>
          <cell r="H103">
            <v>32.395456373741702</v>
          </cell>
        </row>
        <row r="104">
          <cell r="B104" t="str">
            <v>CO2_T</v>
          </cell>
          <cell r="C104" t="str">
            <v>VAR_fout</v>
          </cell>
          <cell r="D104" t="str">
            <v>TPAVDKEREXT</v>
          </cell>
          <cell r="E104">
            <v>79.576349423418094</v>
          </cell>
          <cell r="F104">
            <v>100.796237247683</v>
          </cell>
          <cell r="G104">
            <v>132.626068984081</v>
          </cell>
          <cell r="H104">
            <v>185.675788544743</v>
          </cell>
          <cell r="I104">
            <v>170.02894982493601</v>
          </cell>
          <cell r="J104">
            <v>154.38211110512901</v>
          </cell>
          <cell r="K104">
            <v>138.735272385321</v>
          </cell>
          <cell r="L104">
            <v>123.088433665514</v>
          </cell>
          <cell r="M104">
            <v>109.90751284479499</v>
          </cell>
          <cell r="N104">
            <v>98.138070491291401</v>
          </cell>
          <cell r="O104">
            <v>87.628958480337403</v>
          </cell>
          <cell r="P104">
            <v>78.245214379164594</v>
          </cell>
        </row>
        <row r="105">
          <cell r="B105" t="str">
            <v>CO2_T</v>
          </cell>
          <cell r="C105" t="str">
            <v>VAR_fout</v>
          </cell>
          <cell r="D105" t="str">
            <v>T_C-ICE-GSL-S1</v>
          </cell>
          <cell r="E105">
            <v>36.570342042840679</v>
          </cell>
          <cell r="F105">
            <v>40.632056805464586</v>
          </cell>
          <cell r="G105">
            <v>100.99373705598731</v>
          </cell>
          <cell r="H105">
            <v>85.379059088773218</v>
          </cell>
          <cell r="I105">
            <v>46.708010664367272</v>
          </cell>
          <cell r="J105">
            <v>7.3168009178182798</v>
          </cell>
        </row>
        <row r="106">
          <cell r="B106" t="str">
            <v>CO2_T</v>
          </cell>
          <cell r="C106" t="str">
            <v>VAR_fout</v>
          </cell>
          <cell r="D106" t="str">
            <v>TFLGV-ICEGSL</v>
          </cell>
          <cell r="E106">
            <v>26.41048718495329</v>
          </cell>
          <cell r="F106">
            <v>42.579184310522542</v>
          </cell>
          <cell r="G106">
            <v>56.408242589050751</v>
          </cell>
          <cell r="H106">
            <v>100.41590022894533</v>
          </cell>
          <cell r="I106">
            <v>71.748689438570707</v>
          </cell>
          <cell r="J106">
            <v>3.3842944443315099E-3</v>
          </cell>
        </row>
        <row r="107">
          <cell r="B107" t="str">
            <v>CO2_T</v>
          </cell>
          <cell r="C107" t="str">
            <v>VAR_fout</v>
          </cell>
          <cell r="D107" t="str">
            <v>T_C-ICE-GSL-S2</v>
          </cell>
          <cell r="E107">
            <v>277.88967864227493</v>
          </cell>
          <cell r="F107">
            <v>391.6433443159849</v>
          </cell>
          <cell r="G107">
            <v>323.75164752977901</v>
          </cell>
          <cell r="H107">
            <v>303.06409427690437</v>
          </cell>
          <cell r="I107">
            <v>12.096250820707894</v>
          </cell>
          <cell r="J107">
            <v>5.1165354244422298E-2</v>
          </cell>
        </row>
        <row r="108">
          <cell r="B108" t="str">
            <v>CO2_T</v>
          </cell>
          <cell r="C108" t="str">
            <v>VAR_fout</v>
          </cell>
          <cell r="D108" t="str">
            <v>T_C-ICE-DSL-S1</v>
          </cell>
          <cell r="E108">
            <v>0.38973781765578203</v>
          </cell>
          <cell r="F108">
            <v>0.43527618239605964</v>
          </cell>
          <cell r="G108">
            <v>0.32163184922259075</v>
          </cell>
          <cell r="H108">
            <v>0.2344404636258661</v>
          </cell>
          <cell r="I108">
            <v>2.7019106589937468E-2</v>
          </cell>
          <cell r="J108">
            <v>7.6664074509269599E-3</v>
          </cell>
        </row>
        <row r="109">
          <cell r="B109" t="str">
            <v>CO2_T</v>
          </cell>
          <cell r="C109" t="str">
            <v>VAR_fout</v>
          </cell>
          <cell r="D109" t="str">
            <v>T_C-ICE-GSL-S3</v>
          </cell>
          <cell r="E109">
            <v>278.1623495709905</v>
          </cell>
          <cell r="F109">
            <v>423.6368567672813</v>
          </cell>
          <cell r="G109">
            <v>524.4013590623332</v>
          </cell>
          <cell r="H109">
            <v>430.24222816541072</v>
          </cell>
          <cell r="I109">
            <v>86.247004450105337</v>
          </cell>
          <cell r="J109">
            <v>10.761016104683561</v>
          </cell>
        </row>
        <row r="110">
          <cell r="B110" t="str">
            <v>CO2_T</v>
          </cell>
          <cell r="C110" t="str">
            <v>VAR_fout</v>
          </cell>
          <cell r="D110" t="str">
            <v>T_C-ICE-DSL-S2</v>
          </cell>
          <cell r="E110">
            <v>89.57749565065059</v>
          </cell>
          <cell r="F110">
            <v>94.053167488926306</v>
          </cell>
          <cell r="G110">
            <v>81.47369558196344</v>
          </cell>
          <cell r="H110">
            <v>60.740184077295638</v>
          </cell>
          <cell r="I110">
            <v>1.5158911087232556</v>
          </cell>
          <cell r="J110">
            <v>7.75496024099617E-3</v>
          </cell>
        </row>
        <row r="111">
          <cell r="B111" t="str">
            <v>CO2_T</v>
          </cell>
          <cell r="C111" t="str">
            <v>VAR_fout</v>
          </cell>
          <cell r="D111" t="str">
            <v>T_C-ICE-GSL-S4</v>
          </cell>
          <cell r="E111">
            <v>286.93058375320771</v>
          </cell>
          <cell r="F111">
            <v>387.78387084298538</v>
          </cell>
          <cell r="G111">
            <v>817.81228613849476</v>
          </cell>
          <cell r="H111">
            <v>686.0085757831348</v>
          </cell>
          <cell r="I111">
            <v>287.43037499357467</v>
          </cell>
          <cell r="J111">
            <v>32.016091236635972</v>
          </cell>
        </row>
        <row r="112">
          <cell r="B112" t="str">
            <v>CO2_T</v>
          </cell>
          <cell r="C112" t="str">
            <v>VAR_fout</v>
          </cell>
          <cell r="D112" t="str">
            <v>T_C-ICE-DSL-S3</v>
          </cell>
          <cell r="E112">
            <v>369.92291063472874</v>
          </cell>
          <cell r="F112">
            <v>390.45786844832162</v>
          </cell>
          <cell r="G112">
            <v>386.73258300893178</v>
          </cell>
          <cell r="H112">
            <v>295.33138377055519</v>
          </cell>
          <cell r="I112">
            <v>10.132458497920512</v>
          </cell>
          <cell r="J112">
            <v>6.9597419789291298E-3</v>
          </cell>
        </row>
        <row r="113">
          <cell r="B113" t="str">
            <v>CO2_T</v>
          </cell>
          <cell r="C113" t="str">
            <v>VAR_fout</v>
          </cell>
          <cell r="D113" t="str">
            <v>T_C-ICE-DSL-S4</v>
          </cell>
          <cell r="E113">
            <v>142.22314811545348</v>
          </cell>
          <cell r="F113">
            <v>162.0542903894578</v>
          </cell>
          <cell r="G113">
            <v>159.32837681170068</v>
          </cell>
          <cell r="H113">
            <v>122.65144124420343</v>
          </cell>
          <cell r="I113">
            <v>6.4835048782304794</v>
          </cell>
          <cell r="J113">
            <v>4.5579947751896522E-3</v>
          </cell>
        </row>
        <row r="114">
          <cell r="B114" t="str">
            <v>CO2_T</v>
          </cell>
          <cell r="C114" t="str">
            <v>VAR_fout</v>
          </cell>
          <cell r="D114" t="str">
            <v>TFLGV-ICENGAExt</v>
          </cell>
          <cell r="E114">
            <v>6.067622609481</v>
          </cell>
          <cell r="F114">
            <v>1.8271946136269599</v>
          </cell>
          <cell r="G114">
            <v>3.9555547318928301</v>
          </cell>
        </row>
        <row r="115">
          <cell r="B115" t="str">
            <v>CO2_T</v>
          </cell>
          <cell r="C115" t="str">
            <v>VAR_fout</v>
          </cell>
          <cell r="D115" t="str">
            <v>T_B_u-HYBDSL-S1</v>
          </cell>
          <cell r="F115">
            <v>4.5439956917032402</v>
          </cell>
          <cell r="G115">
            <v>4.5540639363138702</v>
          </cell>
        </row>
        <row r="116">
          <cell r="B116" t="str">
            <v>CO2_T</v>
          </cell>
          <cell r="C116" t="str">
            <v>VAR_fout</v>
          </cell>
          <cell r="D116" t="str">
            <v>T_B_u-HYBDSL-S2</v>
          </cell>
          <cell r="F116">
            <v>1.4301176794836499E-2</v>
          </cell>
          <cell r="G116">
            <v>2.0723947916373421E-2</v>
          </cell>
        </row>
        <row r="117">
          <cell r="B117" t="str">
            <v>CO2_T</v>
          </cell>
          <cell r="C117" t="str">
            <v>VAR_fout</v>
          </cell>
          <cell r="D117" t="str">
            <v>T_B_u-HYBDSL-S3</v>
          </cell>
          <cell r="F117">
            <v>1.4576796691755999E-2</v>
          </cell>
          <cell r="G117">
            <v>2.027954897837517E-2</v>
          </cell>
        </row>
        <row r="118">
          <cell r="B118" t="str">
            <v>CO2_T</v>
          </cell>
          <cell r="C118" t="str">
            <v>VAR_fout</v>
          </cell>
          <cell r="D118" t="str">
            <v>T_C-HY-GSL-S1</v>
          </cell>
          <cell r="E118">
            <v>3.4230932830371499</v>
          </cell>
          <cell r="F118">
            <v>3.9410760900607387</v>
          </cell>
          <cell r="G118">
            <v>2.7749226525540145</v>
          </cell>
          <cell r="H118">
            <v>2.1351787187337723</v>
          </cell>
          <cell r="I118">
            <v>0.15757489485194454</v>
          </cell>
          <cell r="J118">
            <v>9.533770422673879E-3</v>
          </cell>
        </row>
        <row r="119">
          <cell r="B119" t="str">
            <v>CO2_T</v>
          </cell>
          <cell r="C119" t="str">
            <v>VAR_fout</v>
          </cell>
          <cell r="D119" t="str">
            <v>T_B_u-HYBDSL-S4</v>
          </cell>
          <cell r="F119">
            <v>1.8658401634465E-4</v>
          </cell>
          <cell r="G119">
            <v>3.2017756476646802E-4</v>
          </cell>
        </row>
        <row r="120">
          <cell r="B120" t="str">
            <v>CO2_T</v>
          </cell>
          <cell r="C120" t="str">
            <v>VAR_fout</v>
          </cell>
          <cell r="D120" t="str">
            <v>TFRLFDSLEXT</v>
          </cell>
          <cell r="E120">
            <v>29.033500130912799</v>
          </cell>
          <cell r="P120">
            <v>3.0750050090294599E-3</v>
          </cell>
        </row>
        <row r="121">
          <cell r="B121" t="str">
            <v>CO2_T</v>
          </cell>
          <cell r="C121" t="str">
            <v>VAR_fout</v>
          </cell>
          <cell r="D121" t="str">
            <v>T_C-HY-GSL-S2</v>
          </cell>
          <cell r="E121">
            <v>10.075065168697019</v>
          </cell>
          <cell r="F121">
            <v>15.670648466536665</v>
          </cell>
          <cell r="G121">
            <v>57.731081580344224</v>
          </cell>
          <cell r="H121">
            <v>49.993173300011144</v>
          </cell>
          <cell r="I121">
            <v>21.379314495714752</v>
          </cell>
          <cell r="J121">
            <v>3.1691290053966132</v>
          </cell>
        </row>
        <row r="122">
          <cell r="B122" t="str">
            <v>CO2_T</v>
          </cell>
          <cell r="C122" t="str">
            <v>VAR_fout</v>
          </cell>
          <cell r="D122" t="str">
            <v>T_C-HY-DSL-S1</v>
          </cell>
          <cell r="E122">
            <v>2.2592829585180601E-3</v>
          </cell>
          <cell r="F122">
            <v>12.147817331321882</v>
          </cell>
          <cell r="G122">
            <v>8.2010154244281885</v>
          </cell>
          <cell r="H122">
            <v>6.6121868638985806</v>
          </cell>
          <cell r="I122">
            <v>2.3295471884400833</v>
          </cell>
          <cell r="J122">
            <v>2.361191378560519E-2</v>
          </cell>
        </row>
        <row r="123">
          <cell r="B123" t="str">
            <v>CO2_T</v>
          </cell>
          <cell r="C123" t="str">
            <v>VAR_fout</v>
          </cell>
          <cell r="D123" t="str">
            <v>T_C-HY-GSL-S3</v>
          </cell>
          <cell r="E123">
            <v>7.4841546452460825</v>
          </cell>
          <cell r="F123">
            <v>82.637410034671234</v>
          </cell>
          <cell r="G123">
            <v>78.175206008917456</v>
          </cell>
          <cell r="H123">
            <v>62.487969020087014</v>
          </cell>
          <cell r="I123">
            <v>19.770065146941807</v>
          </cell>
          <cell r="J123">
            <v>3.610805650420457E-3</v>
          </cell>
        </row>
        <row r="124">
          <cell r="B124" t="str">
            <v>CO2_T</v>
          </cell>
          <cell r="C124" t="str">
            <v>VAR_fout</v>
          </cell>
          <cell r="D124" t="str">
            <v>T_C-HY-DSL-S2</v>
          </cell>
          <cell r="E124">
            <v>0.21086071228316361</v>
          </cell>
          <cell r="F124">
            <v>42.66694640515859</v>
          </cell>
          <cell r="G124">
            <v>85.381659046857806</v>
          </cell>
          <cell r="H124">
            <v>72.007257822189104</v>
          </cell>
          <cell r="I124">
            <v>35.203991784837008</v>
          </cell>
          <cell r="J124">
            <v>3.2824957816563121</v>
          </cell>
        </row>
        <row r="125">
          <cell r="B125" t="str">
            <v>CO2_T</v>
          </cell>
          <cell r="C125" t="str">
            <v>VAR_fout</v>
          </cell>
          <cell r="D125" t="str">
            <v>T_C-HY-GSL-S4</v>
          </cell>
          <cell r="E125">
            <v>6.697718809230528</v>
          </cell>
          <cell r="F125">
            <v>9.9731203165535138</v>
          </cell>
          <cell r="G125">
            <v>9.3870917318928413</v>
          </cell>
          <cell r="H125">
            <v>7.9457639499063211</v>
          </cell>
          <cell r="I125">
            <v>1.1535064630475735</v>
          </cell>
          <cell r="J125">
            <v>4.0541825428729002E-3</v>
          </cell>
        </row>
        <row r="126">
          <cell r="B126" t="str">
            <v>CO2_T</v>
          </cell>
          <cell r="C126" t="str">
            <v>VAR_fout</v>
          </cell>
          <cell r="D126" t="str">
            <v>T_C-HY-DSL-S3</v>
          </cell>
          <cell r="E126">
            <v>2.1875640104685354</v>
          </cell>
          <cell r="F126">
            <v>3.3208145337107182</v>
          </cell>
          <cell r="G126">
            <v>3.1804265594768961</v>
          </cell>
          <cell r="H126">
            <v>2.3789944642002196</v>
          </cell>
          <cell r="I126">
            <v>0.4501665385640633</v>
          </cell>
          <cell r="J126">
            <v>3.655123821714088E-3</v>
          </cell>
        </row>
        <row r="127">
          <cell r="B127" t="str">
            <v>CO2_T</v>
          </cell>
          <cell r="C127" t="str">
            <v>VAR_fout</v>
          </cell>
          <cell r="D127" t="str">
            <v>T_C-HY-DSL-S4</v>
          </cell>
          <cell r="E127">
            <v>2.5987842967272119</v>
          </cell>
          <cell r="F127">
            <v>5.1912996714700679</v>
          </cell>
          <cell r="G127">
            <v>4.9232949200661649</v>
          </cell>
          <cell r="H127">
            <v>4.0371657552755371</v>
          </cell>
          <cell r="I127">
            <v>0.90547977184574002</v>
          </cell>
          <cell r="J127">
            <v>4.0424534292648438E-3</v>
          </cell>
        </row>
        <row r="128">
          <cell r="B128" t="str">
            <v>CO2_T</v>
          </cell>
          <cell r="C128" t="str">
            <v>VAR_fout</v>
          </cell>
          <cell r="D128" t="str">
            <v>TFHGV-HYBDSL</v>
          </cell>
          <cell r="F128">
            <v>225.46731966572699</v>
          </cell>
          <cell r="G128">
            <v>308.88126073386337</v>
          </cell>
          <cell r="H128">
            <v>822.67332861933392</v>
          </cell>
          <cell r="I128">
            <v>888.34506408291395</v>
          </cell>
          <cell r="J128">
            <v>793.43777359763794</v>
          </cell>
          <cell r="K128">
            <v>362.76400812781799</v>
          </cell>
          <cell r="L128">
            <v>146.74058963306001</v>
          </cell>
        </row>
        <row r="129">
          <cell r="B129" t="str">
            <v>CO2_T</v>
          </cell>
          <cell r="C129" t="str">
            <v>VAR_fout</v>
          </cell>
          <cell r="D129" t="str">
            <v>TFHGV-ICEDSL</v>
          </cell>
          <cell r="E129">
            <v>385.16983493213451</v>
          </cell>
          <cell r="F129">
            <v>450.8373663046782</v>
          </cell>
          <cell r="G129">
            <v>351.97897480793</v>
          </cell>
          <cell r="H129">
            <v>32.236861723219619</v>
          </cell>
          <cell r="I129">
            <v>2.1392899577440599E-2</v>
          </cell>
          <cell r="J129">
            <v>2.2281040114009838E-2</v>
          </cell>
          <cell r="K129">
            <v>2.2567685968854979E-2</v>
          </cell>
          <cell r="L129">
            <v>1.10836165576393E-2</v>
          </cell>
        </row>
        <row r="130">
          <cell r="B130" t="str">
            <v>CO2_T</v>
          </cell>
          <cell r="C130" t="str">
            <v>VAR_fout</v>
          </cell>
          <cell r="D130" t="str">
            <v>T-Plg-DSL-mix_S1</v>
          </cell>
          <cell r="E130">
            <v>1.23669207263243E-3</v>
          </cell>
          <cell r="F130">
            <v>1.589159448691671E-2</v>
          </cell>
          <cell r="G130">
            <v>2.1926084928635379E-2</v>
          </cell>
          <cell r="H130">
            <v>2.9815800397417411E-2</v>
          </cell>
          <cell r="I130">
            <v>2.86156864647483E-2</v>
          </cell>
          <cell r="J130">
            <v>1.3784182554551879E-2</v>
          </cell>
          <cell r="K130">
            <v>4.4891923282060701E-2</v>
          </cell>
          <cell r="L130">
            <v>2.6040973034076403E-2</v>
          </cell>
          <cell r="M130">
            <v>0.1130113677345447</v>
          </cell>
          <cell r="N130">
            <v>5.2421164760439801E-3</v>
          </cell>
          <cell r="O130">
            <v>3.2424229426124703E-3</v>
          </cell>
          <cell r="P130">
            <v>3.1053499448310301E-3</v>
          </cell>
        </row>
        <row r="131">
          <cell r="B131" t="str">
            <v>CO2_T</v>
          </cell>
          <cell r="C131" t="str">
            <v>VAR_fout</v>
          </cell>
          <cell r="D131" t="str">
            <v>T-Plg-DSL-mix_S2</v>
          </cell>
          <cell r="E131">
            <v>3.5322605931855901E-4</v>
          </cell>
          <cell r="F131">
            <v>1.8352916762741263E-2</v>
          </cell>
          <cell r="G131">
            <v>6.1517832075625944E-2</v>
          </cell>
          <cell r="H131">
            <v>0.17985050985423451</v>
          </cell>
          <cell r="I131">
            <v>0.14032050475143698</v>
          </cell>
          <cell r="J131">
            <v>6.7973526206607487E-2</v>
          </cell>
          <cell r="K131">
            <v>0.25455089106577128</v>
          </cell>
          <cell r="L131">
            <v>0.16167687416814311</v>
          </cell>
          <cell r="M131">
            <v>0.1103887864875453</v>
          </cell>
          <cell r="N131">
            <v>9.4203604360387806E-3</v>
          </cell>
          <cell r="O131">
            <v>8.4103183928703196E-3</v>
          </cell>
          <cell r="P131">
            <v>5.2980932846527495E-3</v>
          </cell>
        </row>
        <row r="132">
          <cell r="B132" t="str">
            <v>CO2_T</v>
          </cell>
          <cell r="C132" t="str">
            <v>VAR_fout</v>
          </cell>
          <cell r="D132" t="str">
            <v>T-Plg-DSL-mix_S3</v>
          </cell>
          <cell r="E132">
            <v>6.9234182216684204E-3</v>
          </cell>
          <cell r="F132">
            <v>52.963153491857099</v>
          </cell>
          <cell r="G132">
            <v>105.46029828348659</v>
          </cell>
          <cell r="H132">
            <v>515.36097870229639</v>
          </cell>
          <cell r="I132">
            <v>697.69178235140998</v>
          </cell>
          <cell r="J132">
            <v>398.01114547344127</v>
          </cell>
          <cell r="K132">
            <v>330.73870504744377</v>
          </cell>
          <cell r="L132">
            <v>96.628815829143932</v>
          </cell>
          <cell r="M132">
            <v>62.491548617463415</v>
          </cell>
          <cell r="N132">
            <v>1.26741093202639E-2</v>
          </cell>
          <cell r="O132">
            <v>1.1071343646483101E-2</v>
          </cell>
          <cell r="P132">
            <v>6.0512973457268696E-3</v>
          </cell>
        </row>
        <row r="133">
          <cell r="B133" t="str">
            <v>CO2_T</v>
          </cell>
          <cell r="C133" t="str">
            <v>VAR_fout</v>
          </cell>
          <cell r="D133" t="str">
            <v>T_B_c-ICEDSL-S1</v>
          </cell>
          <cell r="E133">
            <v>8.3173459173537605</v>
          </cell>
          <cell r="F133">
            <v>22.703782728511612</v>
          </cell>
          <cell r="G133">
            <v>27.03410074334716</v>
          </cell>
          <cell r="H133">
            <v>0.33262765150432083</v>
          </cell>
          <cell r="K133">
            <v>1.7706413636289601E-5</v>
          </cell>
          <cell r="L133">
            <v>1.7686976452150602E-5</v>
          </cell>
        </row>
        <row r="134">
          <cell r="B134" t="str">
            <v>CO2_T</v>
          </cell>
          <cell r="C134" t="str">
            <v>VAR_fout</v>
          </cell>
          <cell r="D134" t="str">
            <v>T-Plg-DSL-mix_S4</v>
          </cell>
          <cell r="E134">
            <v>0.43380049947233001</v>
          </cell>
          <cell r="F134">
            <v>1.283178190623733</v>
          </cell>
          <cell r="G134">
            <v>1.284412708136327</v>
          </cell>
          <cell r="H134">
            <v>4.1716936202838912</v>
          </cell>
          <cell r="I134">
            <v>2.2156336404115198</v>
          </cell>
          <cell r="J134">
            <v>0.98138585907022025</v>
          </cell>
          <cell r="K134">
            <v>0.50773325171336448</v>
          </cell>
          <cell r="L134">
            <v>0.3242811242752982</v>
          </cell>
          <cell r="M134">
            <v>29.12816577630355</v>
          </cell>
          <cell r="N134">
            <v>90.148222670917164</v>
          </cell>
          <cell r="O134">
            <v>82.113732620012414</v>
          </cell>
          <cell r="P134">
            <v>69.121221835066592</v>
          </cell>
        </row>
        <row r="135">
          <cell r="B135" t="str">
            <v>CO2_T</v>
          </cell>
          <cell r="C135" t="str">
            <v>VAR_fout</v>
          </cell>
          <cell r="D135" t="str">
            <v>T_B_c-ICEDSL-S2</v>
          </cell>
          <cell r="E135">
            <v>38.084928442955295</v>
          </cell>
          <cell r="F135">
            <v>29.299987552698305</v>
          </cell>
          <cell r="G135">
            <v>36.223915593319859</v>
          </cell>
        </row>
        <row r="136">
          <cell r="B136" t="str">
            <v>CO2_T</v>
          </cell>
          <cell r="C136" t="str">
            <v>VAR_fout</v>
          </cell>
          <cell r="D136" t="str">
            <v>T_B_c-ICEDSL-S3</v>
          </cell>
          <cell r="E136">
            <v>11.7854282158074</v>
          </cell>
          <cell r="F136">
            <v>9.4474333723399067</v>
          </cell>
          <cell r="G136">
            <v>11.673845148160311</v>
          </cell>
        </row>
        <row r="137">
          <cell r="B137" t="str">
            <v>CO2_T</v>
          </cell>
          <cell r="C137" t="str">
            <v>VAR_fout</v>
          </cell>
          <cell r="D137" t="str">
            <v>T_B_c-ICEDSL-S4</v>
          </cell>
          <cell r="E137">
            <v>0.90147866413243105</v>
          </cell>
          <cell r="F137">
            <v>5.6676816361560739E-3</v>
          </cell>
          <cell r="G137">
            <v>6.2095233131386216E-3</v>
          </cell>
        </row>
        <row r="138">
          <cell r="B138" t="str">
            <v>CO2_T</v>
          </cell>
          <cell r="C138" t="str">
            <v>VAR_fout</v>
          </cell>
          <cell r="D138" t="str">
            <v>T_B_u-ICENGA-S1</v>
          </cell>
          <cell r="F138">
            <v>3.0996272363806002E-3</v>
          </cell>
          <cell r="G138">
            <v>1.2379308003533911E-2</v>
          </cell>
        </row>
        <row r="139">
          <cell r="B139" t="str">
            <v>CO2_T</v>
          </cell>
          <cell r="C139" t="str">
            <v>VAR_fout</v>
          </cell>
          <cell r="D139" t="str">
            <v>T_B_u-ICENGA-S2</v>
          </cell>
          <cell r="F139">
            <v>2.2771490002997299E-3</v>
          </cell>
          <cell r="G139">
            <v>2.2143093676181169E-2</v>
          </cell>
        </row>
        <row r="140">
          <cell r="B140" t="str">
            <v>CO2_T</v>
          </cell>
          <cell r="C140" t="str">
            <v>VAR_fout</v>
          </cell>
          <cell r="D140" t="str">
            <v>T_B_c-ICEDSLEXT</v>
          </cell>
          <cell r="E140">
            <v>0.441837333264193</v>
          </cell>
          <cell r="F140">
            <v>0.44076529666921999</v>
          </cell>
          <cell r="G140">
            <v>0.437555480152927</v>
          </cell>
        </row>
        <row r="141">
          <cell r="B141" t="str">
            <v>CO2_T</v>
          </cell>
          <cell r="C141" t="str">
            <v>VAR_fout</v>
          </cell>
          <cell r="D141" t="str">
            <v>T_B_u-ICENGA-S3</v>
          </cell>
          <cell r="F141">
            <v>1.7262199704364801E-3</v>
          </cell>
          <cell r="G141">
            <v>0.34064048848858719</v>
          </cell>
        </row>
        <row r="142">
          <cell r="B142" t="str">
            <v>CO2_T</v>
          </cell>
          <cell r="C142" t="str">
            <v>VAR_fout</v>
          </cell>
          <cell r="D142" t="str">
            <v>T_B_u-ICENGA-S4</v>
          </cell>
          <cell r="G142">
            <v>6.00154610109807E-5</v>
          </cell>
        </row>
        <row r="143">
          <cell r="B143" t="str">
            <v>CO2_T</v>
          </cell>
          <cell r="C143" t="str">
            <v>VAR_comnet</v>
          </cell>
          <cell r="D143" t="str">
            <v>-</v>
          </cell>
          <cell r="E143">
            <v>15009.0167962837</v>
          </cell>
          <cell r="F143">
            <v>14248.4116304832</v>
          </cell>
          <cell r="G143">
            <v>13477.9259897177</v>
          </cell>
          <cell r="H143">
            <v>8695.5432373350195</v>
          </cell>
          <cell r="I143">
            <v>4715.4247102519903</v>
          </cell>
          <cell r="J143">
            <v>2896.1954333622998</v>
          </cell>
          <cell r="K143">
            <v>1742.9616618344401</v>
          </cell>
          <cell r="L143">
            <v>671.838887731348</v>
          </cell>
          <cell r="M143">
            <v>498.72513378649001</v>
          </cell>
          <cell r="N143">
            <v>464.44720748574201</v>
          </cell>
          <cell r="O143">
            <v>435.49278923333202</v>
          </cell>
          <cell r="P143">
            <v>390.46193919823003</v>
          </cell>
        </row>
        <row r="144">
          <cell r="B144" t="str">
            <v>CO2</v>
          </cell>
          <cell r="C144" t="str">
            <v>VAR_fout</v>
          </cell>
          <cell r="D144" t="str">
            <v>EWSTINCCS</v>
          </cell>
          <cell r="J144">
            <v>-565.52768301850006</v>
          </cell>
          <cell r="K144">
            <v>-1096.63205336636</v>
          </cell>
          <cell r="L144">
            <v>-1140.9252036442001</v>
          </cell>
          <cell r="M144">
            <v>-1140.9250501479701</v>
          </cell>
          <cell r="N144">
            <v>-1140.9250503390499</v>
          </cell>
          <cell r="O144">
            <v>-1140.9249965942499</v>
          </cell>
          <cell r="P144">
            <v>-1140.92503390864</v>
          </cell>
        </row>
        <row r="145">
          <cell r="B145" t="str">
            <v>CO2</v>
          </cell>
          <cell r="C145" t="str">
            <v>VAR_fout</v>
          </cell>
          <cell r="D145" t="str">
            <v>othGHG</v>
          </cell>
          <cell r="E145">
            <v>9468.5879275113693</v>
          </cell>
          <cell r="F145">
            <v>9016.1649007544693</v>
          </cell>
          <cell r="G145">
            <v>8563.7418739975801</v>
          </cell>
          <cell r="H145">
            <v>8788.4886751038102</v>
          </cell>
          <cell r="I145">
            <v>7713.5706102321701</v>
          </cell>
          <cell r="J145">
            <v>6768.8204363701498</v>
          </cell>
          <cell r="K145">
            <v>5890.0980237089598</v>
          </cell>
          <cell r="L145">
            <v>5011.3756110477598</v>
          </cell>
          <cell r="M145">
            <v>5011.3756110477598</v>
          </cell>
          <cell r="N145">
            <v>5011.3756110477598</v>
          </cell>
          <cell r="O145">
            <v>5011.3756110477598</v>
          </cell>
          <cell r="P145">
            <v>5011.3756110477598</v>
          </cell>
        </row>
        <row r="146">
          <cell r="B146" t="str">
            <v>CO2</v>
          </cell>
          <cell r="C146" t="str">
            <v>VAR_fout</v>
          </cell>
          <cell r="D146" t="str">
            <v>D-ICOA</v>
          </cell>
          <cell r="E146">
            <v>330.01221059364502</v>
          </cell>
          <cell r="F146">
            <v>321.17926328558099</v>
          </cell>
          <cell r="G146">
            <v>38.888069230596301</v>
          </cell>
          <cell r="H146">
            <v>9.6229445712927193E-3</v>
          </cell>
          <cell r="I146">
            <v>5.6906855133194599E-3</v>
          </cell>
          <cell r="J146">
            <v>4.1488985404854198E-2</v>
          </cell>
          <cell r="K146">
            <v>2.3020627900426999E-2</v>
          </cell>
          <cell r="L146">
            <v>1.25511599754865E-2</v>
          </cell>
          <cell r="M146">
            <v>1.6184702870304199E-2</v>
          </cell>
          <cell r="N146">
            <v>1.00231431469135E-2</v>
          </cell>
          <cell r="O146">
            <v>1.1199922357925199E-2</v>
          </cell>
          <cell r="P146">
            <v>5.04262367490652E-3</v>
          </cell>
        </row>
        <row r="147">
          <cell r="B147" t="str">
            <v>CO2</v>
          </cell>
          <cell r="C147" t="str">
            <v>VAR_fout</v>
          </cell>
          <cell r="D147" t="str">
            <v>ENGA-CCS</v>
          </cell>
          <cell r="K147">
            <v>-1.91919647768321E-4</v>
          </cell>
          <cell r="L147">
            <v>-4.5770620573001297E-3</v>
          </cell>
          <cell r="M147">
            <v>-240.631391633032</v>
          </cell>
          <cell r="N147">
            <v>-265.34743323053999</v>
          </cell>
          <cell r="O147">
            <v>-270.35731393953699</v>
          </cell>
          <cell r="P147">
            <v>-275.20979384360999</v>
          </cell>
        </row>
        <row r="148">
          <cell r="B148" t="str">
            <v>CO2</v>
          </cell>
          <cell r="C148" t="str">
            <v>VAR_fout</v>
          </cell>
          <cell r="D148" t="str">
            <v>CHPWSTCCS</v>
          </cell>
          <cell r="J148">
            <v>-630.83421439902304</v>
          </cell>
          <cell r="K148">
            <v>-1132.5297932533099</v>
          </cell>
          <cell r="L148">
            <v>-1088.6111770569</v>
          </cell>
          <cell r="M148">
            <v>-1088.6109551265799</v>
          </cell>
          <cell r="N148">
            <v>-1088.6110116305399</v>
          </cell>
          <cell r="O148">
            <v>-1088.6109208522901</v>
          </cell>
          <cell r="P148">
            <v>-1088.6110171135499</v>
          </cell>
        </row>
        <row r="149">
          <cell r="B149" t="str">
            <v>CO2</v>
          </cell>
          <cell r="C149" t="str">
            <v>VAR_fout</v>
          </cell>
          <cell r="D149" t="str">
            <v>D-ENGA</v>
          </cell>
          <cell r="E149">
            <v>310.77821986763797</v>
          </cell>
          <cell r="F149">
            <v>98.643503663181903</v>
          </cell>
          <cell r="G149">
            <v>78.2965647073149</v>
          </cell>
        </row>
        <row r="150">
          <cell r="B150" t="str">
            <v>CO2</v>
          </cell>
          <cell r="C150" t="str">
            <v>VAR_fout</v>
          </cell>
          <cell r="D150" t="str">
            <v>D-ILFO</v>
          </cell>
          <cell r="E150">
            <v>688.800578015062</v>
          </cell>
          <cell r="F150">
            <v>659.57567850091402</v>
          </cell>
          <cell r="G150">
            <v>602.32294676413301</v>
          </cell>
          <cell r="H150">
            <v>426.82870191748498</v>
          </cell>
          <cell r="I150">
            <v>304.69368556673498</v>
          </cell>
          <cell r="J150">
            <v>160.07376534478999</v>
          </cell>
          <cell r="K150">
            <v>27.089267574446598</v>
          </cell>
          <cell r="M150">
            <v>1.5716629759370399E-2</v>
          </cell>
          <cell r="N150">
            <v>3.930546594212E-3</v>
          </cell>
          <cell r="O150">
            <v>3.8509605060701398E-3</v>
          </cell>
          <cell r="P150">
            <v>2.0064697920899998E-3</v>
          </cell>
        </row>
        <row r="151">
          <cell r="B151" t="str">
            <v>CO2</v>
          </cell>
          <cell r="C151" t="str">
            <v>VAR_fout</v>
          </cell>
          <cell r="D151" t="str">
            <v>ITOT-CHPWSTCCS</v>
          </cell>
          <cell r="J151">
            <v>-149.57700031561001</v>
          </cell>
          <cell r="K151">
            <v>-754.21293382536203</v>
          </cell>
          <cell r="L151">
            <v>-715.173717959908</v>
          </cell>
          <cell r="M151">
            <v>-715.12904717063498</v>
          </cell>
          <cell r="N151">
            <v>-715.187597540811</v>
          </cell>
          <cell r="O151">
            <v>-715.16255410639405</v>
          </cell>
          <cell r="P151">
            <v>-715.20189331435199</v>
          </cell>
        </row>
        <row r="152">
          <cell r="B152" t="str">
            <v>CO2</v>
          </cell>
          <cell r="C152" t="str">
            <v>VAR_fout</v>
          </cell>
          <cell r="D152" t="str">
            <v>ITOT-CHPNGACCS</v>
          </cell>
          <cell r="J152">
            <v>-0.26997158577365699</v>
          </cell>
          <cell r="K152">
            <v>-37.9609612956531</v>
          </cell>
          <cell r="L152">
            <v>-38.005661793569701</v>
          </cell>
          <cell r="M152">
            <v>-37.988153436308899</v>
          </cell>
          <cell r="N152">
            <v>-27.784172051073298</v>
          </cell>
          <cell r="O152">
            <v>-38.005552251797603</v>
          </cell>
          <cell r="P152">
            <v>-38.008060796741901</v>
          </cell>
        </row>
        <row r="153">
          <cell r="B153" t="str">
            <v>CO2</v>
          </cell>
          <cell r="C153" t="str">
            <v>VAR_fout</v>
          </cell>
          <cell r="D153" t="str">
            <v>D-TDSL</v>
          </cell>
          <cell r="E153">
            <v>8690.1721677835794</v>
          </cell>
          <cell r="F153">
            <v>8198.1275251718107</v>
          </cell>
          <cell r="G153">
            <v>7020.2720719319404</v>
          </cell>
          <cell r="H153">
            <v>4631.8102973919404</v>
          </cell>
          <cell r="I153">
            <v>2687.7104995947302</v>
          </cell>
          <cell r="J153">
            <v>1775.53109397457</v>
          </cell>
          <cell r="K153">
            <v>771.22258056024702</v>
          </cell>
          <cell r="L153">
            <v>1.9238268548375001E-2</v>
          </cell>
          <cell r="M153">
            <v>1.8125832548021699E-2</v>
          </cell>
          <cell r="N153">
            <v>2.8171811618156201E-2</v>
          </cell>
          <cell r="O153">
            <v>2.8589553819603999E-2</v>
          </cell>
          <cell r="P153">
            <v>4.7414608855113997E-2</v>
          </cell>
        </row>
        <row r="154">
          <cell r="B154" t="str">
            <v>CO2</v>
          </cell>
          <cell r="C154" t="str">
            <v>VAR_fout</v>
          </cell>
          <cell r="D154" t="str">
            <v>ITOT-PROCESSCO2</v>
          </cell>
          <cell r="E154">
            <v>2089.34680048464</v>
          </cell>
          <cell r="F154">
            <v>2111.0131698740802</v>
          </cell>
          <cell r="G154">
            <v>2102.26947106126</v>
          </cell>
          <cell r="H154">
            <v>2093.6571694152399</v>
          </cell>
          <cell r="I154">
            <v>2085.5350901838501</v>
          </cell>
          <cell r="J154">
            <v>2077.4142539139998</v>
          </cell>
          <cell r="K154">
            <v>2070.5811432692299</v>
          </cell>
          <cell r="L154">
            <v>2063.7492184430398</v>
          </cell>
          <cell r="M154">
            <v>2063.7495049893</v>
          </cell>
          <cell r="N154">
            <v>2063.7488409748898</v>
          </cell>
          <cell r="O154">
            <v>2063.7490746977801</v>
          </cell>
          <cell r="P154">
            <v>2063.7495376350798</v>
          </cell>
        </row>
        <row r="155">
          <cell r="B155" t="str">
            <v>CO2</v>
          </cell>
          <cell r="C155" t="str">
            <v>VAR_fout</v>
          </cell>
          <cell r="D155" t="str">
            <v>D-ELFO</v>
          </cell>
          <cell r="E155">
            <v>26.0905526069247</v>
          </cell>
          <cell r="F155">
            <v>16.343804003604799</v>
          </cell>
          <cell r="G155">
            <v>5.09696808189788</v>
          </cell>
          <cell r="H155">
            <v>4.8129319283852698</v>
          </cell>
          <cell r="I155">
            <v>7.1168279915187399E-2</v>
          </cell>
          <cell r="J155">
            <v>37.2289830468901</v>
          </cell>
          <cell r="K155">
            <v>37.307882081888202</v>
          </cell>
          <cell r="L155">
            <v>4.2402501669689899E-3</v>
          </cell>
          <cell r="M155">
            <v>0.16371454995881299</v>
          </cell>
          <cell r="N155">
            <v>0.17816406500454199</v>
          </cell>
          <cell r="O155">
            <v>0.100175697387894</v>
          </cell>
          <cell r="P155">
            <v>0.19806066945197401</v>
          </cell>
        </row>
        <row r="156">
          <cell r="B156" t="str">
            <v>CO2</v>
          </cell>
          <cell r="C156" t="str">
            <v>VAR_fout</v>
          </cell>
          <cell r="D156" t="str">
            <v>D-TNGA</v>
          </cell>
          <cell r="E156">
            <v>13.445179045337801</v>
          </cell>
          <cell r="F156">
            <v>7.9834665841220298</v>
          </cell>
          <cell r="G156">
            <v>12.814114119590799</v>
          </cell>
          <cell r="H156">
            <v>0.523367123323073</v>
          </cell>
          <cell r="I156">
            <v>5.9533117570805601E-2</v>
          </cell>
          <cell r="J156">
            <v>2.2318744567681199E-2</v>
          </cell>
          <cell r="K156">
            <v>0.13184490286529199</v>
          </cell>
          <cell r="L156">
            <v>2.5687215897755598E-2</v>
          </cell>
        </row>
        <row r="157">
          <cell r="B157" t="str">
            <v>CO2</v>
          </cell>
          <cell r="C157" t="str">
            <v>VAR_fout</v>
          </cell>
          <cell r="D157" t="str">
            <v>D-SNGA</v>
          </cell>
          <cell r="E157">
            <v>1521.77060594061</v>
          </cell>
          <cell r="F157">
            <v>1422.9640368031801</v>
          </cell>
          <cell r="G157">
            <v>1619.4407883530901</v>
          </cell>
          <cell r="H157">
            <v>1599.96306332112</v>
          </cell>
          <cell r="I157">
            <v>1608.60869711536</v>
          </cell>
          <cell r="J157">
            <v>1591.2147565514399</v>
          </cell>
          <cell r="K157">
            <v>1383.51737814842</v>
          </cell>
          <cell r="L157">
            <v>224.95407853914901</v>
          </cell>
          <cell r="M157">
            <v>268.78647696070499</v>
          </cell>
          <cell r="N157">
            <v>163.12466847347</v>
          </cell>
          <cell r="O157">
            <v>129.789505356104</v>
          </cell>
          <cell r="P157">
            <v>119.444373764487</v>
          </cell>
        </row>
        <row r="158">
          <cell r="B158" t="str">
            <v>CO2</v>
          </cell>
          <cell r="C158" t="str">
            <v>VAR_fout</v>
          </cell>
          <cell r="D158" t="str">
            <v>CO2compabroad</v>
          </cell>
          <cell r="H158">
            <v>-6059.3485708906701</v>
          </cell>
          <cell r="I158">
            <v>-6411.6692370455303</v>
          </cell>
          <cell r="J158">
            <v>-5810.9274206765103</v>
          </cell>
          <cell r="K158">
            <v>-5470.55692328644</v>
          </cell>
          <cell r="L158">
            <v>-5000</v>
          </cell>
          <cell r="M158">
            <v>-4603.9825734379001</v>
          </cell>
          <cell r="N158">
            <v>-4207.9651468758102</v>
          </cell>
          <cell r="O158">
            <v>-3874.6796411700602</v>
          </cell>
          <cell r="P158">
            <v>-3541.3940785121399</v>
          </cell>
        </row>
        <row r="159">
          <cell r="B159" t="str">
            <v>CO2</v>
          </cell>
          <cell r="C159" t="str">
            <v>VAR_fout</v>
          </cell>
          <cell r="D159" t="str">
            <v>D-RNGA</v>
          </cell>
          <cell r="E159">
            <v>2650.4048598637</v>
          </cell>
          <cell r="F159">
            <v>2731.8339408281499</v>
          </cell>
          <cell r="G159">
            <v>2743.0031331926398</v>
          </cell>
          <cell r="H159">
            <v>2986.52218772881</v>
          </cell>
          <cell r="I159">
            <v>2919.6517565907702</v>
          </cell>
          <cell r="J159">
            <v>2770.8159679892301</v>
          </cell>
          <cell r="K159">
            <v>2177.72243613</v>
          </cell>
          <cell r="L159">
            <v>839.60487718514503</v>
          </cell>
          <cell r="M159">
            <v>420.85832049948903</v>
          </cell>
          <cell r="N159">
            <v>331.883552544954</v>
          </cell>
          <cell r="O159">
            <v>331.61495722715603</v>
          </cell>
          <cell r="P159">
            <v>274.24291857848601</v>
          </cell>
        </row>
        <row r="160">
          <cell r="B160" t="str">
            <v>CO2</v>
          </cell>
          <cell r="C160" t="str">
            <v>VAR_fout</v>
          </cell>
          <cell r="D160" t="str">
            <v>D-IHFO</v>
          </cell>
          <cell r="E160">
            <v>213.78046833037999</v>
          </cell>
          <cell r="F160">
            <v>197.86686925474399</v>
          </cell>
          <cell r="G160">
            <v>7.3651369189197E-2</v>
          </cell>
          <cell r="H160">
            <v>1.03839182896204E-2</v>
          </cell>
          <cell r="I160">
            <v>6.6410798068716201E-3</v>
          </cell>
          <cell r="J160">
            <v>4.3590438371188103E-2</v>
          </cell>
          <cell r="K160">
            <v>2.6711323483115602E-2</v>
          </cell>
        </row>
        <row r="161">
          <cell r="B161" t="str">
            <v>CO2</v>
          </cell>
          <cell r="C161" t="str">
            <v>VAR_fout</v>
          </cell>
          <cell r="D161" t="str">
            <v>SUP_WSTHTGBIOCCS</v>
          </cell>
          <cell r="J161">
            <v>-1.59443897415647E-3</v>
          </cell>
          <cell r="K161">
            <v>-2.2067975855734698E-3</v>
          </cell>
          <cell r="L161">
            <v>-1.52008127528421E-2</v>
          </cell>
          <cell r="M161">
            <v>-1.5036954096963E-2</v>
          </cell>
          <cell r="N161">
            <v>-1.10488617636775E-2</v>
          </cell>
          <cell r="O161">
            <v>-1.1577434482943801E-2</v>
          </cell>
          <cell r="P161">
            <v>-1.2940490054544999E-2</v>
          </cell>
        </row>
        <row r="162">
          <cell r="B162" t="str">
            <v>CO2</v>
          </cell>
          <cell r="C162" t="str">
            <v>VAR_fout</v>
          </cell>
          <cell r="D162" t="str">
            <v>D-SLFO</v>
          </cell>
          <cell r="E162">
            <v>2267.7886650247201</v>
          </cell>
          <cell r="F162">
            <v>1993.20104146464</v>
          </cell>
          <cell r="G162">
            <v>1878.46239161217</v>
          </cell>
          <cell r="H162">
            <v>1572.0255581706199</v>
          </cell>
          <cell r="I162">
            <v>1085.96073393503</v>
          </cell>
          <cell r="J162">
            <v>568.66382149458798</v>
          </cell>
          <cell r="K162">
            <v>309.79579712841399</v>
          </cell>
          <cell r="M162">
            <v>4.7729782549884E-3</v>
          </cell>
          <cell r="N162">
            <v>7.1540518707051502E-3</v>
          </cell>
          <cell r="O162">
            <v>6.8024276418061098E-3</v>
          </cell>
          <cell r="P162">
            <v>1.0660288425387399E-2</v>
          </cell>
        </row>
        <row r="163">
          <cell r="B163" t="str">
            <v>CO2</v>
          </cell>
          <cell r="C163" t="str">
            <v>VAR_fout</v>
          </cell>
          <cell r="D163" t="str">
            <v>D-RCOA</v>
          </cell>
          <cell r="E163">
            <v>9.2700412864716402</v>
          </cell>
          <cell r="F163">
            <v>9.2700133145970405</v>
          </cell>
          <cell r="G163">
            <v>5.3640066552239199E-2</v>
          </cell>
          <cell r="H163">
            <v>3.2382614697499597E-2</v>
          </cell>
          <cell r="I163">
            <v>1.23472012021514E-2</v>
          </cell>
        </row>
        <row r="164">
          <cell r="B164" t="str">
            <v>CO2</v>
          </cell>
          <cell r="C164" t="str">
            <v>VAR_fout</v>
          </cell>
          <cell r="D164" t="str">
            <v>ITOT-CHPWODCCS</v>
          </cell>
          <cell r="J164">
            <v>-487.56841045216498</v>
          </cell>
          <cell r="K164">
            <v>-1055.3087922350401</v>
          </cell>
          <cell r="L164">
            <v>-1225.77736247401</v>
          </cell>
          <cell r="M164">
            <v>-1209.6914315036599</v>
          </cell>
          <cell r="N164">
            <v>-1225.7778964967199</v>
          </cell>
          <cell r="O164">
            <v>-1220.9405853600099</v>
          </cell>
          <cell r="P164">
            <v>-1225.77821182925</v>
          </cell>
        </row>
        <row r="165">
          <cell r="B165" t="str">
            <v>CO2</v>
          </cell>
          <cell r="C165" t="str">
            <v>VAR_fout</v>
          </cell>
          <cell r="D165" t="str">
            <v>D-RLFO</v>
          </cell>
          <cell r="E165">
            <v>4514.4826325335198</v>
          </cell>
          <cell r="F165">
            <v>3846.5256089701402</v>
          </cell>
          <cell r="G165">
            <v>3783.0496795793902</v>
          </cell>
          <cell r="H165">
            <v>3112.9694114064901</v>
          </cell>
          <cell r="I165">
            <v>1615.6393318630201</v>
          </cell>
          <cell r="J165">
            <v>903.05108592947602</v>
          </cell>
          <cell r="K165">
            <v>710.32004954949605</v>
          </cell>
          <cell r="M165">
            <v>4.7361052367794303E-3</v>
          </cell>
          <cell r="N165">
            <v>7.1303193367605504E-3</v>
          </cell>
          <cell r="O165">
            <v>6.7340345005500101E-3</v>
          </cell>
          <cell r="P165">
            <v>1.06156063899782E-2</v>
          </cell>
        </row>
        <row r="166">
          <cell r="B166" t="str">
            <v>CO2</v>
          </cell>
          <cell r="C166" t="str">
            <v>VAR_fout</v>
          </cell>
          <cell r="D166" t="str">
            <v>D-TGSL</v>
          </cell>
          <cell r="E166">
            <v>5885.3485365656497</v>
          </cell>
          <cell r="F166">
            <v>5605.5626876064898</v>
          </cell>
          <cell r="G166">
            <v>5842.7274471728197</v>
          </cell>
          <cell r="H166">
            <v>3571.0516144942098</v>
          </cell>
          <cell r="I166">
            <v>1606.2412518250001</v>
          </cell>
          <cell r="J166">
            <v>743.066806360638</v>
          </cell>
          <cell r="K166">
            <v>232.50952416969699</v>
          </cell>
          <cell r="L166">
            <v>23.599663852807598</v>
          </cell>
          <cell r="M166">
            <v>22.4177107288488</v>
          </cell>
          <cell r="N166">
            <v>19.247329040481599</v>
          </cell>
          <cell r="O166">
            <v>17.662806913444701</v>
          </cell>
          <cell r="P166">
            <v>14.219385984399</v>
          </cell>
        </row>
        <row r="167">
          <cell r="B167" t="str">
            <v>CO2</v>
          </cell>
          <cell r="C167" t="str">
            <v>VAR_fout</v>
          </cell>
          <cell r="D167" t="str">
            <v>EWOD-CCS</v>
          </cell>
          <cell r="J167">
            <v>-6.3493771160830104E-2</v>
          </cell>
          <cell r="K167">
            <v>-11.3860375312151</v>
          </cell>
          <cell r="L167">
            <v>-197.597843950612</v>
          </cell>
          <cell r="M167">
            <v>-203.209007859542</v>
          </cell>
          <cell r="N167">
            <v>-203.43848586327599</v>
          </cell>
          <cell r="O167">
            <v>-203.35216078956799</v>
          </cell>
          <cell r="P167">
            <v>-203.28615805114501</v>
          </cell>
        </row>
        <row r="168">
          <cell r="B168" t="str">
            <v>CO2</v>
          </cell>
          <cell r="C168" t="str">
            <v>VAR_fout</v>
          </cell>
          <cell r="D168" t="str">
            <v>ITOT-PROCESSCO2CCS</v>
          </cell>
          <cell r="J168">
            <v>-2.9539679440699799E-2</v>
          </cell>
          <cell r="K168">
            <v>-1035.29181429154</v>
          </cell>
          <cell r="L168">
            <v>-1031.8768963287</v>
          </cell>
          <cell r="M168">
            <v>-1031.87802311411</v>
          </cell>
          <cell r="N168">
            <v>-1031.8790657550801</v>
          </cell>
          <cell r="O168">
            <v>-1031.87934688573</v>
          </cell>
          <cell r="P168">
            <v>-1031.88007110483</v>
          </cell>
        </row>
        <row r="169">
          <cell r="B169" t="str">
            <v>CO2</v>
          </cell>
          <cell r="C169" t="str">
            <v>VAR_fout</v>
          </cell>
          <cell r="D169" t="str">
            <v>D-IWST</v>
          </cell>
          <cell r="E169">
            <v>1068.12827247874</v>
          </cell>
          <cell r="F169">
            <v>1094.48198944725</v>
          </cell>
          <cell r="G169">
            <v>1024.64113946363</v>
          </cell>
          <cell r="H169">
            <v>1013.19792821762</v>
          </cell>
          <cell r="I169">
            <v>1001.75481733878</v>
          </cell>
          <cell r="J169">
            <v>996.69829168767899</v>
          </cell>
          <cell r="K169">
            <v>991.64172892650402</v>
          </cell>
          <cell r="L169">
            <v>986.58517969803302</v>
          </cell>
          <cell r="M169">
            <v>986.58514596658495</v>
          </cell>
          <cell r="N169">
            <v>986.58516806404896</v>
          </cell>
          <cell r="O169">
            <v>986.58516956524602</v>
          </cell>
          <cell r="P169">
            <v>986.58524704932597</v>
          </cell>
        </row>
        <row r="170">
          <cell r="B170" t="str">
            <v>CO2</v>
          </cell>
          <cell r="C170" t="str">
            <v>VAR_fout</v>
          </cell>
          <cell r="D170" t="str">
            <v>SUP_WODH2CCS</v>
          </cell>
          <cell r="L170">
            <v>-383.17673859016401</v>
          </cell>
          <cell r="M170">
            <v>-963.67593316353998</v>
          </cell>
          <cell r="N170">
            <v>-963.66789771029403</v>
          </cell>
          <cell r="O170">
            <v>-1058.41903536931</v>
          </cell>
          <cell r="P170">
            <v>-1062.1598890806399</v>
          </cell>
        </row>
        <row r="171">
          <cell r="B171" t="str">
            <v>CO2</v>
          </cell>
          <cell r="C171" t="str">
            <v>VAR_fout</v>
          </cell>
          <cell r="D171" t="str">
            <v>SUP_WODBIOCCS</v>
          </cell>
          <cell r="J171">
            <v>-8.5416054031696009E-3</v>
          </cell>
          <cell r="K171">
            <v>-1.2002030910712501E-2</v>
          </cell>
          <cell r="L171">
            <v>-2.3686503336320899E-2</v>
          </cell>
          <cell r="M171">
            <v>-2.5115253785086E-2</v>
          </cell>
          <cell r="N171">
            <v>-2.3323832089084399E-2</v>
          </cell>
          <cell r="O171">
            <v>-2.3229506142303999E-2</v>
          </cell>
          <cell r="P171">
            <v>-3.8026105386989001E-2</v>
          </cell>
        </row>
        <row r="172">
          <cell r="B172" t="str">
            <v>CO2</v>
          </cell>
          <cell r="C172" t="str">
            <v>VAR_fout</v>
          </cell>
          <cell r="D172" t="str">
            <v>SUP_NGAH2CCS</v>
          </cell>
          <cell r="L172">
            <v>-3.5874213770918E-3</v>
          </cell>
          <cell r="M172">
            <v>-4.1886544626182501E-3</v>
          </cell>
          <cell r="N172">
            <v>-3.8104909796859402E-3</v>
          </cell>
          <cell r="O172">
            <v>-4.5561711479549698E-3</v>
          </cell>
          <cell r="P172">
            <v>-6.6167200586721301E-3</v>
          </cell>
        </row>
        <row r="173">
          <cell r="B173" t="str">
            <v>CO2</v>
          </cell>
          <cell r="C173" t="str">
            <v>VAR_fout</v>
          </cell>
          <cell r="D173" t="str">
            <v>CT_CWODETHCCS</v>
          </cell>
          <cell r="J173">
            <v>-8.5194146833462905E-4</v>
          </cell>
          <cell r="K173">
            <v>-6.6993975061292201E-4</v>
          </cell>
          <cell r="L173">
            <v>-1.33131253308938E-3</v>
          </cell>
          <cell r="M173">
            <v>-5.9212019633779001E-4</v>
          </cell>
          <cell r="N173">
            <v>-1.3542529298761999E-3</v>
          </cell>
          <cell r="O173">
            <v>-9.5443456814332404E-4</v>
          </cell>
          <cell r="P173">
            <v>-3.06443940581023E-3</v>
          </cell>
        </row>
        <row r="174">
          <cell r="B174" t="str">
            <v>CO2</v>
          </cell>
          <cell r="C174" t="str">
            <v>VAR_fout</v>
          </cell>
          <cell r="D174" t="str">
            <v>D-TKER</v>
          </cell>
          <cell r="E174">
            <v>80.738207147326605</v>
          </cell>
          <cell r="F174">
            <v>102.299204189737</v>
          </cell>
          <cell r="G174">
            <v>134.57253518587001</v>
          </cell>
          <cell r="H174">
            <v>187.25855827633401</v>
          </cell>
          <cell r="I174">
            <v>172.51054608820601</v>
          </cell>
          <cell r="J174">
            <v>156.67732476405999</v>
          </cell>
          <cell r="K174">
            <v>140.57442827642501</v>
          </cell>
          <cell r="L174">
            <v>1.17052173440166E-5</v>
          </cell>
          <cell r="M174">
            <v>6.1008906502153896E-3</v>
          </cell>
          <cell r="N174">
            <v>9.5587129054535095E-3</v>
          </cell>
          <cell r="O174">
            <v>9.0246400289184601E-3</v>
          </cell>
          <cell r="P174">
            <v>1.48106037652604E-2</v>
          </cell>
        </row>
        <row r="175">
          <cell r="B175" t="str">
            <v>CO2</v>
          </cell>
          <cell r="C175" t="str">
            <v>VAR_fout</v>
          </cell>
          <cell r="D175" t="str">
            <v>D-INGA</v>
          </cell>
          <cell r="E175">
            <v>2101.41405860642</v>
          </cell>
          <cell r="F175">
            <v>1757.5828810117901</v>
          </cell>
          <cell r="G175">
            <v>1835.67288881636</v>
          </cell>
          <cell r="H175">
            <v>1360.5898604062099</v>
          </cell>
          <cell r="I175">
            <v>639.42525107009806</v>
          </cell>
          <cell r="J175">
            <v>800.27761310012795</v>
          </cell>
          <cell r="K175">
            <v>545.06093311255802</v>
          </cell>
          <cell r="L175">
            <v>54.387294689906199</v>
          </cell>
          <cell r="M175">
            <v>5.4772000993435703E-2</v>
          </cell>
          <cell r="N175">
            <v>1.23248726570062E-2</v>
          </cell>
          <cell r="O175">
            <v>7.0965308900596998E-3</v>
          </cell>
          <cell r="P175">
            <v>3.1382009709440802E-3</v>
          </cell>
        </row>
        <row r="176">
          <cell r="B176" t="str">
            <v>CO2</v>
          </cell>
          <cell r="C176" t="str">
            <v>VAR_fout</v>
          </cell>
          <cell r="D176" t="str">
            <v>SUP_DAC</v>
          </cell>
          <cell r="J176">
            <v>-1.9430678985890399E-3</v>
          </cell>
          <cell r="K176">
            <v>-3.13917628351471E-3</v>
          </cell>
          <cell r="L176">
            <v>-96.149909621709398</v>
          </cell>
          <cell r="M176">
            <v>-214.27537892772801</v>
          </cell>
          <cell r="N176">
            <v>-1418.6254257380399</v>
          </cell>
          <cell r="O176">
            <v>-2074.3549650134701</v>
          </cell>
          <cell r="P176">
            <v>-2756.9083032561798</v>
          </cell>
        </row>
        <row r="177">
          <cell r="B177" t="str">
            <v>CO2</v>
          </cell>
          <cell r="C177" t="str">
            <v>VAR_fout</v>
          </cell>
          <cell r="D177" t="str">
            <v>CT_CWODBDSCCS</v>
          </cell>
          <cell r="J177">
            <v>-6.6342514675774896E-3</v>
          </cell>
          <cell r="K177">
            <v>-1.05611044828614E-2</v>
          </cell>
          <cell r="L177">
            <v>-604.36664132676799</v>
          </cell>
          <cell r="M177">
            <v>-641.40545832154601</v>
          </cell>
          <cell r="N177">
            <v>-604.36654102854197</v>
          </cell>
          <cell r="O177">
            <v>-641.61583733478506</v>
          </cell>
          <cell r="P177">
            <v>-707.87831979882696</v>
          </cell>
        </row>
        <row r="178">
          <cell r="B178" t="str">
            <v>CO2</v>
          </cell>
          <cell r="C178" t="str">
            <v>VAR_fout</v>
          </cell>
          <cell r="D178" t="str">
            <v>D-EWST</v>
          </cell>
          <cell r="E178">
            <v>2266.2744617409298</v>
          </cell>
          <cell r="F178">
            <v>2235.4031966119901</v>
          </cell>
          <cell r="G178">
            <v>2268.7811924034499</v>
          </cell>
          <cell r="H178">
            <v>2238.5108032961002</v>
          </cell>
          <cell r="I178">
            <v>2240.4529715680201</v>
          </cell>
          <cell r="J178">
            <v>2266.0991218753302</v>
          </cell>
          <cell r="K178">
            <v>2291.7453689459899</v>
          </cell>
          <cell r="L178">
            <v>2317.3900830082498</v>
          </cell>
          <cell r="M178">
            <v>2317.3896763502198</v>
          </cell>
          <cell r="N178">
            <v>2317.3896940775298</v>
          </cell>
          <cell r="O178">
            <v>2317.38963122221</v>
          </cell>
          <cell r="P178">
            <v>2317.3897497446601</v>
          </cell>
        </row>
        <row r="179">
          <cell r="B179" t="str">
            <v>CO2</v>
          </cell>
          <cell r="C179" t="str">
            <v>VAR_comnet</v>
          </cell>
          <cell r="D179" t="str">
            <v>-</v>
          </cell>
          <cell r="E179">
            <v>44196.6344454266</v>
          </cell>
          <cell r="F179">
            <v>41426.022781340398</v>
          </cell>
          <cell r="G179">
            <v>39554.180567109499</v>
          </cell>
          <cell r="H179">
            <v>27528.913951439299</v>
          </cell>
          <cell r="I179">
            <v>19270.241396375099</v>
          </cell>
          <cell r="J179">
            <v>13970.922217085899</v>
          </cell>
          <cell r="K179">
            <v>6985.4611085429497</v>
          </cell>
          <cell r="L179">
            <v>4.1894150532822299E-4</v>
          </cell>
          <cell r="M179">
            <v>-1000</v>
          </cell>
          <cell r="N179">
            <v>-2000</v>
          </cell>
          <cell r="O179">
            <v>-2500</v>
          </cell>
          <cell r="P179">
            <v>-3000</v>
          </cell>
        </row>
        <row r="180">
          <cell r="B180" t="str">
            <v>CO2</v>
          </cell>
          <cell r="C180" t="str">
            <v>EQ_combalM</v>
          </cell>
          <cell r="D180" t="str">
            <v>-</v>
          </cell>
          <cell r="H180">
            <v>-0.117151953420829</v>
          </cell>
          <cell r="I180">
            <v>-0.23216915177304201</v>
          </cell>
          <cell r="J180">
            <v>-0.26879251517288999</v>
          </cell>
          <cell r="K180">
            <v>-0.53736898563281199</v>
          </cell>
          <cell r="L180">
            <v>-1.7105166302766901</v>
          </cell>
          <cell r="M180">
            <v>-1.4371435063357001</v>
          </cell>
          <cell r="N180">
            <v>-1.5873936422036099</v>
          </cell>
          <cell r="O180">
            <v>-1.43488943236542</v>
          </cell>
          <cell r="P180">
            <v>-1.52805905435205</v>
          </cell>
        </row>
        <row r="181">
          <cell r="B181" t="str">
            <v>CO2_X</v>
          </cell>
          <cell r="C181" t="str">
            <v>VAR_fout</v>
          </cell>
          <cell r="D181" t="str">
            <v>D-CO2_O</v>
          </cell>
          <cell r="J181">
            <v>988.74784632545811</v>
          </cell>
          <cell r="K181">
            <v>4784.0075709362209</v>
          </cell>
          <cell r="L181">
            <v>6307.1980471444367</v>
          </cell>
          <cell r="M181">
            <v>6307.1988381020765</v>
          </cell>
          <cell r="N181">
            <v>6307.1988578059963</v>
          </cell>
          <cell r="O181">
            <v>6307.1992728505302</v>
          </cell>
          <cell r="P181">
            <v>6307.2103707608958</v>
          </cell>
        </row>
        <row r="182">
          <cell r="B182" t="str">
            <v>CO2_X</v>
          </cell>
          <cell r="C182" t="str">
            <v>VAR_fin</v>
          </cell>
          <cell r="D182" t="str">
            <v>CO2EXP</v>
          </cell>
          <cell r="J182">
            <v>988.74784632545811</v>
          </cell>
          <cell r="K182">
            <v>4784.0075709362209</v>
          </cell>
          <cell r="L182">
            <v>6307.1980471444367</v>
          </cell>
          <cell r="M182">
            <v>6307.1988381020765</v>
          </cell>
          <cell r="N182">
            <v>6307.1988578059963</v>
          </cell>
          <cell r="O182">
            <v>6307.1992728505302</v>
          </cell>
          <cell r="P182">
            <v>6307.2103707608958</v>
          </cell>
        </row>
        <row r="183">
          <cell r="B183" t="str">
            <v>CO2_X</v>
          </cell>
          <cell r="C183" t="str">
            <v>EQ_combalM</v>
          </cell>
          <cell r="D183" t="str">
            <v>-</v>
          </cell>
          <cell r="J183">
            <v>-8.6670734935116727</v>
          </cell>
          <cell r="K183">
            <v>11.797841546141884</v>
          </cell>
          <cell r="L183">
            <v>1.6243836634804749</v>
          </cell>
          <cell r="M183">
            <v>-6.2929673261218531</v>
          </cell>
          <cell r="N183">
            <v>-15.659019377753532</v>
          </cell>
          <cell r="O183">
            <v>-22.429349156631385</v>
          </cell>
          <cell r="P183">
            <v>-27.581926161911209</v>
          </cell>
        </row>
        <row r="184">
          <cell r="B184" t="str">
            <v>CO2seq</v>
          </cell>
          <cell r="C184" t="str">
            <v>VAR_fout</v>
          </cell>
          <cell r="D184" t="str">
            <v>CO2SINK</v>
          </cell>
          <cell r="J184">
            <v>833.33092443225394</v>
          </cell>
          <cell r="K184">
            <v>331.04387477326719</v>
          </cell>
          <cell r="L184">
            <v>190.77643964365768</v>
          </cell>
          <cell r="M184">
            <v>1103.19609283819</v>
          </cell>
          <cell r="N184">
            <v>2092.0426216971205</v>
          </cell>
          <cell r="O184">
            <v>2766.9001208465206</v>
          </cell>
          <cell r="P184">
            <v>3527.6076731241842</v>
          </cell>
        </row>
        <row r="185">
          <cell r="B185" t="str">
            <v>CO2seq</v>
          </cell>
          <cell r="C185" t="str">
            <v>VAR_comnet</v>
          </cell>
          <cell r="D185" t="str">
            <v>-</v>
          </cell>
          <cell r="J185">
            <v>833.33092443225394</v>
          </cell>
          <cell r="K185">
            <v>331.04387477326719</v>
          </cell>
          <cell r="L185">
            <v>190.77643964365768</v>
          </cell>
          <cell r="M185">
            <v>1103.19609283819</v>
          </cell>
          <cell r="N185">
            <v>2092.0426216971205</v>
          </cell>
          <cell r="O185">
            <v>2766.9001208465206</v>
          </cell>
          <cell r="P185">
            <v>3527.6076731241842</v>
          </cell>
        </row>
        <row r="186">
          <cell r="B186" t="str">
            <v>CO2_SECTOR</v>
          </cell>
          <cell r="C186" t="str">
            <v>VAR_fout</v>
          </cell>
          <cell r="D186" t="str">
            <v>CO2_IND</v>
          </cell>
          <cell r="E186">
            <v>6491.4823885088881</v>
          </cell>
          <cell r="F186">
            <v>6141.6998513743574</v>
          </cell>
          <cell r="G186">
            <v>5603.8681667051596</v>
          </cell>
          <cell r="H186">
            <v>4894.2936668194088</v>
          </cell>
          <cell r="I186">
            <v>4031.4211759247878</v>
          </cell>
          <cell r="J186">
            <v>4034.549003470378</v>
          </cell>
          <cell r="K186">
            <v>3634.4228048341274</v>
          </cell>
          <cell r="L186">
            <v>3104.7342930060754</v>
          </cell>
          <cell r="M186">
            <v>3050.4213242895089</v>
          </cell>
          <cell r="N186">
            <v>3050.3602876013383</v>
          </cell>
          <cell r="O186">
            <v>3050.3563916767785</v>
          </cell>
          <cell r="P186">
            <v>3050.3449719788446</v>
          </cell>
        </row>
        <row r="187">
          <cell r="B187" t="str">
            <v>CO2_SECTOR</v>
          </cell>
          <cell r="C187" t="str">
            <v>VAR_fout</v>
          </cell>
          <cell r="D187" t="str">
            <v>CO2_RES</v>
          </cell>
          <cell r="E187">
            <v>7174.1575336837013</v>
          </cell>
          <cell r="F187">
            <v>6587.6295631128905</v>
          </cell>
          <cell r="G187">
            <v>6526.1064528385778</v>
          </cell>
          <cell r="H187">
            <v>6099.523981750006</v>
          </cell>
          <cell r="I187">
            <v>4535.303435654987</v>
          </cell>
          <cell r="J187">
            <v>3673.8670539187005</v>
          </cell>
          <cell r="K187">
            <v>2888.0424856794921</v>
          </cell>
          <cell r="L187">
            <v>839.60493338835477</v>
          </cell>
          <cell r="M187">
            <v>420.86305660472567</v>
          </cell>
          <cell r="N187">
            <v>331.89068286429142</v>
          </cell>
          <cell r="O187">
            <v>331.62169126165702</v>
          </cell>
          <cell r="P187">
            <v>274.25353418487595</v>
          </cell>
        </row>
        <row r="188">
          <cell r="B188" t="str">
            <v>CO2_SECTOR</v>
          </cell>
          <cell r="C188" t="str">
            <v>VAR_fout</v>
          </cell>
          <cell r="D188" t="str">
            <v>CO2_TRA</v>
          </cell>
          <cell r="E188">
            <v>14668.51755339396</v>
          </cell>
          <cell r="F188">
            <v>13912.469483733601</v>
          </cell>
          <cell r="G188">
            <v>13008.40847633936</v>
          </cell>
          <cell r="H188">
            <v>8387.8918705565211</v>
          </cell>
          <cell r="I188">
            <v>4463.9866076580674</v>
          </cell>
          <cell r="J188">
            <v>2672.9950018413201</v>
          </cell>
          <cell r="K188">
            <v>1142.3724813889503</v>
          </cell>
          <cell r="L188">
            <v>23.644600870449985</v>
          </cell>
          <cell r="M188">
            <v>22.441847792719031</v>
          </cell>
          <cell r="N188">
            <v>19.284919089159224</v>
          </cell>
          <cell r="O188">
            <v>17.700288480238182</v>
          </cell>
          <cell r="P188">
            <v>14.281393538835291</v>
          </cell>
        </row>
        <row r="189">
          <cell r="B189" t="str">
            <v>CO2_SECTOR</v>
          </cell>
          <cell r="C189" t="str">
            <v>VAR_fout</v>
          </cell>
          <cell r="D189" t="str">
            <v>CO2_ELC</v>
          </cell>
          <cell r="E189">
            <v>2603.1432342154958</v>
          </cell>
          <cell r="F189">
            <v>2350.3905042787824</v>
          </cell>
          <cell r="G189">
            <v>2352.1747251926563</v>
          </cell>
          <cell r="H189">
            <v>2243.3237352244819</v>
          </cell>
          <cell r="I189">
            <v>2240.5241398479402</v>
          </cell>
          <cell r="J189">
            <v>2303.3281049222128</v>
          </cell>
          <cell r="K189">
            <v>2329.053251027884</v>
          </cell>
          <cell r="L189">
            <v>2317.3943232584206</v>
          </cell>
          <cell r="M189">
            <v>2317.5533909001801</v>
          </cell>
          <cell r="N189">
            <v>2317.5678581425354</v>
          </cell>
          <cell r="O189">
            <v>2317.4898069195947</v>
          </cell>
          <cell r="P189">
            <v>2317.5878104141134</v>
          </cell>
        </row>
        <row r="190">
          <cell r="B190" t="str">
            <v>CO2_SECTOR</v>
          </cell>
          <cell r="C190" t="str">
            <v>VAR_fout</v>
          </cell>
          <cell r="D190" t="str">
            <v>CO2_SER</v>
          </cell>
          <cell r="E190">
            <v>3789.5592709653283</v>
          </cell>
          <cell r="F190">
            <v>3416.1650782678203</v>
          </cell>
          <cell r="G190">
            <v>3497.9031799652676</v>
          </cell>
          <cell r="H190">
            <v>3171.988621491746</v>
          </cell>
          <cell r="I190">
            <v>2694.5694310503891</v>
          </cell>
          <cell r="J190">
            <v>2159.8785780460275</v>
          </cell>
          <cell r="K190">
            <v>1693.3131752768281</v>
          </cell>
          <cell r="L190">
            <v>224.95412754546345</v>
          </cell>
          <cell r="M190">
            <v>268.79124993896005</v>
          </cell>
          <cell r="N190">
            <v>163.13182252534085</v>
          </cell>
          <cell r="O190">
            <v>129.79630778374556</v>
          </cell>
          <cell r="P190">
            <v>119.45503405291241</v>
          </cell>
        </row>
        <row r="191">
          <cell r="B191" t="str">
            <v>CO2_SECTOR</v>
          </cell>
          <cell r="C191" t="str">
            <v>VAR_fout</v>
          </cell>
          <cell r="D191" t="str">
            <v>CO2_ELCCCS</v>
          </cell>
          <cell r="E191">
            <v>2603.1432342154958</v>
          </cell>
          <cell r="F191">
            <v>2350.3905042787824</v>
          </cell>
          <cell r="G191">
            <v>2352.1747251926563</v>
          </cell>
          <cell r="H191">
            <v>2243.3237352244819</v>
          </cell>
          <cell r="I191">
            <v>2240.5241398479402</v>
          </cell>
          <cell r="J191">
            <v>1106.9019796763612</v>
          </cell>
          <cell r="K191">
            <v>88.504751447040235</v>
          </cell>
          <cell r="L191">
            <v>-109.74486362984253</v>
          </cell>
          <cell r="M191">
            <v>-355.82367371030404</v>
          </cell>
          <cell r="N191">
            <v>-380.75448760509812</v>
          </cell>
          <cell r="O191">
            <v>-385.75610675944995</v>
          </cell>
          <cell r="P191">
            <v>-390.44475259212214</v>
          </cell>
        </row>
        <row r="192">
          <cell r="B192" t="str">
            <v>CO2_SECTOR</v>
          </cell>
          <cell r="C192" t="str">
            <v>VAR_fout</v>
          </cell>
          <cell r="D192" t="str">
            <v>CO2_H2CCS</v>
          </cell>
          <cell r="J192">
            <v>-1.5542175842110756E-2</v>
          </cell>
          <cell r="K192">
            <v>-2.5460557599254231E-2</v>
          </cell>
          <cell r="L192">
            <v>-987.5879862274943</v>
          </cell>
          <cell r="M192">
            <v>-1605.1261181209995</v>
          </cell>
          <cell r="N192">
            <v>-1568.0747083039951</v>
          </cell>
          <cell r="O192">
            <v>-1700.0750600580395</v>
          </cell>
          <cell r="P192">
            <v>-1770.0986388398542</v>
          </cell>
        </row>
        <row r="193">
          <cell r="B193" t="str">
            <v>CO2_SECTOR</v>
          </cell>
          <cell r="C193" t="str">
            <v>VAR_fout</v>
          </cell>
          <cell r="D193" t="str">
            <v>CO2_INDCCS</v>
          </cell>
          <cell r="E193">
            <v>6491.4823885088881</v>
          </cell>
          <cell r="F193">
            <v>6141.6998513743574</v>
          </cell>
          <cell r="G193">
            <v>5603.8681667051596</v>
          </cell>
          <cell r="H193">
            <v>4894.265929449497</v>
          </cell>
          <cell r="I193">
            <v>4031.428232412969</v>
          </cell>
          <cell r="J193">
            <v>3397.1030441525186</v>
          </cell>
          <cell r="K193">
            <v>751.64901149372224</v>
          </cell>
          <cell r="L193">
            <v>93.901246115537191</v>
          </cell>
          <cell r="M193">
            <v>55.74006414040629</v>
          </cell>
          <cell r="N193">
            <v>49.736530678074374</v>
          </cell>
          <cell r="O193">
            <v>44.358602970303025</v>
          </cell>
          <cell r="P193">
            <v>39.477269468188084</v>
          </cell>
        </row>
        <row r="194">
          <cell r="B194" t="str">
            <v>CO2_SECTOR</v>
          </cell>
          <cell r="C194" t="str">
            <v>VAR_comnet</v>
          </cell>
          <cell r="D194" t="str">
            <v>-</v>
          </cell>
          <cell r="E194">
            <v>43821.485603491754</v>
          </cell>
          <cell r="F194">
            <v>40900.444836420582</v>
          </cell>
          <cell r="G194">
            <v>38944.503892938861</v>
          </cell>
          <cell r="H194">
            <v>31934.611540516125</v>
          </cell>
          <cell r="I194">
            <v>24237.75716239708</v>
          </cell>
          <cell r="J194">
            <v>19348.607223851675</v>
          </cell>
          <cell r="K194">
            <v>12527.332500590437</v>
          </cell>
          <cell r="L194">
            <v>5506.9006743269601</v>
          </cell>
          <cell r="M194">
            <v>4174.8611418351993</v>
          </cell>
          <cell r="N194">
            <v>3983.1429049916455</v>
          </cell>
          <cell r="O194">
            <v>3805.4919222748331</v>
          </cell>
          <cell r="P194">
            <v>3654.8566222057925</v>
          </cell>
        </row>
        <row r="195">
          <cell r="B195" t="str">
            <v>CO2SC</v>
          </cell>
          <cell r="C195" t="str">
            <v>VAR_fout</v>
          </cell>
          <cell r="D195" t="str">
            <v>CO2S1</v>
          </cell>
          <cell r="E195">
            <v>6307.1990227535098</v>
          </cell>
          <cell r="F195">
            <v>6307.1990227535098</v>
          </cell>
          <cell r="G195">
            <v>6307.1990227535098</v>
          </cell>
          <cell r="H195">
            <v>6307.1990227535098</v>
          </cell>
          <cell r="I195">
            <v>6307.1990227535098</v>
          </cell>
          <cell r="J195">
            <v>6307.1990227535098</v>
          </cell>
          <cell r="K195">
            <v>6307.1990227535098</v>
          </cell>
          <cell r="L195">
            <v>6307.1990227535098</v>
          </cell>
          <cell r="M195">
            <v>6307.1990227535098</v>
          </cell>
          <cell r="N195">
            <v>6307.1990227535098</v>
          </cell>
          <cell r="O195">
            <v>6307.1990227535098</v>
          </cell>
          <cell r="P195">
            <v>6307.1990227535098</v>
          </cell>
        </row>
        <row r="196">
          <cell r="B196" t="str">
            <v>CO2SC</v>
          </cell>
          <cell r="C196" t="str">
            <v>VAR_fout</v>
          </cell>
          <cell r="D196" t="str">
            <v>CO2S2</v>
          </cell>
          <cell r="K196">
            <v>1.88773246390216E-5</v>
          </cell>
          <cell r="L196">
            <v>5.6266504628923703E-5</v>
          </cell>
          <cell r="M196">
            <v>3.3314021903563598E-5</v>
          </cell>
          <cell r="N196">
            <v>9.3109287012503207E-5</v>
          </cell>
          <cell r="O196">
            <v>3.8789924156120201E-4</v>
          </cell>
          <cell r="P196">
            <v>1.15586604688304E-2</v>
          </cell>
        </row>
        <row r="197">
          <cell r="B197" t="str">
            <v>CO2SC</v>
          </cell>
          <cell r="C197" t="str">
            <v>VAR_fin</v>
          </cell>
          <cell r="D197" t="str">
            <v>CO2EXP</v>
          </cell>
          <cell r="J197">
            <v>988.74784632546005</v>
          </cell>
          <cell r="K197">
            <v>4784.00757093622</v>
          </cell>
          <cell r="L197">
            <v>6307.1980471444604</v>
          </cell>
          <cell r="M197">
            <v>6307.1988381020501</v>
          </cell>
          <cell r="N197">
            <v>6307.19885780602</v>
          </cell>
          <cell r="O197">
            <v>6307.1992728505102</v>
          </cell>
          <cell r="P197">
            <v>6307.2103707609103</v>
          </cell>
        </row>
        <row r="198">
          <cell r="B198" t="str">
            <v>CO2SC</v>
          </cell>
          <cell r="C198" t="str">
            <v>EQ_combalM</v>
          </cell>
          <cell r="D198" t="str">
            <v>-</v>
          </cell>
          <cell r="K198">
            <v>-1.2266182131689401E-7</v>
          </cell>
          <cell r="L198">
            <v>1.7773940367093202E-2</v>
          </cell>
          <cell r="M198">
            <v>3.9627676644819199E-2</v>
          </cell>
          <cell r="N198">
            <v>6.7393825341133903E-2</v>
          </cell>
          <cell r="O198">
            <v>9.58361435422804E-2</v>
          </cell>
          <cell r="P198">
            <v>0.124916982476625</v>
          </cell>
        </row>
        <row r="199">
          <cell r="B199" t="str">
            <v>CO2P</v>
          </cell>
          <cell r="C199" t="str">
            <v>VAR_fout</v>
          </cell>
          <cell r="D199" t="str">
            <v>ITOT-PROCESSCO2</v>
          </cell>
          <cell r="E199">
            <v>2089.34680048464</v>
          </cell>
          <cell r="F199">
            <v>2111.0131698740802</v>
          </cell>
          <cell r="G199">
            <v>2102.26947106126</v>
          </cell>
          <cell r="H199">
            <v>2093.6571694152422</v>
          </cell>
          <cell r="I199">
            <v>2085.5350901838515</v>
          </cell>
          <cell r="J199">
            <v>2077.4142539140057</v>
          </cell>
          <cell r="K199">
            <v>2070.5811432692331</v>
          </cell>
          <cell r="L199">
            <v>2063.7492184430407</v>
          </cell>
          <cell r="M199">
            <v>2063.749504989305</v>
          </cell>
          <cell r="N199">
            <v>2063.7488409748912</v>
          </cell>
          <cell r="O199">
            <v>2063.7490746977783</v>
          </cell>
          <cell r="P199">
            <v>2063.7495376350812</v>
          </cell>
        </row>
        <row r="200">
          <cell r="B200" t="str">
            <v>CO2P</v>
          </cell>
          <cell r="C200" t="str">
            <v>VAR_comnet</v>
          </cell>
          <cell r="D200" t="str">
            <v>-</v>
          </cell>
          <cell r="E200">
            <v>2089.34680048464</v>
          </cell>
          <cell r="F200">
            <v>2111.0131698740802</v>
          </cell>
          <cell r="G200">
            <v>2102.26947106126</v>
          </cell>
          <cell r="H200">
            <v>2093.6571694152422</v>
          </cell>
          <cell r="I200">
            <v>2085.5350901838515</v>
          </cell>
          <cell r="J200">
            <v>2077.4142539140057</v>
          </cell>
          <cell r="K200">
            <v>2070.5811432692331</v>
          </cell>
          <cell r="L200">
            <v>2063.7492184430407</v>
          </cell>
          <cell r="M200">
            <v>2063.749504989305</v>
          </cell>
          <cell r="N200">
            <v>2063.7488409748912</v>
          </cell>
          <cell r="O200">
            <v>2063.7490746977783</v>
          </cell>
          <cell r="P200">
            <v>2063.7495376350812</v>
          </cell>
        </row>
        <row r="201">
          <cell r="B201" t="str">
            <v>CO2_E</v>
          </cell>
          <cell r="C201" t="str">
            <v>VAR_fout</v>
          </cell>
          <cell r="D201" t="str">
            <v>EWSTINCCS</v>
          </cell>
          <cell r="J201">
            <v>610.75006049801596</v>
          </cell>
          <cell r="K201">
            <v>1172.5981690962899</v>
          </cell>
          <cell r="L201">
            <v>1207.99921510288</v>
          </cell>
          <cell r="M201">
            <v>1207.99905258274</v>
          </cell>
          <cell r="N201">
            <v>1207.99905278506</v>
          </cell>
          <cell r="O201">
            <v>1207.99899588065</v>
          </cell>
          <cell r="P201">
            <v>1207.9990353887099</v>
          </cell>
        </row>
        <row r="202">
          <cell r="B202" t="str">
            <v>CO2_E</v>
          </cell>
          <cell r="C202" t="str">
            <v>VAR_fout</v>
          </cell>
          <cell r="D202" t="str">
            <v>ENGA-CCS</v>
          </cell>
          <cell r="K202">
            <v>4.4819225105506599E-4</v>
          </cell>
          <cell r="L202">
            <v>1.22661066382737E-2</v>
          </cell>
          <cell r="M202">
            <v>272.03301404686903</v>
          </cell>
          <cell r="N202">
            <v>308.50906697400598</v>
          </cell>
          <cell r="O202">
            <v>313.30057804917499</v>
          </cell>
          <cell r="P202">
            <v>318.00672775958998</v>
          </cell>
        </row>
        <row r="203">
          <cell r="B203" t="str">
            <v>CO2_E</v>
          </cell>
          <cell r="C203" t="str">
            <v>VAR_fout</v>
          </cell>
          <cell r="D203" t="str">
            <v>CHPWSTCCS</v>
          </cell>
          <cell r="J203">
            <v>708.80248808879105</v>
          </cell>
          <cell r="K203">
            <v>1269.4707225346101</v>
          </cell>
          <cell r="L203">
            <v>1223.15862590663</v>
          </cell>
          <cell r="M203">
            <v>1223.1583765467201</v>
          </cell>
          <cell r="N203">
            <v>1223.1584400343099</v>
          </cell>
          <cell r="O203">
            <v>1223.1583380362799</v>
          </cell>
          <cell r="P203">
            <v>1223.1584461949899</v>
          </cell>
        </row>
        <row r="204">
          <cell r="B204" t="str">
            <v>CO2_E</v>
          </cell>
          <cell r="C204" t="str">
            <v>VAR_fout</v>
          </cell>
          <cell r="D204" t="str">
            <v>HPLNGA</v>
          </cell>
          <cell r="E204">
            <v>114.383476882233</v>
          </cell>
          <cell r="F204">
            <v>98.306157793212506</v>
          </cell>
          <cell r="G204">
            <v>97.358759492170904</v>
          </cell>
        </row>
        <row r="205">
          <cell r="B205" t="str">
            <v>CO2_E</v>
          </cell>
          <cell r="C205" t="str">
            <v>VAR_fout</v>
          </cell>
          <cell r="D205" t="str">
            <v>CHPWST</v>
          </cell>
          <cell r="E205">
            <v>2843.2556716316599</v>
          </cell>
          <cell r="F205">
            <v>2574.9225825831099</v>
          </cell>
          <cell r="G205">
            <v>2611.0176963732501</v>
          </cell>
          <cell r="H205">
            <v>2556.3783998809099</v>
          </cell>
          <cell r="I205">
            <v>2535.9315267359998</v>
          </cell>
          <cell r="J205">
            <v>1801.53353253879</v>
          </cell>
          <cell r="K205">
            <v>979.21675355924594</v>
          </cell>
          <cell r="L205">
            <v>995.53774914481596</v>
          </cell>
          <cell r="M205">
            <v>995.53764846472495</v>
          </cell>
          <cell r="N205">
            <v>995.53745706698101</v>
          </cell>
          <cell r="O205">
            <v>995.53751592456399</v>
          </cell>
          <cell r="P205">
            <v>995.53766816444499</v>
          </cell>
        </row>
        <row r="206">
          <cell r="B206" t="str">
            <v>CO2_E</v>
          </cell>
          <cell r="C206" t="str">
            <v>VAR_fout</v>
          </cell>
          <cell r="D206" t="str">
            <v>CHPNGA</v>
          </cell>
          <cell r="E206">
            <v>206.952797864264</v>
          </cell>
          <cell r="F206">
            <v>2.3846011561558699E-2</v>
          </cell>
          <cell r="G206">
            <v>0.12128473731704199</v>
          </cell>
          <cell r="M206">
            <v>1.8867601416336199E-3</v>
          </cell>
          <cell r="N206">
            <v>2.8152223715820499E-3</v>
          </cell>
          <cell r="O206">
            <v>2.62801784143659E-3</v>
          </cell>
          <cell r="P206">
            <v>5.4514914779743998E-3</v>
          </cell>
        </row>
        <row r="207">
          <cell r="B207" t="str">
            <v>CO2_E</v>
          </cell>
          <cell r="C207" t="str">
            <v>VAR_fout</v>
          </cell>
          <cell r="D207" t="str">
            <v>EWSTINC</v>
          </cell>
          <cell r="E207">
            <v>1689.29325185021</v>
          </cell>
          <cell r="F207">
            <v>1895.8839586111201</v>
          </cell>
          <cell r="G207">
            <v>1926.5447827943101</v>
          </cell>
          <cell r="H207">
            <v>1920.6431539862499</v>
          </cell>
          <cell r="I207">
            <v>1944.97447178375</v>
          </cell>
          <cell r="J207">
            <v>1411.11300063004</v>
          </cell>
          <cell r="K207">
            <v>1162.20602393831</v>
          </cell>
          <cell r="L207">
            <v>1208.08517533965</v>
          </cell>
          <cell r="M207">
            <v>1208.0848734215001</v>
          </cell>
          <cell r="N207">
            <v>1208.0850094278301</v>
          </cell>
          <cell r="O207">
            <v>1208.0848828721601</v>
          </cell>
          <cell r="P207">
            <v>1208.0849391162701</v>
          </cell>
        </row>
        <row r="208">
          <cell r="B208" t="str">
            <v>CO2_E</v>
          </cell>
          <cell r="C208" t="str">
            <v>VAR_fout</v>
          </cell>
          <cell r="D208" t="str">
            <v>ENGA-GTCC</v>
          </cell>
          <cell r="J208">
            <v>4.6903497278124597E-4</v>
          </cell>
          <cell r="K208">
            <v>4.3639338473008902E-4</v>
          </cell>
          <cell r="L208">
            <v>1.1871445883845699E-2</v>
          </cell>
          <cell r="M208">
            <v>6.9944232724655095E-2</v>
          </cell>
          <cell r="N208">
            <v>5.7205060705426802E-2</v>
          </cell>
          <cell r="O208">
            <v>6.5736639103199102E-2</v>
          </cell>
          <cell r="P208">
            <v>0.106633704063703</v>
          </cell>
        </row>
        <row r="209">
          <cell r="B209" t="str">
            <v>CO2_E</v>
          </cell>
          <cell r="C209" t="str">
            <v>VAR_fout</v>
          </cell>
          <cell r="D209" t="str">
            <v>HPLOIL</v>
          </cell>
          <cell r="E209">
            <v>15.876383338503899</v>
          </cell>
          <cell r="F209">
            <v>16.0314238142231</v>
          </cell>
          <cell r="G209">
            <v>4.6118428198780199</v>
          </cell>
          <cell r="H209">
            <v>4.6258983213476004</v>
          </cell>
          <cell r="I209">
            <v>1.6301875768087899E-2</v>
          </cell>
          <cell r="J209">
            <v>2.10219021771826E-3</v>
          </cell>
          <cell r="K209">
            <v>4.3380052289509301E-3</v>
          </cell>
          <cell r="L209">
            <v>2.7134073039720799E-3</v>
          </cell>
          <cell r="M209">
            <v>2.7565542576331301E-5</v>
          </cell>
          <cell r="O209">
            <v>4.4157541714990701E-6</v>
          </cell>
          <cell r="P209">
            <v>8.6392901776642899E-7</v>
          </cell>
        </row>
        <row r="210">
          <cell r="B210" t="str">
            <v>CO2_E</v>
          </cell>
          <cell r="C210" t="str">
            <v>VAR_fout</v>
          </cell>
          <cell r="D210" t="str">
            <v>EOIL-ENG</v>
          </cell>
          <cell r="E210">
            <v>8.4545449962644899</v>
          </cell>
          <cell r="F210">
            <v>1.8302843184100099E-2</v>
          </cell>
          <cell r="G210">
            <v>0.19739869195179199</v>
          </cell>
          <cell r="H210">
            <v>3.3746925726172897E-2</v>
          </cell>
          <cell r="I210">
            <v>2.6398169125059601E-2</v>
          </cell>
          <cell r="J210">
            <v>36.451780451550199</v>
          </cell>
          <cell r="K210">
            <v>36.553320731050299</v>
          </cell>
          <cell r="L210">
            <v>1.06305505950009E-3</v>
          </cell>
          <cell r="M210">
            <v>0.13711351697094701</v>
          </cell>
          <cell r="N210">
            <v>0.14863628025961501</v>
          </cell>
          <cell r="O210">
            <v>7.3039185618547206E-2</v>
          </cell>
          <cell r="P210">
            <v>0.162820776490359</v>
          </cell>
        </row>
        <row r="211">
          <cell r="B211" t="str">
            <v>CO2_E</v>
          </cell>
          <cell r="C211" t="str">
            <v>VAR_fout</v>
          </cell>
          <cell r="D211" t="str">
            <v>ENGA-GTOC</v>
          </cell>
          <cell r="J211">
            <v>3.7048451597275701E-4</v>
          </cell>
          <cell r="K211">
            <v>6.6320122381807598E-5</v>
          </cell>
          <cell r="L211">
            <v>0.201242010924367</v>
          </cell>
          <cell r="M211">
            <v>8.2280039856714393E-2</v>
          </cell>
          <cell r="N211">
            <v>6.4385115501973303E-2</v>
          </cell>
          <cell r="O211">
            <v>6.5815677414832005E-2</v>
          </cell>
          <cell r="P211">
            <v>0.12678011373006701</v>
          </cell>
        </row>
        <row r="212">
          <cell r="B212" t="str">
            <v>CO2_E</v>
          </cell>
          <cell r="C212" t="str">
            <v>VAR_fout</v>
          </cell>
          <cell r="D212" t="str">
            <v>CHPOIL</v>
          </cell>
          <cell r="E212">
            <v>1.3238816378103799</v>
          </cell>
          <cell r="F212">
            <v>2.1232360785180201E-2</v>
          </cell>
          <cell r="G212">
            <v>0.20271386061103</v>
          </cell>
          <cell r="H212">
            <v>7.2937865117965905E-2</v>
          </cell>
          <cell r="I212">
            <v>2.7325728811564101E-2</v>
          </cell>
          <cell r="J212">
            <v>0.153368943480888</v>
          </cell>
          <cell r="K212">
            <v>0.12775778073980701</v>
          </cell>
          <cell r="L212">
            <v>8.4132900430739096E-4</v>
          </cell>
          <cell r="M212">
            <v>2.3723025725802298E-2</v>
          </cell>
          <cell r="N212">
            <v>2.63756231006653E-2</v>
          </cell>
          <cell r="O212">
            <v>2.5267921840934699E-2</v>
          </cell>
          <cell r="P212">
            <v>3.1891124205089702E-2</v>
          </cell>
        </row>
        <row r="213">
          <cell r="B213" t="str">
            <v>CO2_E</v>
          </cell>
          <cell r="C213" t="str">
            <v>VAR_comnet</v>
          </cell>
          <cell r="D213" t="str">
            <v>-</v>
          </cell>
          <cell r="E213">
            <v>4879.5400082009401</v>
          </cell>
          <cell r="F213">
            <v>4585.2075040172003</v>
          </cell>
          <cell r="G213">
            <v>4640.0544787694898</v>
          </cell>
          <cell r="H213">
            <v>4481.7541369793498</v>
          </cell>
          <cell r="I213">
            <v>4480.9760242934499</v>
          </cell>
          <cell r="J213">
            <v>4568.80717286038</v>
          </cell>
          <cell r="K213">
            <v>4620.1780365512304</v>
          </cell>
          <cell r="L213">
            <v>4635.0107628487904</v>
          </cell>
          <cell r="M213">
            <v>4907.1279402035098</v>
          </cell>
          <cell r="N213">
            <v>4943.5884435901298</v>
          </cell>
          <cell r="O213">
            <v>4948.3128026204004</v>
          </cell>
          <cell r="P213">
            <v>4953.2203946979098</v>
          </cell>
        </row>
        <row r="214">
          <cell r="B214" t="str">
            <v>CO2_I</v>
          </cell>
          <cell r="C214" t="str">
            <v>VAR_fout</v>
          </cell>
          <cell r="D214" t="str">
            <v>ITOT-CHPNGA</v>
          </cell>
          <cell r="E214">
            <v>108.06646522966901</v>
          </cell>
          <cell r="F214">
            <v>68.653931300804402</v>
          </cell>
          <cell r="G214">
            <v>8.3191990007591503</v>
          </cell>
          <cell r="H214">
            <v>56.496600773435901</v>
          </cell>
          <cell r="I214">
            <v>34.904372524009901</v>
          </cell>
          <cell r="J214">
            <v>104.753765958502</v>
          </cell>
          <cell r="K214">
            <v>67.084959923410494</v>
          </cell>
          <cell r="L214">
            <v>67.139891464868597</v>
          </cell>
          <cell r="M214">
            <v>67.114702908034502</v>
          </cell>
          <cell r="N214">
            <v>48.915600594731998</v>
          </cell>
          <cell r="O214">
            <v>67.174702345026702</v>
          </cell>
          <cell r="P214">
            <v>68.416497538845405</v>
          </cell>
        </row>
        <row r="215">
          <cell r="B215" t="str">
            <v>CO2_I</v>
          </cell>
          <cell r="C215" t="str">
            <v>VAR_fout</v>
          </cell>
          <cell r="D215" t="str">
            <v>ITOT-SWHNGABR</v>
          </cell>
          <cell r="E215">
            <v>2005.1531707573999</v>
          </cell>
          <cell r="F215">
            <v>1683.3321573550299</v>
          </cell>
          <cell r="G215">
            <v>1942.98460154913</v>
          </cell>
          <cell r="H215">
            <v>1441.2608469034701</v>
          </cell>
          <cell r="I215">
            <v>743.91164415313801</v>
          </cell>
          <cell r="J215">
            <v>809.83504096564002</v>
          </cell>
          <cell r="K215">
            <v>551.50572444734098</v>
          </cell>
          <cell r="L215">
            <v>65.126743462279407</v>
          </cell>
          <cell r="M215">
            <v>28.328563500929899</v>
          </cell>
          <cell r="N215">
            <v>60.797317004564597</v>
          </cell>
          <cell r="O215">
            <v>30.907060984021498</v>
          </cell>
          <cell r="P215">
            <v>28.420521736029599</v>
          </cell>
        </row>
        <row r="216">
          <cell r="B216" t="str">
            <v>CO2_I</v>
          </cell>
          <cell r="C216" t="str">
            <v>VAR_fout</v>
          </cell>
          <cell r="D216" t="str">
            <v>ITOT-CHPWSTCCS</v>
          </cell>
          <cell r="J216">
            <v>195.77434479695299</v>
          </cell>
          <cell r="K216">
            <v>991.30177214109301</v>
          </cell>
          <cell r="L216">
            <v>986.51696169561001</v>
          </cell>
          <cell r="M216">
            <v>986.45534241318705</v>
          </cell>
          <cell r="N216">
            <v>986.53610731245601</v>
          </cell>
          <cell r="O216">
            <v>986.501562177182</v>
          </cell>
          <cell r="P216">
            <v>986.55582702911295</v>
          </cell>
        </row>
        <row r="217">
          <cell r="B217" t="str">
            <v>CO2_I</v>
          </cell>
          <cell r="C217" t="str">
            <v>VAR_fout</v>
          </cell>
          <cell r="D217" t="str">
            <v>ITOT-SWHLFOBR</v>
          </cell>
          <cell r="E217">
            <v>655.76814508095197</v>
          </cell>
          <cell r="F217">
            <v>597.31576346608495</v>
          </cell>
          <cell r="G217">
            <v>589.70317191381798</v>
          </cell>
          <cell r="H217">
            <v>476.68442392163502</v>
          </cell>
          <cell r="I217">
            <v>356.57496304058202</v>
          </cell>
          <cell r="J217">
            <v>262.31713356876497</v>
          </cell>
          <cell r="K217">
            <v>131.55364960101099</v>
          </cell>
          <cell r="L217">
            <v>104.916887564569</v>
          </cell>
          <cell r="M217">
            <v>104.33291456723801</v>
          </cell>
          <cell r="N217">
            <v>104.332786033359</v>
          </cell>
          <cell r="O217">
            <v>56.899419006078098</v>
          </cell>
          <cell r="P217">
            <v>56.799209808735199</v>
          </cell>
        </row>
        <row r="218">
          <cell r="B218" t="str">
            <v>CO2_I</v>
          </cell>
          <cell r="C218" t="str">
            <v>VAR_fout</v>
          </cell>
          <cell r="D218" t="str">
            <v>ITOT-CHPNGACCS</v>
          </cell>
          <cell r="J218">
            <v>0.32017812220393699</v>
          </cell>
          <cell r="K218">
            <v>42.718127790251998</v>
          </cell>
          <cell r="L218">
            <v>42.817964695044999</v>
          </cell>
          <cell r="M218">
            <v>42.796939276126302</v>
          </cell>
          <cell r="N218">
            <v>31.3311198513526</v>
          </cell>
          <cell r="O218">
            <v>42.9552541440788</v>
          </cell>
          <cell r="P218">
            <v>44.2016704448369</v>
          </cell>
        </row>
        <row r="219">
          <cell r="B219" t="str">
            <v>CO2_I</v>
          </cell>
          <cell r="C219" t="str">
            <v>VAR_fout</v>
          </cell>
          <cell r="D219" t="str">
            <v>ITOT-CHPGFC</v>
          </cell>
          <cell r="H219">
            <v>1.2852385958357301E-2</v>
          </cell>
          <cell r="I219">
            <v>2.04987270943616E-2</v>
          </cell>
          <cell r="J219">
            <v>0.174583543117871</v>
          </cell>
          <cell r="K219">
            <v>0.12182149068208201</v>
          </cell>
          <cell r="L219">
            <v>3.9484722237262099E-2</v>
          </cell>
          <cell r="M219">
            <v>6.8044727410678102E-2</v>
          </cell>
          <cell r="N219">
            <v>3.7699528432583902E-2</v>
          </cell>
          <cell r="O219">
            <v>3.8833396763978401E-2</v>
          </cell>
          <cell r="P219">
            <v>3.4366837874328503E-2</v>
          </cell>
        </row>
        <row r="220">
          <cell r="B220" t="str">
            <v>CO2_I</v>
          </cell>
          <cell r="C220" t="str">
            <v>VAR_fout</v>
          </cell>
          <cell r="D220" t="str">
            <v>ITOT-SWHCOABR</v>
          </cell>
          <cell r="E220">
            <v>330.01221059364502</v>
          </cell>
          <cell r="F220">
            <v>321.17926328558099</v>
          </cell>
          <cell r="G220">
            <v>38.888069230596301</v>
          </cell>
          <cell r="H220">
            <v>9.6229445712927193E-3</v>
          </cell>
          <cell r="I220">
            <v>5.6906855133194599E-3</v>
          </cell>
          <cell r="J220">
            <v>4.1488985404854198E-2</v>
          </cell>
          <cell r="K220">
            <v>2.3020627900426999E-2</v>
          </cell>
          <cell r="L220">
            <v>1.25511599754865E-2</v>
          </cell>
          <cell r="M220">
            <v>1.6184702870304199E-2</v>
          </cell>
          <cell r="N220">
            <v>1.00231431469135E-2</v>
          </cell>
          <cell r="O220">
            <v>1.1199922357925199E-2</v>
          </cell>
          <cell r="P220">
            <v>5.04262367490652E-3</v>
          </cell>
        </row>
        <row r="221">
          <cell r="B221" t="str">
            <v>CO2_I</v>
          </cell>
          <cell r="C221" t="str">
            <v>VAR_fout</v>
          </cell>
          <cell r="D221" t="str">
            <v>ITOT-CHPOIL</v>
          </cell>
          <cell r="E221">
            <v>21.528660556225901</v>
          </cell>
          <cell r="F221">
            <v>51.244677258709501</v>
          </cell>
          <cell r="G221">
            <v>2.5619329847272398</v>
          </cell>
          <cell r="H221">
            <v>47.932982680977503</v>
          </cell>
          <cell r="I221">
            <v>47.947077975789</v>
          </cell>
          <cell r="M221">
            <v>0.59968023448786001</v>
          </cell>
          <cell r="N221">
            <v>0.58823312612565803</v>
          </cell>
          <cell r="O221">
            <v>48.021527711388401</v>
          </cell>
          <cell r="P221">
            <v>48.120056843396299</v>
          </cell>
        </row>
        <row r="222">
          <cell r="B222" t="str">
            <v>CO2_I</v>
          </cell>
          <cell r="C222" t="str">
            <v>VAR_fout</v>
          </cell>
          <cell r="D222" t="str">
            <v>ITOT-SWHWSTBR</v>
          </cell>
          <cell r="E222">
            <v>723.65824422268201</v>
          </cell>
          <cell r="F222">
            <v>749.83748711267594</v>
          </cell>
          <cell r="G222">
            <v>520.44708920918401</v>
          </cell>
          <cell r="H222">
            <v>514.63447428522704</v>
          </cell>
          <cell r="I222">
            <v>508.82249104266498</v>
          </cell>
          <cell r="J222">
            <v>506.25080551162802</v>
          </cell>
          <cell r="K222">
            <v>0.24863005201605101</v>
          </cell>
          <cell r="L222">
            <v>1.9495646305542701E-2</v>
          </cell>
          <cell r="M222">
            <v>6.3779714408689403E-2</v>
          </cell>
          <cell r="N222">
            <v>1.56728968466575E-2</v>
          </cell>
          <cell r="O222">
            <v>2.2838954062227801E-2</v>
          </cell>
          <cell r="P222">
            <v>5.5365288498064099E-3</v>
          </cell>
        </row>
        <row r="223">
          <cell r="B223" t="str">
            <v>CO2_I</v>
          </cell>
          <cell r="C223" t="str">
            <v>VAR_fout</v>
          </cell>
          <cell r="D223" t="str">
            <v>ITOT-SWHNGAHP</v>
          </cell>
          <cell r="G223">
            <v>7.70370839913746E-2</v>
          </cell>
          <cell r="H223">
            <v>3.2897411104292701E-2</v>
          </cell>
          <cell r="I223">
            <v>2.6484655802991301E-2</v>
          </cell>
          <cell r="J223">
            <v>24.103893071019399</v>
          </cell>
          <cell r="K223">
            <v>23.3786933832728</v>
          </cell>
          <cell r="L223">
            <v>20.621955657807199</v>
          </cell>
          <cell r="M223">
            <v>3.28190685484656</v>
          </cell>
          <cell r="N223">
            <v>0.46699833041880301</v>
          </cell>
          <cell r="O223">
            <v>0.46693872186965601</v>
          </cell>
          <cell r="P223">
            <v>0.46686264389187399</v>
          </cell>
        </row>
        <row r="224">
          <cell r="B224" t="str">
            <v>CO2_I</v>
          </cell>
          <cell r="C224" t="str">
            <v>VAR_fout</v>
          </cell>
          <cell r="D224" t="str">
            <v>ITOT-CHPWST</v>
          </cell>
          <cell r="E224">
            <v>344.47002825605898</v>
          </cell>
          <cell r="F224">
            <v>344.645152050126</v>
          </cell>
          <cell r="G224">
            <v>504.194929588533</v>
          </cell>
          <cell r="H224">
            <v>498.563960823755</v>
          </cell>
          <cell r="I224">
            <v>492.93322511858298</v>
          </cell>
          <cell r="J224">
            <v>294.67662311389398</v>
          </cell>
          <cell r="K224">
            <v>9.4699677449528202E-2</v>
          </cell>
          <cell r="L224">
            <v>5.24782556166489E-2</v>
          </cell>
          <cell r="M224">
            <v>6.7404799871179893E-2</v>
          </cell>
          <cell r="N224">
            <v>3.6950342890493801E-2</v>
          </cell>
          <cell r="O224">
            <v>6.3679526645493104E-2</v>
          </cell>
          <cell r="P224">
            <v>2.71729669869657E-2</v>
          </cell>
        </row>
        <row r="225">
          <cell r="B225" t="str">
            <v>CO2_I</v>
          </cell>
          <cell r="C225" t="str">
            <v>VAR_fout</v>
          </cell>
          <cell r="D225" t="str">
            <v>ITOT-SWHHFOBR</v>
          </cell>
          <cell r="E225">
            <v>210.21008537048601</v>
          </cell>
          <cell r="F225">
            <v>194.56226194504899</v>
          </cell>
          <cell r="G225">
            <v>7.2421305490769597E-2</v>
          </cell>
          <cell r="H225">
            <v>1.0210494752813E-2</v>
          </cell>
          <cell r="I225">
            <v>6.5301660346129302E-3</v>
          </cell>
          <cell r="J225">
            <v>4.2862427250292399E-2</v>
          </cell>
          <cell r="K225">
            <v>2.62652132516938E-2</v>
          </cell>
        </row>
        <row r="226">
          <cell r="B226" t="str">
            <v>CO2_I</v>
          </cell>
          <cell r="C226" t="str">
            <v>VAR_comnet</v>
          </cell>
          <cell r="D226" t="str">
            <v>-</v>
          </cell>
          <cell r="E226">
            <v>4398.8670100671197</v>
          </cell>
          <cell r="F226">
            <v>4010.77069377406</v>
          </cell>
          <cell r="G226">
            <v>3607.24845186623</v>
          </cell>
          <cell r="H226">
            <v>3035.6388726248902</v>
          </cell>
          <cell r="I226">
            <v>2185.1529780892101</v>
          </cell>
          <cell r="J226">
            <v>2198.2907200643799</v>
          </cell>
          <cell r="K226">
            <v>1808.05736434768</v>
          </cell>
          <cell r="L226">
            <v>1287.2644143243101</v>
          </cell>
          <cell r="M226">
            <v>1233.1254636994099</v>
          </cell>
          <cell r="N226">
            <v>1233.0685081643201</v>
          </cell>
          <cell r="O226">
            <v>1233.06301688947</v>
          </cell>
          <cell r="P226">
            <v>1233.05276500223</v>
          </cell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1.2258859431762999E-7</v>
          </cell>
          <cell r="I4">
            <v>2.8547338715979301E-7</v>
          </cell>
          <cell r="J4">
            <v>3.6235284939022E-7</v>
          </cell>
          <cell r="K4">
            <v>6.0197704991351305E-7</v>
          </cell>
          <cell r="L4">
            <v>3.2758303141099198E-5</v>
          </cell>
          <cell r="M4">
            <v>9.6974535955524694E-7</v>
          </cell>
          <cell r="N4">
            <v>1.7929465644495399E-5</v>
          </cell>
          <cell r="O4">
            <v>1.68804169916317E-6</v>
          </cell>
          <cell r="P4">
            <v>6.7734500580351502E-5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7.5061976914239904E-6</v>
          </cell>
          <cell r="K5">
            <v>1.33232112277336E-6</v>
          </cell>
          <cell r="L5">
            <v>1.6674671432598299E-5</v>
          </cell>
          <cell r="M5">
            <v>1.29928565865081E-7</v>
          </cell>
          <cell r="N5">
            <v>9.49618272112692E-7</v>
          </cell>
          <cell r="O5">
            <v>1.2884746533280799E-7</v>
          </cell>
          <cell r="P5">
            <v>3.0447536927598501E-5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9.9132930085398108E-7</v>
          </cell>
          <cell r="I6">
            <v>8.4574818878613393E-6</v>
          </cell>
          <cell r="J6">
            <v>1.7575422090999601E-7</v>
          </cell>
          <cell r="K6">
            <v>3.5088180311923498E-7</v>
          </cell>
          <cell r="L6">
            <v>2.1696199106700602E-6</v>
          </cell>
          <cell r="M6">
            <v>2.5528004702716102E-6</v>
          </cell>
          <cell r="N6">
            <v>3.7461273835566001E-6</v>
          </cell>
          <cell r="O6">
            <v>1.05950283616836E-6</v>
          </cell>
          <cell r="P6">
            <v>9.4360535122166093E-6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1.8031744784585901E-7</v>
          </cell>
          <cell r="I7">
            <v>7.5486871829696498E-7</v>
          </cell>
          <cell r="J7">
            <v>4.3814421562704E-5</v>
          </cell>
          <cell r="K7">
            <v>2.1818780112962301E-6</v>
          </cell>
          <cell r="L7">
            <v>2.36744559865712E-4</v>
          </cell>
          <cell r="M7">
            <v>0.18121205376201299</v>
          </cell>
          <cell r="N7">
            <v>0.47821905315209301</v>
          </cell>
          <cell r="O7">
            <v>0.22713955300234401</v>
          </cell>
          <cell r="P7">
            <v>2.7323324891577301E-2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1.34857584612358E-7</v>
          </cell>
          <cell r="F8">
            <v>7.0783044015255997E-8</v>
          </cell>
          <cell r="G8">
            <v>8.2011391378143997E-8</v>
          </cell>
          <cell r="H8">
            <v>1.00795645413787E-7</v>
          </cell>
          <cell r="I8">
            <v>1.9738018341608401E-7</v>
          </cell>
          <cell r="J8">
            <v>3.8636584405745498E-7</v>
          </cell>
          <cell r="K8">
            <v>6.7511703688649502E-7</v>
          </cell>
          <cell r="L8">
            <v>2.92568365474566E-6</v>
          </cell>
          <cell r="M8">
            <v>9.4916134552399098E-2</v>
          </cell>
          <cell r="N8">
            <v>0.54555332647122301</v>
          </cell>
          <cell r="O8">
            <v>3.0578935069520002E-6</v>
          </cell>
          <cell r="P8">
            <v>3.0213368183196801E-5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5.6701728545257299E-4</v>
          </cell>
          <cell r="K9">
            <v>1.9242709713776599E-4</v>
          </cell>
          <cell r="L9">
            <v>0.67870925424143902</v>
          </cell>
          <cell r="M9">
            <v>0.83801423271522202</v>
          </cell>
          <cell r="N9">
            <v>7.5253287098866499</v>
          </cell>
          <cell r="O9">
            <v>4.1792929628057696</v>
          </cell>
          <cell r="P9">
            <v>4.3518332857428002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4.0965832012083104E-3</v>
          </cell>
          <cell r="F10">
            <v>1.2575578926263899E-2</v>
          </cell>
          <cell r="G10">
            <v>1.2869272269533599E-7</v>
          </cell>
          <cell r="H10">
            <v>7.2849170467295499E-2</v>
          </cell>
          <cell r="I10">
            <v>0.116853989827453</v>
          </cell>
          <cell r="J10">
            <v>1.8836091582414501E-2</v>
          </cell>
          <cell r="K10">
            <v>0.16276779690608301</v>
          </cell>
          <cell r="L10">
            <v>7.3453159012990696E-2</v>
          </cell>
          <cell r="M10">
            <v>0.101349038487626</v>
          </cell>
          <cell r="N10">
            <v>5.8129268302564902E-2</v>
          </cell>
          <cell r="O10">
            <v>0.16907481443436601</v>
          </cell>
          <cell r="P10">
            <v>7.9749071994600101E-2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8.3273014376554497E-8</v>
          </cell>
          <cell r="F11">
            <v>7.1643217669374796E-8</v>
          </cell>
          <cell r="G11">
            <v>7.9495777452714306E-8</v>
          </cell>
          <cell r="H11">
            <v>9.3168009016308306E-8</v>
          </cell>
          <cell r="I11">
            <v>1.49350246202853E-7</v>
          </cell>
          <cell r="J11">
            <v>2.18885068816576E-7</v>
          </cell>
          <cell r="K11">
            <v>4.3078918248384598E-7</v>
          </cell>
          <cell r="L11">
            <v>2.00812242905587E-4</v>
          </cell>
          <cell r="M11">
            <v>1.99861945655383E-6</v>
          </cell>
          <cell r="N11">
            <v>5.6195714470278499E-5</v>
          </cell>
          <cell r="O11">
            <v>5.6195050606145396E-6</v>
          </cell>
          <cell r="P11">
            <v>2.5068090622694898E-4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1.43191407650766E-2</v>
          </cell>
          <cell r="F12">
            <v>7.7887291226811095E-2</v>
          </cell>
          <cell r="G12">
            <v>7.0138610922798805E-8</v>
          </cell>
          <cell r="H12">
            <v>7.6117913518057602E-8</v>
          </cell>
          <cell r="I12">
            <v>4.43512495178953E-7</v>
          </cell>
          <cell r="J12">
            <v>3.8190431628578402E-2</v>
          </cell>
          <cell r="K12">
            <v>5.37974404578523E-2</v>
          </cell>
          <cell r="L12">
            <v>1.39140097649242E-2</v>
          </cell>
          <cell r="M12">
            <v>0.163101976964698</v>
          </cell>
          <cell r="N12">
            <v>5.4319006126678802E-2</v>
          </cell>
          <cell r="O12">
            <v>5.6588521867884801E-2</v>
          </cell>
          <cell r="P12">
            <v>1.67158386269519E-2</v>
          </cell>
        </row>
        <row r="13">
          <cell r="A13" t="str">
            <v>-</v>
          </cell>
          <cell r="B13" t="str">
            <v>VAR_ncap</v>
          </cell>
          <cell r="C13" t="str">
            <v>SUP_WODH2</v>
          </cell>
          <cell r="L13">
            <v>1.3145982816081799E-5</v>
          </cell>
          <cell r="M13">
            <v>3.1444119329424902E-7</v>
          </cell>
          <cell r="N13">
            <v>4.0818874770365902E-6</v>
          </cell>
          <cell r="O13">
            <v>2.92727105042234E-7</v>
          </cell>
          <cell r="P13">
            <v>1.85114579248694E-5</v>
          </cell>
        </row>
        <row r="14">
          <cell r="A14" t="str">
            <v>-</v>
          </cell>
          <cell r="B14" t="str">
            <v>VAR_ncap</v>
          </cell>
          <cell r="C14" t="str">
            <v>ESOL-PV_A</v>
          </cell>
          <cell r="H14">
            <v>0.18449521936941199</v>
          </cell>
          <cell r="I14">
            <v>6.41547108919325E-7</v>
          </cell>
          <cell r="J14">
            <v>0.214007378033853</v>
          </cell>
          <cell r="K14">
            <v>0.39820015663192299</v>
          </cell>
          <cell r="L14">
            <v>1.5510935179207099E-5</v>
          </cell>
          <cell r="M14">
            <v>7.3982343121021697E-6</v>
          </cell>
          <cell r="N14">
            <v>3.0918698916998001E-6</v>
          </cell>
          <cell r="O14">
            <v>6.9335385080626704E-6</v>
          </cell>
        </row>
        <row r="15">
          <cell r="A15" t="str">
            <v>-</v>
          </cell>
          <cell r="B15" t="str">
            <v>VAR_ncap</v>
          </cell>
          <cell r="C15" t="str">
            <v>D-TNGA</v>
          </cell>
          <cell r="E15">
            <v>2.8275798654247001E-8</v>
          </cell>
          <cell r="F15">
            <v>1.9103190958644199E-8</v>
          </cell>
          <cell r="G15">
            <v>2.0763755689014102E-8</v>
          </cell>
          <cell r="H15">
            <v>2.1061837208101402E-8</v>
          </cell>
          <cell r="I15">
            <v>2.8400012350711001E-8</v>
          </cell>
          <cell r="J15">
            <v>3.64375969727934E-8</v>
          </cell>
          <cell r="K15">
            <v>4.7342640022940802E-8</v>
          </cell>
          <cell r="L15">
            <v>6.8690603125777198E-8</v>
          </cell>
        </row>
        <row r="16">
          <cell r="A16" t="str">
            <v>-</v>
          </cell>
          <cell r="B16" t="str">
            <v>VAR_ncap</v>
          </cell>
          <cell r="C16" t="str">
            <v>SUP_ELCH2_D</v>
          </cell>
          <cell r="H16">
            <v>1.9939567612251901E-6</v>
          </cell>
          <cell r="I16">
            <v>1.3919535537906899E-5</v>
          </cell>
          <cell r="J16">
            <v>4.1143472800938499E-5</v>
          </cell>
          <cell r="K16">
            <v>2.33210502818513E-5</v>
          </cell>
          <cell r="L16">
            <v>1.2938012314638799E-5</v>
          </cell>
          <cell r="M16">
            <v>8.4042613413418807E-6</v>
          </cell>
          <cell r="N16">
            <v>4.9241460441775302E-5</v>
          </cell>
          <cell r="O16">
            <v>5.3623692657109896E-6</v>
          </cell>
          <cell r="P16">
            <v>5.9149228242779798E-5</v>
          </cell>
        </row>
        <row r="17">
          <cell r="A17" t="str">
            <v>-</v>
          </cell>
          <cell r="B17" t="str">
            <v>VAR_ncap</v>
          </cell>
          <cell r="C17" t="str">
            <v>SUP_H2GSL</v>
          </cell>
          <cell r="H17">
            <v>1.9025985072854701E-7</v>
          </cell>
          <cell r="I17">
            <v>1.89387007460332E-6</v>
          </cell>
          <cell r="J17">
            <v>2.1721611129197401E-2</v>
          </cell>
          <cell r="K17">
            <v>9.0238795764531001E-7</v>
          </cell>
          <cell r="L17">
            <v>2.79852466076562E-6</v>
          </cell>
          <cell r="M17">
            <v>1.26106379340478E-6</v>
          </cell>
          <cell r="N17">
            <v>1.0136422617769101E-2</v>
          </cell>
          <cell r="O17">
            <v>1.9174273333963699E-6</v>
          </cell>
          <cell r="P17">
            <v>1.40717217293266E-5</v>
          </cell>
        </row>
        <row r="18">
          <cell r="A18" t="str">
            <v>-</v>
          </cell>
          <cell r="B18" t="str">
            <v>VAR_ncap</v>
          </cell>
          <cell r="C18" t="str">
            <v>ESOL-PV_E</v>
          </cell>
          <cell r="H18">
            <v>3.9199785577045902E-7</v>
          </cell>
          <cell r="I18">
            <v>4.4038103497880602E-5</v>
          </cell>
          <cell r="J18">
            <v>1.11345730716332E-4</v>
          </cell>
          <cell r="K18">
            <v>5.7614093759642399E-5</v>
          </cell>
          <cell r="L18">
            <v>2.54354158391195E-6</v>
          </cell>
          <cell r="M18">
            <v>1.00547103104229E-6</v>
          </cell>
          <cell r="N18">
            <v>2.77565337107773E-6</v>
          </cell>
          <cell r="O18">
            <v>3.6669122726560199E-6</v>
          </cell>
          <cell r="P18">
            <v>1.4960595279432001E-4</v>
          </cell>
        </row>
        <row r="19">
          <cell r="A19" t="str">
            <v>-</v>
          </cell>
          <cell r="B19" t="str">
            <v>VAR_ncap</v>
          </cell>
          <cell r="C19" t="str">
            <v>D-SNGA</v>
          </cell>
          <cell r="E19">
            <v>7.5222644944573798E-8</v>
          </cell>
          <cell r="F19">
            <v>3.5007128677971701E-8</v>
          </cell>
          <cell r="G19">
            <v>5.64693450065887E-8</v>
          </cell>
          <cell r="H19">
            <v>6.5452306170614704E-8</v>
          </cell>
          <cell r="I19">
            <v>1.04030353426468E-7</v>
          </cell>
          <cell r="J19">
            <v>1.5295375993665301E-7</v>
          </cell>
          <cell r="K19">
            <v>2.7724420686700601E-7</v>
          </cell>
          <cell r="L19">
            <v>0.59009541001733601</v>
          </cell>
          <cell r="M19">
            <v>1.5188766365580399E-7</v>
          </cell>
          <cell r="N19">
            <v>3.67931432129056E-7</v>
          </cell>
          <cell r="O19">
            <v>4.6604863760564502E-7</v>
          </cell>
          <cell r="P19">
            <v>2.1654712840767199E-6</v>
          </cell>
        </row>
        <row r="20">
          <cell r="A20" t="str">
            <v>-</v>
          </cell>
          <cell r="B20" t="str">
            <v>VAR_ncap</v>
          </cell>
          <cell r="C20" t="str">
            <v>SUP_MNRBIO</v>
          </cell>
          <cell r="E20">
            <v>4.9244394543744303E-2</v>
          </cell>
          <cell r="F20">
            <v>8.1611662000699497E-2</v>
          </cell>
          <cell r="G20">
            <v>3.1542152578435699E-2</v>
          </cell>
          <cell r="H20">
            <v>1.1847957251105699E-6</v>
          </cell>
          <cell r="I20">
            <v>2.2134942965232801E-6</v>
          </cell>
          <cell r="J20">
            <v>6.0266495725675898E-2</v>
          </cell>
          <cell r="K20">
            <v>9.6590531553013795E-2</v>
          </cell>
          <cell r="L20">
            <v>8.6756769434596398E-2</v>
          </cell>
          <cell r="M20">
            <v>7.9864852043987807E-3</v>
          </cell>
          <cell r="N20">
            <v>5.22840349599588E-2</v>
          </cell>
          <cell r="O20">
            <v>9.6590723263807896E-2</v>
          </cell>
          <cell r="P20">
            <v>8.6764517978042396E-2</v>
          </cell>
        </row>
        <row r="21">
          <cell r="A21" t="str">
            <v>-</v>
          </cell>
          <cell r="B21" t="str">
            <v>VAR_ncap</v>
          </cell>
          <cell r="C21" t="str">
            <v>D-RNGA</v>
          </cell>
          <cell r="E21">
            <v>5.5583395114518298E-8</v>
          </cell>
          <cell r="F21">
            <v>2.81010074551305E-8</v>
          </cell>
          <cell r="G21">
            <v>3.53327349166716E-8</v>
          </cell>
          <cell r="H21">
            <v>3.7951179283471402E-8</v>
          </cell>
          <cell r="I21">
            <v>6.3231960070077505E-8</v>
          </cell>
          <cell r="J21">
            <v>5.5989677967092502E-8</v>
          </cell>
          <cell r="K21">
            <v>9.0060299475512398E-8</v>
          </cell>
          <cell r="L21">
            <v>7.1237454330018099E-7</v>
          </cell>
          <cell r="M21">
            <v>0.45961314778844498</v>
          </cell>
          <cell r="N21">
            <v>2.9615860968195799E-7</v>
          </cell>
          <cell r="O21">
            <v>3.7076612924210602E-7</v>
          </cell>
          <cell r="P21">
            <v>1.5130655888130299E-6</v>
          </cell>
        </row>
        <row r="22">
          <cell r="A22" t="str">
            <v>-</v>
          </cell>
          <cell r="B22" t="str">
            <v>VAR_ncap</v>
          </cell>
          <cell r="C22" t="str">
            <v>SUP_WSTHTGBIOCCS</v>
          </cell>
          <cell r="J22">
            <v>2.70830506052876E-6</v>
          </cell>
          <cell r="K22">
            <v>3.2226329837099601E-7</v>
          </cell>
          <cell r="L22">
            <v>1.04319813918036E-5</v>
          </cell>
          <cell r="M22">
            <v>4.2832635947073901E-8</v>
          </cell>
          <cell r="N22">
            <v>3.72031186546113E-7</v>
          </cell>
          <cell r="O22">
            <v>1.5051888022768001E-7</v>
          </cell>
          <cell r="P22">
            <v>1.4100919705429001E-5</v>
          </cell>
        </row>
        <row r="23">
          <cell r="A23" t="str">
            <v>-</v>
          </cell>
          <cell r="B23" t="str">
            <v>VAR_ncap</v>
          </cell>
          <cell r="C23" t="str">
            <v>SUP_WODBIO</v>
          </cell>
          <cell r="E23">
            <v>2.2396420781390699E-7</v>
          </cell>
          <cell r="F23">
            <v>7.4830862243166899E-6</v>
          </cell>
          <cell r="G23">
            <v>1.1150960530101601E-6</v>
          </cell>
          <cell r="H23">
            <v>1.07478690977719E-5</v>
          </cell>
          <cell r="I23">
            <v>2.7619478508780199E-6</v>
          </cell>
          <cell r="J23">
            <v>2.7835279479384799E-7</v>
          </cell>
          <cell r="K23">
            <v>4.8371302234608798E-6</v>
          </cell>
          <cell r="L23">
            <v>5.2772985954518501E-6</v>
          </cell>
          <cell r="M23">
            <v>3.0847625410058202E-7</v>
          </cell>
          <cell r="N23">
            <v>7.0509998970019497E-6</v>
          </cell>
          <cell r="O23">
            <v>1.8454531259555699E-6</v>
          </cell>
          <cell r="P23">
            <v>2.4455610483473099E-5</v>
          </cell>
        </row>
        <row r="24">
          <cell r="A24" t="str">
            <v>-</v>
          </cell>
          <cell r="B24" t="str">
            <v>VAR_ncap</v>
          </cell>
          <cell r="C24" t="str">
            <v>SUP_ELCH2_SOEC</v>
          </cell>
          <cell r="J24">
            <v>1.428947576502E-4</v>
          </cell>
          <cell r="K24">
            <v>8.4597852206769905E-5</v>
          </cell>
          <cell r="L24">
            <v>1.4099893582959701E-4</v>
          </cell>
          <cell r="M24">
            <v>1.99235387845455E-6</v>
          </cell>
          <cell r="N24">
            <v>2.3032716914769301E-4</v>
          </cell>
          <cell r="O24">
            <v>2.2496886932245499E-6</v>
          </cell>
          <cell r="P24">
            <v>4.4932256578205802E-4</v>
          </cell>
        </row>
        <row r="25">
          <cell r="A25" t="str">
            <v>-</v>
          </cell>
          <cell r="B25" t="str">
            <v>VAR_ncap</v>
          </cell>
          <cell r="C25" t="str">
            <v>SUP_WODH2CCS</v>
          </cell>
          <cell r="L25">
            <v>7.5671197159490305E-2</v>
          </cell>
          <cell r="M25">
            <v>0.109412924064057</v>
          </cell>
          <cell r="N25">
            <v>2.8765100892132098E-3</v>
          </cell>
          <cell r="O25">
            <v>2.0728945183424399E-2</v>
          </cell>
          <cell r="P25">
            <v>1.0517449462016E-2</v>
          </cell>
        </row>
        <row r="26">
          <cell r="A26" t="str">
            <v>-</v>
          </cell>
          <cell r="B26" t="str">
            <v>VAR_ncap</v>
          </cell>
          <cell r="C26" t="str">
            <v>SUP_WODBIOCCS</v>
          </cell>
          <cell r="J26">
            <v>7.7468359144707298E-6</v>
          </cell>
          <cell r="K26">
            <v>1.7941361695463201E-6</v>
          </cell>
          <cell r="L26">
            <v>8.6195647867677705E-6</v>
          </cell>
          <cell r="M26">
            <v>8.58149624041711E-8</v>
          </cell>
          <cell r="N26">
            <v>8.2726615849361603E-6</v>
          </cell>
          <cell r="O26">
            <v>3.10549639447645E-7</v>
          </cell>
          <cell r="P26">
            <v>2.2109629724867E-5</v>
          </cell>
        </row>
        <row r="27">
          <cell r="A27" t="str">
            <v>-</v>
          </cell>
          <cell r="B27" t="str">
            <v>VAR_ncap</v>
          </cell>
          <cell r="C27" t="str">
            <v>SUP_NGAH2CCS</v>
          </cell>
          <cell r="J27">
            <v>1.6060729985349301E-7</v>
          </cell>
          <cell r="K27">
            <v>3.8144841512632002E-7</v>
          </cell>
          <cell r="L27">
            <v>2.53111602401188E-5</v>
          </cell>
          <cell r="M27">
            <v>3.8419939232752798E-7</v>
          </cell>
          <cell r="N27">
            <v>6.9283196498082903E-6</v>
          </cell>
          <cell r="O27">
            <v>6.8998972650486198E-7</v>
          </cell>
          <cell r="P27">
            <v>2.9383216540662601E-5</v>
          </cell>
        </row>
        <row r="28">
          <cell r="A28" t="str">
            <v>-</v>
          </cell>
          <cell r="B28" t="str">
            <v>VAR_ncap</v>
          </cell>
          <cell r="C28" t="str">
            <v>SUP_ELCH2</v>
          </cell>
          <cell r="E28">
            <v>1.9949867843893301E-4</v>
          </cell>
          <cell r="F28">
            <v>1.04823164690639E-4</v>
          </cell>
          <cell r="G28">
            <v>1.4747169605679201E-6</v>
          </cell>
          <cell r="H28">
            <v>2.8363857677401998E-3</v>
          </cell>
          <cell r="I28">
            <v>0.50339534456394897</v>
          </cell>
          <cell r="J28">
            <v>8.4756844406509005E-2</v>
          </cell>
          <cell r="K28">
            <v>5.0344997639999001E-2</v>
          </cell>
          <cell r="L28">
            <v>0.255368854156376</v>
          </cell>
          <cell r="M28">
            <v>0.42536019215757997</v>
          </cell>
          <cell r="N28">
            <v>0.76863995469469204</v>
          </cell>
          <cell r="O28">
            <v>0.287069433576851</v>
          </cell>
          <cell r="P28">
            <v>0.26426744869088598</v>
          </cell>
        </row>
        <row r="29">
          <cell r="A29" t="str">
            <v>-</v>
          </cell>
          <cell r="B29" t="str">
            <v>VAR_ncap</v>
          </cell>
          <cell r="C29" t="str">
            <v>CT_CWODBDS</v>
          </cell>
          <cell r="E29">
            <v>4.9857605224170597E-8</v>
          </cell>
          <cell r="F29">
            <v>2.6827817812898299E-8</v>
          </cell>
          <cell r="G29">
            <v>1.9459134945108998E-8</v>
          </cell>
          <cell r="H29">
            <v>4.34037790393916E-8</v>
          </cell>
          <cell r="I29">
            <v>8.7230933000335902E-6</v>
          </cell>
          <cell r="J29">
            <v>4.8775268599993405E-7</v>
          </cell>
          <cell r="K29">
            <v>4.0881308704602798E-7</v>
          </cell>
          <cell r="L29">
            <v>6.3617494415752697E-6</v>
          </cell>
          <cell r="M29">
            <v>7.5337793574343601E-7</v>
          </cell>
          <cell r="N29">
            <v>9.60719724652938E-6</v>
          </cell>
          <cell r="O29">
            <v>2.7977645836677897E-7</v>
          </cell>
          <cell r="P29">
            <v>2.3915123484424201E-5</v>
          </cell>
        </row>
        <row r="30">
          <cell r="A30" t="str">
            <v>-</v>
          </cell>
          <cell r="B30" t="str">
            <v>VAR_ncap</v>
          </cell>
          <cell r="C30" t="str">
            <v>CT_CWODETHCCS</v>
          </cell>
          <cell r="J30">
            <v>5.0699519279946297E-6</v>
          </cell>
          <cell r="K30">
            <v>3.73384905227788E-7</v>
          </cell>
          <cell r="L30">
            <v>3.5746361058329202E-6</v>
          </cell>
          <cell r="M30">
            <v>7.5217894128690197E-8</v>
          </cell>
          <cell r="N30">
            <v>7.4024562538690104E-6</v>
          </cell>
          <cell r="O30">
            <v>2.0833808391309599E-7</v>
          </cell>
          <cell r="P30">
            <v>1.5900220419081499E-5</v>
          </cell>
        </row>
        <row r="31">
          <cell r="A31" t="str">
            <v>-</v>
          </cell>
          <cell r="B31" t="str">
            <v>VAR_ncap</v>
          </cell>
          <cell r="C31" t="str">
            <v>CT_CWODPLT</v>
          </cell>
          <cell r="E31">
            <v>0.161126616237979</v>
          </cell>
          <cell r="F31">
            <v>4.72836998757011E-2</v>
          </cell>
          <cell r="G31">
            <v>8.4464538308197904E-7</v>
          </cell>
          <cell r="H31">
            <v>3.3296332612587801E-6</v>
          </cell>
          <cell r="I31">
            <v>0.17106055964429301</v>
          </cell>
          <cell r="J31">
            <v>0.18829152255308201</v>
          </cell>
          <cell r="K31">
            <v>0.10932484500242599</v>
          </cell>
          <cell r="L31">
            <v>1.7344382771661799E-2</v>
          </cell>
          <cell r="M31">
            <v>9.7947996966803702E-2</v>
          </cell>
          <cell r="N31">
            <v>0.227200191544288</v>
          </cell>
          <cell r="O31">
            <v>0.10993766317195899</v>
          </cell>
          <cell r="P31">
            <v>8.1683312572867692E-3</v>
          </cell>
        </row>
        <row r="32">
          <cell r="A32" t="str">
            <v>-</v>
          </cell>
          <cell r="B32" t="str">
            <v>VAR_ncap</v>
          </cell>
          <cell r="C32" t="str">
            <v>D-DH2</v>
          </cell>
          <cell r="H32">
            <v>9.79147994323815E-6</v>
          </cell>
          <cell r="I32">
            <v>1.9058159921989699E-5</v>
          </cell>
          <cell r="J32">
            <v>7.1786380016201904E-5</v>
          </cell>
          <cell r="K32">
            <v>1.46070349022689E-5</v>
          </cell>
          <cell r="L32">
            <v>4.50791707285213E-5</v>
          </cell>
          <cell r="M32">
            <v>2.0751951877860801E-6</v>
          </cell>
          <cell r="N32">
            <v>3.2799029890588298E-5</v>
          </cell>
          <cell r="O32">
            <v>5.6168308093815303E-6</v>
          </cell>
          <cell r="P32">
            <v>1.60559694514882E-4</v>
          </cell>
        </row>
        <row r="33">
          <cell r="A33" t="str">
            <v>-</v>
          </cell>
          <cell r="B33" t="str">
            <v>VAR_ncap</v>
          </cell>
          <cell r="C33" t="str">
            <v>CT_CWODETH</v>
          </cell>
          <cell r="E33">
            <v>4.8282934333477396E-3</v>
          </cell>
          <cell r="F33">
            <v>5.0956084271729602E-8</v>
          </cell>
          <cell r="G33">
            <v>7.3638043941143202E-8</v>
          </cell>
          <cell r="H33">
            <v>5.1765292626889198E-8</v>
          </cell>
          <cell r="I33">
            <v>4.7781241722830296E-7</v>
          </cell>
          <cell r="J33">
            <v>2.52266805417601E-6</v>
          </cell>
          <cell r="K33">
            <v>3.0951558049304701E-6</v>
          </cell>
          <cell r="L33">
            <v>4.4831005351403401E-6</v>
          </cell>
          <cell r="M33">
            <v>3.24386907633341E-7</v>
          </cell>
          <cell r="N33">
            <v>7.0224658770646598E-6</v>
          </cell>
          <cell r="O33">
            <v>6.0630253180662502E-7</v>
          </cell>
          <cell r="P33">
            <v>1.89475437049296E-5</v>
          </cell>
        </row>
        <row r="34">
          <cell r="A34" t="str">
            <v>-</v>
          </cell>
          <cell r="B34" t="str">
            <v>VAR_ncap</v>
          </cell>
          <cell r="C34" t="str">
            <v>D-INGA</v>
          </cell>
          <cell r="E34">
            <v>1.6931165082080201E-7</v>
          </cell>
          <cell r="F34">
            <v>1.0921016484054599E-7</v>
          </cell>
          <cell r="G34">
            <v>1.43652319454265E-7</v>
          </cell>
          <cell r="H34">
            <v>2.1936796748272799E-7</v>
          </cell>
          <cell r="I34">
            <v>4.1763446916845201E-7</v>
          </cell>
          <cell r="J34">
            <v>7.1380574497149399E-7</v>
          </cell>
          <cell r="K34">
            <v>1.04054629053316E-6</v>
          </cell>
          <cell r="L34">
            <v>0.27340178517716701</v>
          </cell>
          <cell r="M34">
            <v>1.9345386278055401E-6</v>
          </cell>
          <cell r="N34">
            <v>3.8989447715655198E-6</v>
          </cell>
          <cell r="O34">
            <v>2.0170391886422498E-6</v>
          </cell>
          <cell r="P34">
            <v>1.59377790996307E-5</v>
          </cell>
        </row>
        <row r="35">
          <cell r="A35" t="str">
            <v>-</v>
          </cell>
          <cell r="B35" t="str">
            <v>VAR_ncap</v>
          </cell>
          <cell r="C35" t="str">
            <v>SUP_H2DSL</v>
          </cell>
          <cell r="H35">
            <v>3.76609197117125E-7</v>
          </cell>
          <cell r="I35">
            <v>2.1127201165449698E-6</v>
          </cell>
          <cell r="J35">
            <v>2.35674268651048E-4</v>
          </cell>
          <cell r="K35">
            <v>1.06607645058605E-6</v>
          </cell>
          <cell r="L35">
            <v>1.90015590352334E-6</v>
          </cell>
          <cell r="M35">
            <v>1.5477804340585899E-6</v>
          </cell>
          <cell r="N35">
            <v>1.25415392985887E-4</v>
          </cell>
          <cell r="O35">
            <v>2.7171701402194901E-6</v>
          </cell>
          <cell r="P35">
            <v>1.1782963168946101E-4</v>
          </cell>
        </row>
        <row r="36">
          <cell r="A36" t="str">
            <v>-</v>
          </cell>
          <cell r="B36" t="str">
            <v>VAR_ncap</v>
          </cell>
          <cell r="C36" t="str">
            <v>SUP_DAC</v>
          </cell>
          <cell r="J36">
            <v>5.1725774414957499E-4</v>
          </cell>
          <cell r="K36">
            <v>1.3516660271754499E-4</v>
          </cell>
          <cell r="L36">
            <v>12.1949410306765</v>
          </cell>
          <cell r="M36">
            <v>14.983415442384601</v>
          </cell>
          <cell r="N36">
            <v>152.75893345662001</v>
          </cell>
          <cell r="O36">
            <v>97.957102845624902</v>
          </cell>
          <cell r="P36">
            <v>98.968408123258001</v>
          </cell>
        </row>
        <row r="37">
          <cell r="A37" t="str">
            <v>-</v>
          </cell>
          <cell r="B37" t="str">
            <v>VAR_ncap</v>
          </cell>
          <cell r="C37" t="str">
            <v>CT_CWODBDSCCS</v>
          </cell>
          <cell r="J37">
            <v>7.0529744497762303E-6</v>
          </cell>
          <cell r="K37">
            <v>1.0121137302842601E-6</v>
          </cell>
          <cell r="L37">
            <v>0.18930619671472099</v>
          </cell>
          <cell r="M37">
            <v>1.0820835562966201E-2</v>
          </cell>
          <cell r="N37">
            <v>2.9231464309033099E-7</v>
          </cell>
          <cell r="O37">
            <v>1.7730608064972E-6</v>
          </cell>
          <cell r="P37">
            <v>0.21009924568979901</v>
          </cell>
        </row>
        <row r="38">
          <cell r="A38" t="str">
            <v>-</v>
          </cell>
          <cell r="B38" t="str">
            <v>VAR_cap</v>
          </cell>
          <cell r="C38" t="str">
            <v>SUP_NGAH2</v>
          </cell>
          <cell r="H38">
            <v>1.2258859431762999E-7</v>
          </cell>
          <cell r="I38">
            <v>3.2399031056558226E-7</v>
          </cell>
          <cell r="J38">
            <v>5.0582968069597105E-7</v>
          </cell>
          <cell r="K38">
            <v>8.4927015976658401E-7</v>
          </cell>
          <cell r="L38">
            <v>3.3588744422817752E-5</v>
          </cell>
          <cell r="M38">
            <v>3.4212807942389766E-5</v>
          </cell>
          <cell r="N38">
            <v>5.1483679262959826E-5</v>
          </cell>
          <cell r="O38">
            <v>5.223820395270549E-5</v>
          </cell>
          <cell r="P38">
            <v>1.1875225403205413E-4</v>
          </cell>
        </row>
        <row r="39">
          <cell r="A39" t="str">
            <v>-</v>
          </cell>
          <cell r="B39" t="str">
            <v>VAR_cap</v>
          </cell>
          <cell r="C39" t="str">
            <v>SUP_WSTHTGBIO</v>
          </cell>
          <cell r="J39">
            <v>7.5061976914239904E-6</v>
          </cell>
          <cell r="K39">
            <v>8.8114971669858256E-6</v>
          </cell>
          <cell r="L39">
            <v>2.5480066515259182E-5</v>
          </cell>
          <cell r="M39">
            <v>2.4394924483380942E-5</v>
          </cell>
          <cell r="N39">
            <v>1.8948650448743629E-5</v>
          </cell>
          <cell r="O39">
            <v>1.7708819048455886E-5</v>
          </cell>
          <cell r="P39">
            <v>3.1521014265120876E-5</v>
          </cell>
        </row>
        <row r="40">
          <cell r="A40" t="str">
            <v>-</v>
          </cell>
          <cell r="B40" t="str">
            <v>VAR_cap</v>
          </cell>
          <cell r="C40" t="str">
            <v>STG-H2</v>
          </cell>
          <cell r="H40">
            <v>9.9132930085398108E-7</v>
          </cell>
          <cell r="I40">
            <v>9.4156520823437293E-6</v>
          </cell>
          <cell r="J40">
            <v>9.2348950597795704E-6</v>
          </cell>
          <cell r="K40">
            <v>9.1227956836442539E-6</v>
          </cell>
          <cell r="L40">
            <v>1.0613307428220134E-5</v>
          </cell>
          <cell r="M40">
            <v>7.4309779366635996E-6</v>
          </cell>
          <cell r="N40">
            <v>8.413139623182474E-6</v>
          </cell>
          <cell r="O40">
            <v>9.0045619441450698E-6</v>
          </cell>
          <cell r="P40">
            <v>1.6102928871331728E-5</v>
          </cell>
        </row>
        <row r="41">
          <cell r="A41" t="str">
            <v>-</v>
          </cell>
          <cell r="B41" t="str">
            <v>VAR_cap</v>
          </cell>
          <cell r="C41" t="str">
            <v>SUP_H2NGA</v>
          </cell>
          <cell r="H41">
            <v>1.8031744784585901E-7</v>
          </cell>
          <cell r="I41">
            <v>7.4690802345666202E-7</v>
          </cell>
          <cell r="J41">
            <v>4.4544094994026533E-5</v>
          </cell>
          <cell r="K41">
            <v>4.6210736031680008E-5</v>
          </cell>
          <cell r="L41">
            <v>2.8274497233130356E-4</v>
          </cell>
          <cell r="M41">
            <v>0.18149380551245287</v>
          </cell>
          <cell r="N41">
            <v>0.65971090673843258</v>
          </cell>
          <cell r="O41">
            <v>0.88680670434240982</v>
          </cell>
          <cell r="P41">
            <v>0.9141275624721078</v>
          </cell>
        </row>
        <row r="42">
          <cell r="A42" t="str">
            <v>-</v>
          </cell>
          <cell r="B42" t="str">
            <v>VAR_cap</v>
          </cell>
          <cell r="C42" t="str">
            <v>D-ENGA</v>
          </cell>
          <cell r="E42">
            <v>1.0275121293985647</v>
          </cell>
          <cell r="F42">
            <v>1.0275122001816086</v>
          </cell>
          <cell r="G42">
            <v>1.0275122821930001</v>
          </cell>
          <cell r="H42">
            <v>1.0275123829886454</v>
          </cell>
          <cell r="I42">
            <v>1.027512580368829</v>
          </cell>
          <cell r="J42">
            <v>1.027512966734673</v>
          </cell>
          <cell r="K42">
            <v>1.0275136418517099</v>
          </cell>
          <cell r="L42">
            <v>0.72893966811801847</v>
          </cell>
          <cell r="M42">
            <v>0.3531234011355156</v>
          </cell>
          <cell r="N42">
            <v>0.64047389961585799</v>
          </cell>
          <cell r="O42">
            <v>0.64047678683191001</v>
          </cell>
          <cell r="P42">
            <v>0.64050691683203098</v>
          </cell>
        </row>
        <row r="43">
          <cell r="A43" t="str">
            <v>-</v>
          </cell>
          <cell r="B43" t="str">
            <v>VAR_cap</v>
          </cell>
          <cell r="C43" t="str">
            <v>D-CHEAT</v>
          </cell>
          <cell r="J43">
            <v>5.6701728545257299E-4</v>
          </cell>
          <cell r="K43">
            <v>7.5944438259033795E-4</v>
          </cell>
          <cell r="L43">
            <v>0.67946869862402903</v>
          </cell>
          <cell r="M43">
            <v>1.5174829313392499</v>
          </cell>
          <cell r="N43">
            <v>9.0428116412258994</v>
          </cell>
          <cell r="O43">
            <v>13.222104604031699</v>
          </cell>
          <cell r="P43">
            <v>17.573937889774498</v>
          </cell>
        </row>
        <row r="44">
          <cell r="A44" t="str">
            <v>-</v>
          </cell>
          <cell r="B44" t="str">
            <v>VAR_cap</v>
          </cell>
          <cell r="C44" t="str">
            <v>SUP_WSTBIO</v>
          </cell>
          <cell r="E44">
            <v>0.21266702330216597</v>
          </cell>
          <cell r="F44">
            <v>0.22524249632597004</v>
          </cell>
          <cell r="G44">
            <v>0.22524201016834952</v>
          </cell>
          <cell r="H44">
            <v>0.22450683266404522</v>
          </cell>
          <cell r="I44">
            <v>0.22404711420730405</v>
          </cell>
          <cell r="J44">
            <v>0.21796919486505484</v>
          </cell>
          <cell r="K44">
            <v>0.34821251639207912</v>
          </cell>
          <cell r="L44">
            <v>0.37191074416145598</v>
          </cell>
          <cell r="M44">
            <v>0.38938214205603883</v>
          </cell>
          <cell r="N44">
            <v>0.39569878537376901</v>
          </cell>
          <cell r="O44">
            <v>0.40200581488856846</v>
          </cell>
          <cell r="P44">
            <v>0.40830157363603542</v>
          </cell>
        </row>
        <row r="45">
          <cell r="A45" t="str">
            <v>-</v>
          </cell>
          <cell r="B45" t="str">
            <v>VAR_cap</v>
          </cell>
          <cell r="C45" t="str">
            <v>D-CNGA</v>
          </cell>
          <cell r="E45">
            <v>8.3273014376554497E-8</v>
          </cell>
          <cell r="F45">
            <v>1.5491623204592899E-7</v>
          </cell>
          <cell r="G45">
            <v>2.34412009498643E-7</v>
          </cell>
          <cell r="H45">
            <v>3.2758001851495202E-7</v>
          </cell>
          <cell r="I45">
            <v>4.7693026471780497E-7</v>
          </cell>
          <cell r="J45">
            <v>6.9581533353438102E-7</v>
          </cell>
          <cell r="K45">
            <v>1.1266045160182301E-6</v>
          </cell>
          <cell r="L45">
            <v>2.0193884742160501E-4</v>
          </cell>
          <cell r="M45">
            <v>2.03937466878159E-4</v>
          </cell>
          <cell r="N45">
            <v>2.6003656664152803E-4</v>
          </cell>
          <cell r="O45">
            <v>2.65502819310187E-4</v>
          </cell>
          <cell r="P45">
            <v>5.1610601261748595E-4</v>
          </cell>
        </row>
        <row r="46">
          <cell r="A46" t="str">
            <v>-</v>
          </cell>
          <cell r="B46" t="str">
            <v>VAR_cap</v>
          </cell>
          <cell r="C46" t="str">
            <v>SUP_BIONGA</v>
          </cell>
          <cell r="E46">
            <v>4.2337513570855322E-2</v>
          </cell>
          <cell r="F46">
            <v>0.12022478962578505</v>
          </cell>
          <cell r="G46">
            <v>9.4519999578647096E-2</v>
          </cell>
          <cell r="H46">
            <v>9.2206325960169588E-2</v>
          </cell>
          <cell r="I46">
            <v>9.2203923786609035E-2</v>
          </cell>
          <cell r="J46">
            <v>9.20110699042926E-2</v>
          </cell>
          <cell r="K46">
            <v>9.1988195428754499E-2</v>
          </cell>
          <cell r="L46">
            <v>0.10590193674003387</v>
          </cell>
          <cell r="M46">
            <v>0.26394337880546698</v>
          </cell>
          <cell r="N46">
            <v>0.28513173390590507</v>
          </cell>
          <cell r="O46">
            <v>0.28792286025900687</v>
          </cell>
          <cell r="P46">
            <v>0.29072452992061953</v>
          </cell>
        </row>
        <row r="47">
          <cell r="A47" t="str">
            <v>-</v>
          </cell>
          <cell r="B47" t="str">
            <v>VAR_cap</v>
          </cell>
          <cell r="C47" t="str">
            <v>SUP_WODH2</v>
          </cell>
          <cell r="L47">
            <v>1.3145982816081799E-5</v>
          </cell>
          <cell r="M47">
            <v>1.3400131739868348E-5</v>
          </cell>
          <cell r="N47">
            <v>1.7424648631425881E-5</v>
          </cell>
          <cell r="O47">
            <v>1.7516143002997993E-5</v>
          </cell>
          <cell r="P47">
            <v>3.5727052474643587E-5</v>
          </cell>
        </row>
        <row r="48">
          <cell r="A48" t="str">
            <v>-</v>
          </cell>
          <cell r="B48" t="str">
            <v>VAR_cap</v>
          </cell>
          <cell r="C48" t="str">
            <v>ESOL-PV_A</v>
          </cell>
          <cell r="H48">
            <v>4.9500665872562501E-2</v>
          </cell>
          <cell r="I48">
            <v>0.18449521936941199</v>
          </cell>
          <cell r="J48">
            <v>0.184495726193593</v>
          </cell>
          <cell r="K48">
            <v>0.46084146142860899</v>
          </cell>
          <cell r="L48">
            <v>0.79670339558229697</v>
          </cell>
          <cell r="M48">
            <v>0.74721551710801404</v>
          </cell>
          <cell r="N48">
            <v>0.61223108538237603</v>
          </cell>
          <cell r="O48">
            <v>0.57873133858539705</v>
          </cell>
          <cell r="P48">
            <v>0.39823309120981398</v>
          </cell>
        </row>
        <row r="49">
          <cell r="A49" t="str">
            <v>-</v>
          </cell>
          <cell r="B49" t="str">
            <v>VAR_cap</v>
          </cell>
          <cell r="C49" t="str">
            <v>D-TNGA</v>
          </cell>
          <cell r="E49">
            <v>0.95961772135744272</v>
          </cell>
          <cell r="F49">
            <v>0.95961774046063364</v>
          </cell>
          <cell r="G49">
            <v>0.95961776122438935</v>
          </cell>
          <cell r="H49">
            <v>0.95961778228622652</v>
          </cell>
          <cell r="I49">
            <v>0.95961781068623886</v>
          </cell>
          <cell r="J49">
            <v>0.9596178471238358</v>
          </cell>
          <cell r="K49">
            <v>0.95961789446647583</v>
          </cell>
          <cell r="L49">
            <v>0.32780302302211295</v>
          </cell>
          <cell r="M49">
            <v>2.7007543498222899E-7</v>
          </cell>
          <cell r="N49">
            <v>2.3981673733840598E-7</v>
          </cell>
          <cell r="O49">
            <v>1.9893351528331501E-7</v>
          </cell>
          <cell r="P49">
            <v>1.80870852472222E-7</v>
          </cell>
        </row>
        <row r="50">
          <cell r="A50" t="str">
            <v>-</v>
          </cell>
          <cell r="B50" t="str">
            <v>VAR_cap</v>
          </cell>
          <cell r="C50" t="str">
            <v>SUP_ELCH2_D</v>
          </cell>
          <cell r="H50">
            <v>1.9939567612251901E-6</v>
          </cell>
          <cell r="I50">
            <v>1.5913492299132098E-5</v>
          </cell>
          <cell r="J50">
            <v>5.7056965100070502E-5</v>
          </cell>
          <cell r="K50">
            <v>7.9745903790659001E-5</v>
          </cell>
          <cell r="L50">
            <v>9.1322070935335396E-5</v>
          </cell>
          <cell r="M50">
            <v>8.4580895782856305E-5</v>
          </cell>
          <cell r="N50">
            <v>9.3904784379607301E-5</v>
          </cell>
          <cell r="O50">
            <v>7.5946103363466896E-5</v>
          </cell>
          <cell r="P50">
            <v>1.2215731929160801E-4</v>
          </cell>
        </row>
        <row r="51">
          <cell r="A51" t="str">
            <v>-</v>
          </cell>
          <cell r="B51" t="str">
            <v>VAR_cap</v>
          </cell>
          <cell r="C51" t="str">
            <v>SUP_H2GSL</v>
          </cell>
          <cell r="H51">
            <v>1.9025985072854701E-7</v>
          </cell>
          <cell r="I51">
            <v>1.7693839010708351E-6</v>
          </cell>
          <cell r="J51">
            <v>2.1723498040407838E-2</v>
          </cell>
          <cell r="K51">
            <v>2.1723594657578272E-2</v>
          </cell>
          <cell r="L51">
            <v>2.1725359665985357E-2</v>
          </cell>
          <cell r="M51">
            <v>1.5095940329568002E-2</v>
          </cell>
          <cell r="N51">
            <v>1.0139945194056664E-2</v>
          </cell>
          <cell r="O51">
            <v>1.0140554256341619E-2</v>
          </cell>
          <cell r="P51">
            <v>1.0151781084254812E-2</v>
          </cell>
        </row>
        <row r="52">
          <cell r="A52" t="str">
            <v>-</v>
          </cell>
          <cell r="B52" t="str">
            <v>VAR_cap</v>
          </cell>
          <cell r="C52" t="str">
            <v>ESOL-PV_E</v>
          </cell>
          <cell r="H52">
            <v>3.9199785577045902E-7</v>
          </cell>
          <cell r="I52">
            <v>4.4430101353650997E-5</v>
          </cell>
          <cell r="J52">
            <v>1.5577583206998299E-4</v>
          </cell>
          <cell r="K52">
            <v>2.1338992582962599E-4</v>
          </cell>
          <cell r="L52">
            <v>2.1593346741353799E-4</v>
          </cell>
          <cell r="M52">
            <v>2.1683376414820699E-4</v>
          </cell>
          <cell r="N52">
            <v>2.1932259395988701E-4</v>
          </cell>
          <cell r="O52">
            <v>1.6932034554668701E-4</v>
          </cell>
          <cell r="P52">
            <v>2.1721162481265E-4</v>
          </cell>
        </row>
        <row r="53">
          <cell r="A53" t="str">
            <v>-</v>
          </cell>
          <cell r="B53" t="str">
            <v>VAR_cap</v>
          </cell>
          <cell r="C53" t="str">
            <v>D-SNGA</v>
          </cell>
          <cell r="E53">
            <v>2.2350522768477852</v>
          </cell>
          <cell r="F53">
            <v>2.2350523118549139</v>
          </cell>
          <cell r="G53">
            <v>2.2350523683242587</v>
          </cell>
          <cell r="H53">
            <v>2.2350524337765649</v>
          </cell>
          <cell r="I53">
            <v>2.2350525378069186</v>
          </cell>
          <cell r="J53">
            <v>2.2350526907606785</v>
          </cell>
          <cell r="K53">
            <v>2.2350529680048852</v>
          </cell>
          <cell r="L53">
            <v>1.353583833986487</v>
          </cell>
          <cell r="M53">
            <v>0.59009632828474501</v>
          </cell>
          <cell r="N53">
            <v>0.59009662342991698</v>
          </cell>
          <cell r="O53">
            <v>0.59009698481837802</v>
          </cell>
          <cell r="P53">
            <v>0.59009909558467399</v>
          </cell>
        </row>
        <row r="54">
          <cell r="A54" t="str">
            <v>-</v>
          </cell>
          <cell r="B54" t="str">
            <v>VAR_cap</v>
          </cell>
          <cell r="C54" t="str">
            <v>SUP_MNRBIO</v>
          </cell>
          <cell r="E54">
            <v>4.9244394543744303E-2</v>
          </cell>
          <cell r="F54">
            <v>0.13085599448620258</v>
          </cell>
          <cell r="G54">
            <v>0.16239800448297767</v>
          </cell>
          <cell r="H54">
            <v>0.16239892610565557</v>
          </cell>
          <cell r="I54">
            <v>0.16240019687940599</v>
          </cell>
          <cell r="J54">
            <v>0.16241120416921656</v>
          </cell>
          <cell r="K54">
            <v>0.16244588864953924</v>
          </cell>
          <cell r="L54">
            <v>0.24361504692349031</v>
          </cell>
          <cell r="M54">
            <v>0.24361464733678453</v>
          </cell>
          <cell r="N54">
            <v>0.24361641163963352</v>
          </cell>
          <cell r="O54">
            <v>0.24361665260249363</v>
          </cell>
          <cell r="P54">
            <v>0.24362405104972859</v>
          </cell>
        </row>
        <row r="55">
          <cell r="A55" t="str">
            <v>-</v>
          </cell>
          <cell r="B55" t="str">
            <v>VAR_cap</v>
          </cell>
          <cell r="C55" t="str">
            <v>D-RNGA</v>
          </cell>
          <cell r="E55">
            <v>3.0972400629793153</v>
          </cell>
          <cell r="F55">
            <v>3.0972400910803226</v>
          </cell>
          <cell r="G55">
            <v>3.0972401264130576</v>
          </cell>
          <cell r="H55">
            <v>3.0972401643642367</v>
          </cell>
          <cell r="I55">
            <v>3.0972402275961968</v>
          </cell>
          <cell r="J55">
            <v>3.097240283585875</v>
          </cell>
          <cell r="K55">
            <v>3.0972403736461742</v>
          </cell>
          <cell r="L55">
            <v>1.0580097088122675</v>
          </cell>
          <cell r="M55">
            <v>0.45961422641324301</v>
          </cell>
          <cell r="N55">
            <v>0.45961446769952002</v>
          </cell>
          <cell r="O55">
            <v>0.45961476854800298</v>
          </cell>
          <cell r="P55">
            <v>0.45961624943525398</v>
          </cell>
        </row>
        <row r="56">
          <cell r="A56" t="str">
            <v>-</v>
          </cell>
          <cell r="B56" t="str">
            <v>VAR_cap</v>
          </cell>
          <cell r="C56" t="str">
            <v>SUP_WSTHTGBIOCCS</v>
          </cell>
          <cell r="J56">
            <v>2.70830506052876E-6</v>
          </cell>
          <cell r="K56">
            <v>3.0101183373535872E-6</v>
          </cell>
          <cell r="L56">
            <v>1.343345319502045E-5</v>
          </cell>
          <cell r="M56">
            <v>1.3083710916640491E-5</v>
          </cell>
          <cell r="N56">
            <v>1.1040890680323498E-5</v>
          </cell>
          <cell r="O56">
            <v>1.0851944931557695E-5</v>
          </cell>
          <cell r="P56">
            <v>1.4515988258324156E-5</v>
          </cell>
        </row>
        <row r="57">
          <cell r="A57" t="str">
            <v>-</v>
          </cell>
          <cell r="B57" t="str">
            <v>VAR_cap</v>
          </cell>
          <cell r="C57" t="str">
            <v>SUP_WODBIO</v>
          </cell>
          <cell r="E57">
            <v>2.2396420781390699E-7</v>
          </cell>
          <cell r="F57">
            <v>7.6900592806380792E-6</v>
          </cell>
          <cell r="G57">
            <v>8.7710166305231707E-6</v>
          </cell>
          <cell r="H57">
            <v>1.9503255111097086E-5</v>
          </cell>
          <cell r="I57">
            <v>2.2140234250522163E-5</v>
          </cell>
          <cell r="J57">
            <v>1.920037401675861E-5</v>
          </cell>
          <cell r="K57">
            <v>1.5198995917185904E-5</v>
          </cell>
          <cell r="L57">
            <v>1.2975583717090407E-5</v>
          </cell>
          <cell r="M57">
            <v>1.1167693057741657E-5</v>
          </cell>
          <cell r="N57">
            <v>1.7160114201589159E-5</v>
          </cell>
          <cell r="O57">
            <v>1.4231457353828129E-5</v>
          </cell>
          <cell r="P57">
            <v>3.3427708347760775E-5</v>
          </cell>
        </row>
        <row r="58">
          <cell r="A58" t="str">
            <v>-</v>
          </cell>
          <cell r="B58" t="str">
            <v>VAR_cap</v>
          </cell>
          <cell r="C58" t="str">
            <v>SUP_ELCH2_SOEC</v>
          </cell>
          <cell r="J58">
            <v>1.428947576502E-4</v>
          </cell>
          <cell r="K58">
            <v>2.0505403661542597E-4</v>
          </cell>
          <cell r="L58">
            <v>2.2548059858702361E-4</v>
          </cell>
          <cell r="M58">
            <v>1.5571669198332749E-4</v>
          </cell>
          <cell r="N58">
            <v>2.3169040108565143E-4</v>
          </cell>
          <cell r="O58">
            <v>2.3239983329897715E-4</v>
          </cell>
          <cell r="P58">
            <v>4.5134599529429909E-4</v>
          </cell>
        </row>
        <row r="59">
          <cell r="A59" t="str">
            <v>-</v>
          </cell>
          <cell r="B59" t="str">
            <v>VAR_cap</v>
          </cell>
          <cell r="C59" t="str">
            <v>SUP_WODH2CCS</v>
          </cell>
          <cell r="L59">
            <v>7.5671197159490305E-2</v>
          </cell>
          <cell r="M59">
            <v>0.18508408389360453</v>
          </cell>
          <cell r="N59">
            <v>0.18796047550906639</v>
          </cell>
          <cell r="O59">
            <v>0.2086892336109292</v>
          </cell>
          <cell r="P59">
            <v>0.21920637581324257</v>
          </cell>
        </row>
        <row r="60">
          <cell r="A60" t="str">
            <v>-</v>
          </cell>
          <cell r="B60" t="str">
            <v>VAR_cap</v>
          </cell>
          <cell r="C60" t="str">
            <v>SUP_WODBIOCCS</v>
          </cell>
          <cell r="J60">
            <v>7.7468359144707298E-6</v>
          </cell>
          <cell r="K60">
            <v>9.5409720840170497E-6</v>
          </cell>
          <cell r="L60">
            <v>1.81605368707848E-5</v>
          </cell>
          <cell r="M60">
            <v>1.7219931489113201E-5</v>
          </cell>
          <cell r="N60">
            <v>1.87721775036544E-5</v>
          </cell>
          <cell r="O60">
            <v>1.7288590973555799E-5</v>
          </cell>
          <cell r="P60">
            <v>3.0778655911655003E-5</v>
          </cell>
        </row>
        <row r="61">
          <cell r="A61" t="str">
            <v>-</v>
          </cell>
          <cell r="B61" t="str">
            <v>VAR_cap</v>
          </cell>
          <cell r="C61" t="str">
            <v>SUP_NGAH2CCS</v>
          </cell>
          <cell r="J61">
            <v>1.6060729985349301E-7</v>
          </cell>
          <cell r="K61">
            <v>2.9123618652243699E-7</v>
          </cell>
          <cell r="L61">
            <v>2.5692850476351752E-5</v>
          </cell>
          <cell r="M61">
            <v>2.604378382368959E-5</v>
          </cell>
          <cell r="N61">
            <v>3.262680407667093E-5</v>
          </cell>
          <cell r="O61">
            <v>3.283483339667613E-5</v>
          </cell>
          <cell r="P61">
            <v>6.1679998610706296E-5</v>
          </cell>
        </row>
        <row r="62">
          <cell r="A62" t="str">
            <v>-</v>
          </cell>
          <cell r="B62" t="str">
            <v>VAR_cap</v>
          </cell>
          <cell r="C62" t="str">
            <v>SUP_ELCH2</v>
          </cell>
          <cell r="E62">
            <v>1.9949867843893301E-4</v>
          </cell>
          <cell r="F62">
            <v>3.0428222681837616E-4</v>
          </cell>
          <cell r="G62">
            <v>3.0563296646200961E-4</v>
          </cell>
          <cell r="H62">
            <v>3.1418543912009891E-3</v>
          </cell>
          <cell r="I62">
            <v>0.50653670574404075</v>
          </cell>
          <cell r="J62">
            <v>0.59113597522785388</v>
          </cell>
          <cell r="K62">
            <v>0.64043385271069619</v>
          </cell>
          <cell r="L62">
            <v>0.89386467915447043</v>
          </cell>
          <cell r="M62">
            <v>0.95740997644979997</v>
          </cell>
          <cell r="N62">
            <v>1.4997120893582285</v>
          </cell>
          <cell r="O62">
            <v>1.73643666002285</v>
          </cell>
          <cell r="P62">
            <v>1.745334747719067</v>
          </cell>
        </row>
        <row r="63">
          <cell r="A63" t="str">
            <v>-</v>
          </cell>
          <cell r="B63" t="str">
            <v>VAR_cap</v>
          </cell>
          <cell r="C63" t="str">
            <v>CT_CWODBDS</v>
          </cell>
          <cell r="E63">
            <v>3.8010159282482928E-2</v>
          </cell>
          <cell r="F63">
            <v>3.3044129481897937E-2</v>
          </cell>
          <cell r="G63">
            <v>2.4845278650058679E-2</v>
          </cell>
          <cell r="H63">
            <v>1.4041086242422285E-5</v>
          </cell>
          <cell r="I63">
            <v>1.2264263716064289E-5</v>
          </cell>
          <cell r="J63">
            <v>9.1652178581818996E-6</v>
          </cell>
          <cell r="K63">
            <v>9.5085390851376927E-6</v>
          </cell>
          <cell r="L63">
            <v>1.5747739762648376E-5</v>
          </cell>
          <cell r="M63">
            <v>1.0189157150433246E-5</v>
          </cell>
          <cell r="N63">
            <v>1.6828571267799137E-5</v>
          </cell>
          <cell r="O63">
            <v>1.6569840133213611E-5</v>
          </cell>
          <cell r="P63">
            <v>3.4136834956245589E-5</v>
          </cell>
        </row>
        <row r="64">
          <cell r="A64" t="str">
            <v>-</v>
          </cell>
          <cell r="B64" t="str">
            <v>VAR_cap</v>
          </cell>
          <cell r="C64" t="str">
            <v>CT_CWODETHCCS</v>
          </cell>
          <cell r="J64">
            <v>5.0699519279946297E-6</v>
          </cell>
          <cell r="K64">
            <v>5.44333683322242E-6</v>
          </cell>
          <cell r="L64">
            <v>9.0179729390553495E-6</v>
          </cell>
          <cell r="M64">
            <v>8.4214453799649704E-6</v>
          </cell>
          <cell r="N64">
            <v>1.1425695159058399E-5</v>
          </cell>
          <cell r="O64">
            <v>1.12606483377437E-5</v>
          </cell>
          <cell r="P64">
            <v>2.35862326509923E-5</v>
          </cell>
        </row>
        <row r="65">
          <cell r="A65" t="str">
            <v>-</v>
          </cell>
          <cell r="B65" t="str">
            <v>VAR_cap</v>
          </cell>
          <cell r="C65" t="str">
            <v>CT_CWODPLT</v>
          </cell>
          <cell r="E65">
            <v>0.36342578822947103</v>
          </cell>
          <cell r="F65">
            <v>0.41070934940914605</v>
          </cell>
          <cell r="G65">
            <v>0.41070968286980125</v>
          </cell>
          <cell r="H65">
            <v>0.41071264086408066</v>
          </cell>
          <cell r="I65">
            <v>0.43193654190224529</v>
          </cell>
          <cell r="J65">
            <v>0.45526915798933626</v>
          </cell>
          <cell r="K65">
            <v>0.46867846266054231</v>
          </cell>
          <cell r="L65">
            <v>0.48602008862819301</v>
          </cell>
          <cell r="M65">
            <v>0.43988663906790509</v>
          </cell>
          <cell r="N65">
            <v>0.45181586576312921</v>
          </cell>
          <cell r="O65">
            <v>0.4524287125248842</v>
          </cell>
          <cell r="P65">
            <v>0.44325221503358747</v>
          </cell>
        </row>
        <row r="66">
          <cell r="A66" t="str">
            <v>-</v>
          </cell>
          <cell r="B66" t="str">
            <v>VAR_cap</v>
          </cell>
          <cell r="C66" t="str">
            <v>D-DH2</v>
          </cell>
          <cell r="H66">
            <v>9.79147994323815E-6</v>
          </cell>
          <cell r="I66">
            <v>2.88496398652278E-5</v>
          </cell>
          <cell r="J66">
            <v>1.0063601988143E-4</v>
          </cell>
          <cell r="K66">
            <v>1.15243054783699E-4</v>
          </cell>
          <cell r="L66">
            <v>1.6032222551222E-4</v>
          </cell>
          <cell r="M66">
            <v>1.62397420700006E-4</v>
          </cell>
          <cell r="N66">
            <v>1.9519645059059399E-4</v>
          </cell>
          <cell r="O66">
            <v>1.9770924820923801E-4</v>
          </cell>
          <cell r="P66">
            <v>3.5158149597162001E-4</v>
          </cell>
        </row>
        <row r="67">
          <cell r="A67" t="str">
            <v>-</v>
          </cell>
          <cell r="B67" t="str">
            <v>VAR_cap</v>
          </cell>
          <cell r="C67" t="str">
            <v>CT_CWODETH</v>
          </cell>
          <cell r="E67">
            <v>6.8656289059146995E-3</v>
          </cell>
          <cell r="F67">
            <v>6.8653282187751564E-3</v>
          </cell>
          <cell r="G67">
            <v>6.865335101138334E-3</v>
          </cell>
          <cell r="H67">
            <v>9.012938838449773E-6</v>
          </cell>
          <cell r="I67">
            <v>9.3581907408806647E-6</v>
          </cell>
          <cell r="J67">
            <v>6.6436177979197798E-6</v>
          </cell>
          <cell r="K67">
            <v>6.0312511203433786E-6</v>
          </cell>
          <cell r="L67">
            <v>1.0346746247310142E-5</v>
          </cell>
          <cell r="M67">
            <v>9.6438290228763372E-6</v>
          </cell>
          <cell r="N67">
            <v>1.4494526253992619E-5</v>
          </cell>
          <cell r="O67">
            <v>1.204518190349589E-5</v>
          </cell>
          <cell r="P67">
            <v>2.6572427640598279E-5</v>
          </cell>
        </row>
        <row r="68">
          <cell r="A68" t="str">
            <v>-</v>
          </cell>
          <cell r="B68" t="str">
            <v>VAR_cap</v>
          </cell>
          <cell r="C68" t="str">
            <v>D-INGA</v>
          </cell>
          <cell r="E68">
            <v>1.9844835395777509</v>
          </cell>
          <cell r="F68">
            <v>1.9844836487879156</v>
          </cell>
          <cell r="G68">
            <v>1.9844837924402352</v>
          </cell>
          <cell r="H68">
            <v>1.9844840118082026</v>
          </cell>
          <cell r="I68">
            <v>1.9844844294426718</v>
          </cell>
          <cell r="J68">
            <v>1.9844851432484167</v>
          </cell>
          <cell r="K68">
            <v>1.9844861837947072</v>
          </cell>
          <cell r="L68">
            <v>1.1668188539138209</v>
          </cell>
          <cell r="M68">
            <v>0.38025458244308202</v>
          </cell>
          <cell r="N68">
            <v>0.273410253528863</v>
          </cell>
          <cell r="O68">
            <v>0.27341198295555302</v>
          </cell>
          <cell r="P68">
            <v>0.27342774546535897</v>
          </cell>
        </row>
        <row r="69">
          <cell r="A69" t="str">
            <v>-</v>
          </cell>
          <cell r="B69" t="str">
            <v>VAR_cap</v>
          </cell>
          <cell r="C69" t="str">
            <v>SUP_H2DSL</v>
          </cell>
          <cell r="H69">
            <v>3.76609197117125E-7</v>
          </cell>
          <cell r="I69">
            <v>2.3623981073773181E-6</v>
          </cell>
          <cell r="J69">
            <v>2.3793260033792783E-4</v>
          </cell>
          <cell r="K69">
            <v>2.37826280401768E-4</v>
          </cell>
          <cell r="L69">
            <v>2.3630055668493675E-4</v>
          </cell>
          <cell r="M69">
            <v>1.9683782784698289E-4</v>
          </cell>
          <cell r="N69">
            <v>1.2845911588070535E-4</v>
          </cell>
          <cell r="O69">
            <v>1.2968589470350577E-4</v>
          </cell>
          <cell r="P69">
            <v>2.4556273840271371E-4</v>
          </cell>
        </row>
        <row r="70">
          <cell r="A70" t="str">
            <v>-</v>
          </cell>
          <cell r="B70" t="str">
            <v>VAR_cap</v>
          </cell>
          <cell r="C70" t="str">
            <v>SUP_DAC</v>
          </cell>
          <cell r="J70">
            <v>5.1725774414957499E-4</v>
          </cell>
          <cell r="K70">
            <v>6.5072641422866061E-4</v>
          </cell>
          <cell r="L70">
            <v>12.195580688809033</v>
          </cell>
          <cell r="M70">
            <v>27.178514975623465</v>
          </cell>
          <cell r="N70">
            <v>179.9372765116193</v>
          </cell>
          <cell r="O70">
            <v>263.1094637600479</v>
          </cell>
          <cell r="P70">
            <v>349.68442696664721</v>
          </cell>
        </row>
        <row r="71">
          <cell r="A71" t="str">
            <v>-</v>
          </cell>
          <cell r="B71" t="str">
            <v>VAR_cap</v>
          </cell>
          <cell r="C71" t="str">
            <v>CT_CWODBDSCCS</v>
          </cell>
          <cell r="J71">
            <v>7.0529744497762303E-6</v>
          </cell>
          <cell r="K71">
            <v>8.0650881800604908E-6</v>
          </cell>
          <cell r="L71">
            <v>0.18931426180290101</v>
          </cell>
          <cell r="M71">
            <v>0.20013416287899499</v>
          </cell>
          <cell r="N71">
            <v>0.20012833670606101</v>
          </cell>
          <cell r="O71">
            <v>0.20012909765313699</v>
          </cell>
          <cell r="P71">
            <v>0.22092214662821499</v>
          </cell>
        </row>
        <row r="72">
          <cell r="A72" t="str">
            <v>CO2_M</v>
          </cell>
          <cell r="B72" t="str">
            <v>VAR_fin</v>
          </cell>
          <cell r="C72" t="str">
            <v>SUP_H2NGA</v>
          </cell>
          <cell r="J72">
            <v>1.4663254230508722E-2</v>
          </cell>
          <cell r="K72">
            <v>6.0121694214201995E-3</v>
          </cell>
          <cell r="L72">
            <v>0.10550994459208742</v>
          </cell>
          <cell r="M72">
            <v>72.136197789561933</v>
          </cell>
          <cell r="N72">
            <v>282.18578040049613</v>
          </cell>
          <cell r="O72">
            <v>402.25976897236256</v>
          </cell>
          <cell r="P72">
            <v>404.82204817471552</v>
          </cell>
        </row>
        <row r="73">
          <cell r="A73" t="str">
            <v>CO2_M</v>
          </cell>
          <cell r="B73" t="str">
            <v>VAR_fin</v>
          </cell>
          <cell r="C73" t="str">
            <v>SUP_H2GSL</v>
          </cell>
          <cell r="J73">
            <v>11.65053450664089</v>
          </cell>
          <cell r="K73">
            <v>8.2203723029731322</v>
          </cell>
          <cell r="L73">
            <v>23.599663852807634</v>
          </cell>
          <cell r="M73">
            <v>4.9124865485992437</v>
          </cell>
          <cell r="N73">
            <v>4.1899790081386215</v>
          </cell>
          <cell r="O73">
            <v>7.2714425690441242</v>
          </cell>
          <cell r="P73">
            <v>6.2172667703551063</v>
          </cell>
        </row>
        <row r="74">
          <cell r="A74" t="str">
            <v>CO2_M</v>
          </cell>
          <cell r="B74" t="str">
            <v>VAR_fin</v>
          </cell>
          <cell r="C74" t="str">
            <v>SUP_H2DSL</v>
          </cell>
          <cell r="J74">
            <v>0.13738982229476426</v>
          </cell>
          <cell r="K74">
            <v>6.3482638518956275E-2</v>
          </cell>
          <cell r="L74">
            <v>1.9250054158695299E-2</v>
          </cell>
          <cell r="M74">
            <v>1.4420547955976791E-2</v>
          </cell>
          <cell r="N74">
            <v>2.2811744222049863E-2</v>
          </cell>
          <cell r="O74">
            <v>2.4234715800933719E-2</v>
          </cell>
          <cell r="P74">
            <v>4.089202112057494E-2</v>
          </cell>
        </row>
        <row r="75">
          <cell r="A75" t="str">
            <v>ELC35</v>
          </cell>
          <cell r="B75" t="str">
            <v>VAR_fout</v>
          </cell>
          <cell r="C75" t="str">
            <v>SUP_WSTBIO</v>
          </cell>
          <cell r="E75">
            <v>0.11258824018375738</v>
          </cell>
          <cell r="F75">
            <v>0.11924600623366576</v>
          </cell>
          <cell r="G75">
            <v>0.11506234340155161</v>
          </cell>
          <cell r="H75">
            <v>0.11885654293778149</v>
          </cell>
          <cell r="I75">
            <v>0.11861312690795872</v>
          </cell>
          <cell r="J75">
            <v>0.11539542732495123</v>
          </cell>
          <cell r="K75">
            <v>0.1843482603488629</v>
          </cell>
          <cell r="L75">
            <v>0.19689388084357087</v>
          </cell>
          <cell r="M75">
            <v>0.20614351116911453</v>
          </cell>
          <cell r="N75">
            <v>0.2094875729120293</v>
          </cell>
          <cell r="O75">
            <v>0.21282658489972175</v>
          </cell>
          <cell r="P75">
            <v>0.21615948692493625</v>
          </cell>
        </row>
        <row r="76">
          <cell r="A76" t="str">
            <v>ELC35</v>
          </cell>
          <cell r="B76" t="str">
            <v>VAR_fout</v>
          </cell>
          <cell r="C76" t="str">
            <v>ESOL-PV_A</v>
          </cell>
          <cell r="H76">
            <v>0.34128000255216284</v>
          </cell>
          <cell r="I76">
            <v>1.2719935747804814</v>
          </cell>
          <cell r="J76">
            <v>1.2719970764465036</v>
          </cell>
          <cell r="K76">
            <v>3.1772492590938262</v>
          </cell>
          <cell r="L76">
            <v>5.4928334544171351</v>
          </cell>
          <cell r="M76">
            <v>5.1516411129910509</v>
          </cell>
          <cell r="N76">
            <v>4.2209971051692046</v>
          </cell>
          <cell r="O76">
            <v>3.9900333796446152</v>
          </cell>
          <cell r="P76">
            <v>2.7455950334855728</v>
          </cell>
        </row>
        <row r="77">
          <cell r="A77" t="str">
            <v>ELC35</v>
          </cell>
          <cell r="B77" t="str">
            <v>VAR_fout</v>
          </cell>
          <cell r="C77" t="str">
            <v>SUP_WODBIO</v>
          </cell>
          <cell r="H77">
            <v>1.807682220249852E-5</v>
          </cell>
          <cell r="I77">
            <v>1.8127188868703691E-5</v>
          </cell>
          <cell r="J77">
            <v>1.2861970066760975E-5</v>
          </cell>
          <cell r="K77">
            <v>1.0718867992208656E-5</v>
          </cell>
          <cell r="L77">
            <v>1.819271068278457E-6</v>
          </cell>
          <cell r="M77">
            <v>1.2793756542283533E-6</v>
          </cell>
          <cell r="N77">
            <v>3.3819925646125913E-6</v>
          </cell>
          <cell r="O77">
            <v>2.4359894860486953E-6</v>
          </cell>
          <cell r="P77">
            <v>1.1526007449175895E-5</v>
          </cell>
        </row>
        <row r="78">
          <cell r="A78" t="str">
            <v>ELC35</v>
          </cell>
          <cell r="B78" t="str">
            <v>VAR_fout</v>
          </cell>
          <cell r="C78" t="str">
            <v>SUP_WODBIOCCS</v>
          </cell>
          <cell r="J78">
            <v>5.5486747014486991E-6</v>
          </cell>
          <cell r="K78">
            <v>7.7129620677001738E-6</v>
          </cell>
          <cell r="L78">
            <v>1.5060749422617892E-5</v>
          </cell>
          <cell r="M78">
            <v>1.5967183689370695E-5</v>
          </cell>
          <cell r="N78">
            <v>1.4833143128889064E-5</v>
          </cell>
          <cell r="O78">
            <v>1.4917364005110936E-5</v>
          </cell>
          <cell r="P78">
            <v>2.4543498606895052E-5</v>
          </cell>
        </row>
        <row r="79">
          <cell r="A79" t="str">
            <v>ELC35</v>
          </cell>
          <cell r="B79" t="str">
            <v>VAR_fin</v>
          </cell>
          <cell r="C79" t="str">
            <v>D-CELC</v>
          </cell>
          <cell r="E79">
            <v>0.35769585102441065</v>
          </cell>
          <cell r="F79">
            <v>5.1151318691173397E-2</v>
          </cell>
          <cell r="G79">
            <v>0.34181243442867282</v>
          </cell>
          <cell r="H79">
            <v>4.1707107681067328E-2</v>
          </cell>
          <cell r="I79">
            <v>15.232031112234838</v>
          </cell>
          <cell r="J79">
            <v>14.788698215919489</v>
          </cell>
          <cell r="K79">
            <v>14.370931736647767</v>
          </cell>
          <cell r="L79">
            <v>21.0846321590945</v>
          </cell>
          <cell r="M79">
            <v>21.830566190012281</v>
          </cell>
          <cell r="N79">
            <v>30.547082660530972</v>
          </cell>
          <cell r="O79">
            <v>33.884355662976205</v>
          </cell>
          <cell r="P79">
            <v>34.684129236552934</v>
          </cell>
        </row>
        <row r="80">
          <cell r="A80" t="str">
            <v>CO2_O</v>
          </cell>
          <cell r="B80" t="str">
            <v>VAR_fout</v>
          </cell>
          <cell r="C80" t="str">
            <v>SUP_WSTHTGBIOCCS</v>
          </cell>
          <cell r="J80">
            <v>1.5944389741564687E-3</v>
          </cell>
          <cell r="K80">
            <v>2.2067975855734698E-3</v>
          </cell>
          <cell r="L80">
            <v>1.5200812752842147E-2</v>
          </cell>
          <cell r="M80">
            <v>1.5036954096962986E-2</v>
          </cell>
          <cell r="N80">
            <v>1.1048861763677462E-2</v>
          </cell>
          <cell r="O80">
            <v>1.1577434482943839E-2</v>
          </cell>
          <cell r="P80">
            <v>1.2940490054544996E-2</v>
          </cell>
        </row>
        <row r="81">
          <cell r="A81" t="str">
            <v>CO2_O</v>
          </cell>
          <cell r="B81" t="str">
            <v>VAR_fout</v>
          </cell>
          <cell r="C81" t="str">
            <v>SUP_WODH2CCS</v>
          </cell>
          <cell r="L81">
            <v>383.17673859016361</v>
          </cell>
          <cell r="M81">
            <v>963.67593316353998</v>
          </cell>
          <cell r="N81">
            <v>963.66789771029346</v>
          </cell>
          <cell r="O81">
            <v>1058.4190353693134</v>
          </cell>
          <cell r="P81">
            <v>1062.1598890806406</v>
          </cell>
        </row>
        <row r="82">
          <cell r="A82" t="str">
            <v>CO2_O</v>
          </cell>
          <cell r="B82" t="str">
            <v>VAR_fout</v>
          </cell>
          <cell r="C82" t="str">
            <v>SUP_WODBIOCCS</v>
          </cell>
          <cell r="J82">
            <v>8.5416054031695991E-3</v>
          </cell>
          <cell r="K82">
            <v>1.2002030910712495E-2</v>
          </cell>
          <cell r="L82">
            <v>2.3686503336320903E-2</v>
          </cell>
          <cell r="M82">
            <v>2.5115253785085997E-2</v>
          </cell>
          <cell r="N82">
            <v>2.3323832089084423E-2</v>
          </cell>
          <cell r="O82">
            <v>2.3229506142303988E-2</v>
          </cell>
          <cell r="P82">
            <v>3.8026105386988994E-2</v>
          </cell>
        </row>
        <row r="83">
          <cell r="A83" t="str">
            <v>CO2_O</v>
          </cell>
          <cell r="B83" t="str">
            <v>VAR_fout</v>
          </cell>
          <cell r="C83" t="str">
            <v>SUP_NGAH2CCS</v>
          </cell>
          <cell r="L83">
            <v>3.5874213770918009E-3</v>
          </cell>
          <cell r="M83">
            <v>4.1886544626182562E-3</v>
          </cell>
          <cell r="N83">
            <v>3.8104909796859371E-3</v>
          </cell>
          <cell r="O83">
            <v>4.5561711479549811E-3</v>
          </cell>
          <cell r="P83">
            <v>6.6167200586721249E-3</v>
          </cell>
        </row>
        <row r="84">
          <cell r="A84" t="str">
            <v>CO2_O</v>
          </cell>
          <cell r="B84" t="str">
            <v>VAR_fout</v>
          </cell>
          <cell r="C84" t="str">
            <v>CT_CWODETHCCS</v>
          </cell>
          <cell r="J84">
            <v>8.5194146833462775E-4</v>
          </cell>
          <cell r="K84">
            <v>6.6993975061292157E-4</v>
          </cell>
          <cell r="L84">
            <v>1.331312533089382E-3</v>
          </cell>
          <cell r="M84">
            <v>5.9212019633778936E-4</v>
          </cell>
          <cell r="N84">
            <v>1.3542529298762017E-3</v>
          </cell>
          <cell r="O84">
            <v>9.5443456814332459E-4</v>
          </cell>
          <cell r="P84">
            <v>3.0644394058102348E-3</v>
          </cell>
        </row>
        <row r="85">
          <cell r="A85" t="str">
            <v>CO2_O</v>
          </cell>
          <cell r="B85" t="str">
            <v>VAR_fout</v>
          </cell>
          <cell r="C85" t="str">
            <v>SUP_DAC</v>
          </cell>
          <cell r="J85">
            <v>1.9430678985890382E-3</v>
          </cell>
          <cell r="K85">
            <v>3.1391762835147083E-3</v>
          </cell>
          <cell r="L85">
            <v>96.149909621709241</v>
          </cell>
          <cell r="M85">
            <v>214.27537892772824</v>
          </cell>
          <cell r="N85">
            <v>1418.6254257380408</v>
          </cell>
          <cell r="O85">
            <v>2074.3549650134742</v>
          </cell>
          <cell r="P85">
            <v>2756.9083032561766</v>
          </cell>
        </row>
        <row r="86">
          <cell r="A86" t="str">
            <v>CO2_O</v>
          </cell>
          <cell r="B86" t="str">
            <v>VAR_fout</v>
          </cell>
          <cell r="C86" t="str">
            <v>CT_CWODBDSCCS</v>
          </cell>
          <cell r="J86">
            <v>6.634251467577487E-3</v>
          </cell>
          <cell r="K86">
            <v>1.0561104482861416E-2</v>
          </cell>
          <cell r="L86">
            <v>604.36664132676901</v>
          </cell>
          <cell r="M86">
            <v>641.40545832154532</v>
          </cell>
          <cell r="N86">
            <v>604.36654102854186</v>
          </cell>
          <cell r="O86">
            <v>641.61583733478528</v>
          </cell>
          <cell r="P86">
            <v>707.87831979882606</v>
          </cell>
        </row>
        <row r="87">
          <cell r="A87" t="str">
            <v>SCH2S</v>
          </cell>
          <cell r="B87" t="str">
            <v>VAR_fin</v>
          </cell>
          <cell r="C87" t="str">
            <v>SUP_NGAH2</v>
          </cell>
          <cell r="L87">
            <v>3.5470236155387628E-5</v>
          </cell>
          <cell r="M87">
            <v>2.4723690506031375E-5</v>
          </cell>
          <cell r="N87">
            <v>3.9783900265529844E-5</v>
          </cell>
          <cell r="O87">
            <v>3.5226643208650273E-5</v>
          </cell>
          <cell r="P87">
            <v>7.6202497930124338E-5</v>
          </cell>
        </row>
        <row r="88">
          <cell r="A88" t="str">
            <v>SCH2S</v>
          </cell>
          <cell r="B88" t="str">
            <v>VAR_fin</v>
          </cell>
          <cell r="C88" t="str">
            <v>SUP_WODH2</v>
          </cell>
          <cell r="L88">
            <v>3.9912989837758647E-5</v>
          </cell>
          <cell r="M88">
            <v>1.7662867257627527E-5</v>
          </cell>
          <cell r="N88">
            <v>4.8373638003051261E-5</v>
          </cell>
          <cell r="O88">
            <v>2.9968715861890939E-5</v>
          </cell>
          <cell r="P88">
            <v>1.2453310588613354E-4</v>
          </cell>
        </row>
        <row r="89">
          <cell r="A89" t="str">
            <v>SCH2S</v>
          </cell>
          <cell r="B89" t="str">
            <v>VAR_fin</v>
          </cell>
          <cell r="C89" t="str">
            <v>SUP_WODH2CCS</v>
          </cell>
          <cell r="L89">
            <v>2.2047867895068927</v>
          </cell>
          <cell r="M89">
            <v>5.5449607265362379</v>
          </cell>
          <cell r="N89">
            <v>5.5449144907933494</v>
          </cell>
          <cell r="O89">
            <v>6.0901095289107277</v>
          </cell>
          <cell r="P89">
            <v>6.1116342824084349</v>
          </cell>
        </row>
        <row r="90">
          <cell r="A90" t="str">
            <v>SCH2S</v>
          </cell>
          <cell r="B90" t="str">
            <v>VAR_fin</v>
          </cell>
          <cell r="C90" t="str">
            <v>SUP_NGAH2CCS</v>
          </cell>
          <cell r="L90">
            <v>4.931310762198868E-5</v>
          </cell>
          <cell r="M90">
            <v>5.7577726894704714E-5</v>
          </cell>
          <cell r="N90">
            <v>5.2379448083179943E-5</v>
          </cell>
          <cell r="O90">
            <v>6.2629653599668026E-5</v>
          </cell>
          <cell r="P90">
            <v>9.0954196359944374E-5</v>
          </cell>
        </row>
        <row r="91">
          <cell r="A91" t="str">
            <v>CWST</v>
          </cell>
          <cell r="B91" t="str">
            <v>VAR_fout</v>
          </cell>
          <cell r="C91" t="str">
            <v>D-CWST</v>
          </cell>
          <cell r="E91">
            <v>9.6793718489407485</v>
          </cell>
          <cell r="F91">
            <v>10.251749507345712</v>
          </cell>
          <cell r="G91">
            <v>9.8920740370076761</v>
          </cell>
          <cell r="H91">
            <v>10.218266791422403</v>
          </cell>
          <cell r="I91">
            <v>10.197339967601359</v>
          </cell>
          <cell r="J91">
            <v>9.9209885963864206</v>
          </cell>
          <cell r="K91">
            <v>15.849013492145019</v>
          </cell>
          <cell r="L91">
            <v>16.928772855840798</v>
          </cell>
          <cell r="M91">
            <v>17.723920470181071</v>
          </cell>
          <cell r="N91">
            <v>18.01096952299228</v>
          </cell>
          <cell r="O91">
            <v>18.298016525163241</v>
          </cell>
          <cell r="P91">
            <v>18.585050803333594</v>
          </cell>
        </row>
        <row r="92">
          <cell r="A92" t="str">
            <v>CWST</v>
          </cell>
          <cell r="B92" t="str">
            <v>VAR_fin</v>
          </cell>
          <cell r="C92" t="str">
            <v>SUP_WSTHTGBIO</v>
          </cell>
          <cell r="J92">
            <v>2.2522690108395057E-4</v>
          </cell>
          <cell r="K92">
            <v>3.0284596087165307E-4</v>
          </cell>
          <cell r="L92">
            <v>9.7123196758443025E-4</v>
          </cell>
          <cell r="M92">
            <v>9.1978315921639449E-4</v>
          </cell>
          <cell r="N92">
            <v>6.2505716747086556E-4</v>
          </cell>
          <cell r="O92">
            <v>5.8835052687227093E-4</v>
          </cell>
          <cell r="P92">
            <v>1.0300685231510738E-3</v>
          </cell>
        </row>
        <row r="93">
          <cell r="A93" t="str">
            <v>CWST</v>
          </cell>
          <cell r="B93" t="str">
            <v>VAR_fin</v>
          </cell>
          <cell r="C93" t="str">
            <v>SUP_WSTBIO</v>
          </cell>
          <cell r="E93">
            <v>9.6793718489407485</v>
          </cell>
          <cell r="F93">
            <v>10.251749507345712</v>
          </cell>
          <cell r="G93">
            <v>9.8920740370076761</v>
          </cell>
          <cell r="H93">
            <v>10.218266791422403</v>
          </cell>
          <cell r="I93">
            <v>10.197339967601359</v>
          </cell>
          <cell r="J93">
            <v>9.9207097377365177</v>
          </cell>
          <cell r="K93">
            <v>15.848683296849375</v>
          </cell>
          <cell r="L93">
            <v>16.927248213094423</v>
          </cell>
          <cell r="M93">
            <v>17.722452145938988</v>
          </cell>
          <cell r="N93">
            <v>18.009945911208472</v>
          </cell>
          <cell r="O93">
            <v>18.297005541807497</v>
          </cell>
          <cell r="P93">
            <v>18.583539890203781</v>
          </cell>
        </row>
        <row r="94">
          <cell r="A94" t="str">
            <v>CWST</v>
          </cell>
          <cell r="B94" t="str">
            <v>VAR_fin</v>
          </cell>
          <cell r="C94" t="str">
            <v>SUP_WSTHTGBIOCCS</v>
          </cell>
          <cell r="J94">
            <v>5.9246394699630965E-5</v>
          </cell>
          <cell r="K94">
            <v>8.2000504814709743E-5</v>
          </cell>
          <cell r="L94">
            <v>5.6483400538206573E-4</v>
          </cell>
          <cell r="M94">
            <v>5.5874532167668651E-4</v>
          </cell>
          <cell r="N94">
            <v>4.1055520822226024E-4</v>
          </cell>
          <cell r="O94">
            <v>4.3019599000237231E-4</v>
          </cell>
          <cell r="P94">
            <v>4.8084460666412699E-4</v>
          </cell>
        </row>
        <row r="95">
          <cell r="A95" t="str">
            <v>NGA</v>
          </cell>
          <cell r="B95" t="str">
            <v>VAR_fout</v>
          </cell>
          <cell r="C95" t="str">
            <v>SUP_H2NGA</v>
          </cell>
          <cell r="J95">
            <v>2.5998677713667947E-4</v>
          </cell>
          <cell r="K95">
            <v>1.065987486067412E-4</v>
          </cell>
          <cell r="L95">
            <v>1.8707436984412649E-3</v>
          </cell>
          <cell r="M95">
            <v>1.2790105991057088</v>
          </cell>
          <cell r="N95">
            <v>5.0032939787322066</v>
          </cell>
          <cell r="O95">
            <v>7.1322654073113947</v>
          </cell>
          <cell r="P95">
            <v>7.1776958896226253</v>
          </cell>
        </row>
        <row r="96">
          <cell r="A96" t="str">
            <v>NGA</v>
          </cell>
          <cell r="B96" t="str">
            <v>VAR_fout</v>
          </cell>
          <cell r="C96" t="str">
            <v>D-LNGA</v>
          </cell>
          <cell r="H96">
            <v>8.8644195571366814E-5</v>
          </cell>
          <cell r="I96">
            <v>5.1114037693939277E-4</v>
          </cell>
          <cell r="J96">
            <v>2.6882527113025626E-4</v>
          </cell>
          <cell r="K96">
            <v>1.6708375343728993E-4</v>
          </cell>
          <cell r="L96">
            <v>1.5893472933395096E-4</v>
          </cell>
          <cell r="M96">
            <v>1.1714342862252208E-4</v>
          </cell>
          <cell r="N96">
            <v>3.7369977106585723E-4</v>
          </cell>
          <cell r="O96">
            <v>8.5783704900786457E-4</v>
          </cell>
          <cell r="P96">
            <v>1.4990040228577486E-3</v>
          </cell>
        </row>
        <row r="97">
          <cell r="A97" t="str">
            <v>NGA</v>
          </cell>
          <cell r="B97" t="str">
            <v>VAR_fin</v>
          </cell>
          <cell r="C97" t="str">
            <v>D-ENGA</v>
          </cell>
          <cell r="E97">
            <v>5.5102521253127312</v>
          </cell>
          <cell r="F97">
            <v>1.7489982919003886</v>
          </cell>
          <cell r="G97">
            <v>1.3882369628956546</v>
          </cell>
        </row>
        <row r="98">
          <cell r="A98" t="str">
            <v>NGA</v>
          </cell>
          <cell r="B98" t="str">
            <v>VAR_fin</v>
          </cell>
          <cell r="C98" t="str">
            <v>D-TNGA</v>
          </cell>
          <cell r="E98">
            <v>0.23838969938542162</v>
          </cell>
          <cell r="F98">
            <v>0.14155082595961049</v>
          </cell>
          <cell r="G98">
            <v>0.22720060495728306</v>
          </cell>
          <cell r="H98">
            <v>9.2795589241679542E-3</v>
          </cell>
          <cell r="I98">
            <v>1.0555517299788231E-3</v>
          </cell>
          <cell r="J98">
            <v>3.957224214127872E-4</v>
          </cell>
          <cell r="K98">
            <v>2.3376755827179516E-3</v>
          </cell>
          <cell r="L98">
            <v>4.5544709038573811E-4</v>
          </cell>
        </row>
        <row r="99">
          <cell r="A99" t="str">
            <v>NGA</v>
          </cell>
          <cell r="B99" t="str">
            <v>VAR_fin</v>
          </cell>
          <cell r="C99" t="str">
            <v>D-SNGA</v>
          </cell>
          <cell r="E99">
            <v>26.981748332280379</v>
          </cell>
          <cell r="F99">
            <v>25.229858808567002</v>
          </cell>
          <cell r="G99">
            <v>28.713489155196676</v>
          </cell>
          <cell r="H99">
            <v>28.368139420587301</v>
          </cell>
          <cell r="I99">
            <v>28.521430799917784</v>
          </cell>
          <cell r="J99">
            <v>28.2130275984298</v>
          </cell>
          <cell r="K99">
            <v>24.53044996717049</v>
          </cell>
          <cell r="L99">
            <v>3.9885474918288821</v>
          </cell>
          <cell r="M99">
            <v>4.7657176766082427</v>
          </cell>
          <cell r="N99">
            <v>2.8922813559125888</v>
          </cell>
          <cell r="O99">
            <v>2.3012323644699233</v>
          </cell>
          <cell r="P99">
            <v>2.1178080454696278</v>
          </cell>
        </row>
        <row r="100">
          <cell r="A100" t="str">
            <v>NGA</v>
          </cell>
          <cell r="B100" t="str">
            <v>VAR_fin</v>
          </cell>
          <cell r="C100" t="str">
            <v>D-RNGA</v>
          </cell>
          <cell r="E100">
            <v>46.992993969214616</v>
          </cell>
          <cell r="F100">
            <v>48.43677200049919</v>
          </cell>
          <cell r="G100">
            <v>48.634807326110604</v>
          </cell>
          <cell r="H100">
            <v>52.95252105902145</v>
          </cell>
          <cell r="I100">
            <v>51.766875116857619</v>
          </cell>
          <cell r="J100">
            <v>49.127942694844357</v>
          </cell>
          <cell r="K100">
            <v>38.612099931382929</v>
          </cell>
          <cell r="L100">
            <v>14.886611297608939</v>
          </cell>
          <cell r="M100">
            <v>7.4620269592108075</v>
          </cell>
          <cell r="N100">
            <v>5.8844601515062847</v>
          </cell>
          <cell r="O100">
            <v>5.8796978231765333</v>
          </cell>
          <cell r="P100">
            <v>4.8624630953632284</v>
          </cell>
        </row>
        <row r="101">
          <cell r="A101" t="str">
            <v>NGA</v>
          </cell>
          <cell r="B101" t="str">
            <v>VAR_fin</v>
          </cell>
          <cell r="C101" t="str">
            <v>D-INGA</v>
          </cell>
          <cell r="E101">
            <v>37.259114514298176</v>
          </cell>
          <cell r="F101">
            <v>31.162817039216208</v>
          </cell>
          <cell r="G101">
            <v>32.547391645680136</v>
          </cell>
          <cell r="H101">
            <v>24.123933695145485</v>
          </cell>
          <cell r="I101">
            <v>11.337327146632934</v>
          </cell>
          <cell r="J101">
            <v>14.189319381207943</v>
          </cell>
          <cell r="K101">
            <v>9.6642009417120178</v>
          </cell>
          <cell r="L101">
            <v>0.96431373563663425</v>
          </cell>
          <cell r="M101">
            <v>9.7113476938715741E-4</v>
          </cell>
          <cell r="N101">
            <v>2.1852611093982642E-4</v>
          </cell>
          <cell r="O101">
            <v>1.258250157812003E-4</v>
          </cell>
          <cell r="P101">
            <v>5.5641861186951637E-5</v>
          </cell>
        </row>
        <row r="102">
          <cell r="A102" t="str">
            <v>CO2</v>
          </cell>
          <cell r="B102" t="str">
            <v>VAR_fout</v>
          </cell>
          <cell r="C102" t="str">
            <v>D-ENGA</v>
          </cell>
          <cell r="E102">
            <v>310.77821986763797</v>
          </cell>
          <cell r="F102">
            <v>98.643503663181903</v>
          </cell>
          <cell r="G102">
            <v>78.2965647073149</v>
          </cell>
        </row>
        <row r="103">
          <cell r="A103" t="str">
            <v>CO2</v>
          </cell>
          <cell r="B103" t="str">
            <v>VAR_fout</v>
          </cell>
          <cell r="C103" t="str">
            <v>D-ILFO</v>
          </cell>
          <cell r="E103">
            <v>688.800578015062</v>
          </cell>
          <cell r="F103">
            <v>659.57567850091402</v>
          </cell>
          <cell r="G103">
            <v>602.32294676413301</v>
          </cell>
          <cell r="H103">
            <v>426.82870191748498</v>
          </cell>
          <cell r="I103">
            <v>304.69368556673498</v>
          </cell>
          <cell r="J103">
            <v>160.07376534478999</v>
          </cell>
          <cell r="K103">
            <v>27.089267574446598</v>
          </cell>
          <cell r="M103">
            <v>1.5716629759370399E-2</v>
          </cell>
          <cell r="N103">
            <v>3.930546594212E-3</v>
          </cell>
          <cell r="O103">
            <v>3.8509605060701398E-3</v>
          </cell>
          <cell r="P103">
            <v>2.0064697920899998E-3</v>
          </cell>
        </row>
        <row r="104">
          <cell r="A104" t="str">
            <v>CO2</v>
          </cell>
          <cell r="B104" t="str">
            <v>VAR_fout</v>
          </cell>
          <cell r="C104" t="str">
            <v>D-TNGA</v>
          </cell>
          <cell r="E104">
            <v>13.445179045337801</v>
          </cell>
          <cell r="F104">
            <v>7.9834665841220298</v>
          </cell>
          <cell r="G104">
            <v>12.814114119590799</v>
          </cell>
          <cell r="H104">
            <v>0.523367123323073</v>
          </cell>
          <cell r="I104">
            <v>5.9533117570805601E-2</v>
          </cell>
          <cell r="J104">
            <v>2.2318744567681199E-2</v>
          </cell>
          <cell r="K104">
            <v>0.13184490286529199</v>
          </cell>
          <cell r="L104">
            <v>2.5687215897755598E-2</v>
          </cell>
        </row>
        <row r="105">
          <cell r="A105" t="str">
            <v>CO2</v>
          </cell>
          <cell r="B105" t="str">
            <v>VAR_fout</v>
          </cell>
          <cell r="C105" t="str">
            <v>D-SNGA</v>
          </cell>
          <cell r="E105">
            <v>1521.77060594061</v>
          </cell>
          <cell r="F105">
            <v>1422.9640368031801</v>
          </cell>
          <cell r="G105">
            <v>1619.4407883530901</v>
          </cell>
          <cell r="H105">
            <v>1599.96306332112</v>
          </cell>
          <cell r="I105">
            <v>1608.60869711536</v>
          </cell>
          <cell r="J105">
            <v>1591.2147565514399</v>
          </cell>
          <cell r="K105">
            <v>1383.51737814842</v>
          </cell>
          <cell r="L105">
            <v>224.95407853914901</v>
          </cell>
          <cell r="M105">
            <v>268.78647696070499</v>
          </cell>
          <cell r="N105">
            <v>163.12466847347</v>
          </cell>
          <cell r="O105">
            <v>129.789505356104</v>
          </cell>
          <cell r="P105">
            <v>119.444373764487</v>
          </cell>
        </row>
        <row r="106">
          <cell r="A106" t="str">
            <v>CO2</v>
          </cell>
          <cell r="B106" t="str">
            <v>VAR_fout</v>
          </cell>
          <cell r="C106" t="str">
            <v>D-RNGA</v>
          </cell>
          <cell r="E106">
            <v>2650.4048598637</v>
          </cell>
          <cell r="F106">
            <v>2731.8339408281499</v>
          </cell>
          <cell r="G106">
            <v>2743.0031331926398</v>
          </cell>
          <cell r="H106">
            <v>2986.52218772881</v>
          </cell>
          <cell r="I106">
            <v>2919.6517565907702</v>
          </cell>
          <cell r="J106">
            <v>2770.8159679892301</v>
          </cell>
          <cell r="K106">
            <v>2177.72243613</v>
          </cell>
          <cell r="L106">
            <v>839.60487718514503</v>
          </cell>
          <cell r="M106">
            <v>420.85832049948903</v>
          </cell>
          <cell r="N106">
            <v>331.883552544954</v>
          </cell>
          <cell r="O106">
            <v>331.61495722715603</v>
          </cell>
          <cell r="P106">
            <v>274.24291857848601</v>
          </cell>
        </row>
        <row r="107">
          <cell r="A107" t="str">
            <v>CO2</v>
          </cell>
          <cell r="B107" t="str">
            <v>VAR_fout</v>
          </cell>
          <cell r="C107" t="str">
            <v>SUP_WSTHTGBIOCCS</v>
          </cell>
          <cell r="J107">
            <v>-1.59443897415647E-3</v>
          </cell>
          <cell r="K107">
            <v>-2.2067975855734698E-3</v>
          </cell>
          <cell r="L107">
            <v>-1.52008127528421E-2</v>
          </cell>
          <cell r="M107">
            <v>-1.5036954096963E-2</v>
          </cell>
          <cell r="N107">
            <v>-1.10488617636775E-2</v>
          </cell>
          <cell r="O107">
            <v>-1.1577434482943801E-2</v>
          </cell>
          <cell r="P107">
            <v>-1.2940490054544999E-2</v>
          </cell>
        </row>
        <row r="108">
          <cell r="A108" t="str">
            <v>CO2</v>
          </cell>
          <cell r="B108" t="str">
            <v>VAR_fout</v>
          </cell>
          <cell r="C108" t="str">
            <v>D-SLFO</v>
          </cell>
          <cell r="E108">
            <v>2267.7886650247201</v>
          </cell>
          <cell r="F108">
            <v>1993.20104146464</v>
          </cell>
          <cell r="G108">
            <v>1878.46239161217</v>
          </cell>
          <cell r="H108">
            <v>1572.0255581706199</v>
          </cell>
          <cell r="I108">
            <v>1085.96073393503</v>
          </cell>
          <cell r="J108">
            <v>568.66382149458798</v>
          </cell>
          <cell r="K108">
            <v>309.79579712841399</v>
          </cell>
          <cell r="M108">
            <v>4.7729782549884E-3</v>
          </cell>
          <cell r="N108">
            <v>7.1540518707051502E-3</v>
          </cell>
          <cell r="O108">
            <v>6.8024276418061098E-3</v>
          </cell>
          <cell r="P108">
            <v>1.0660288425387399E-2</v>
          </cell>
        </row>
        <row r="109">
          <cell r="A109" t="str">
            <v>CO2</v>
          </cell>
          <cell r="B109" t="str">
            <v>VAR_fout</v>
          </cell>
          <cell r="C109" t="str">
            <v>D-RLFO</v>
          </cell>
          <cell r="E109">
            <v>4514.4826325335198</v>
          </cell>
          <cell r="F109">
            <v>3846.5256089701402</v>
          </cell>
          <cell r="G109">
            <v>3783.0496795793902</v>
          </cell>
          <cell r="H109">
            <v>3112.9694114064901</v>
          </cell>
          <cell r="I109">
            <v>1615.6393318630201</v>
          </cell>
          <cell r="J109">
            <v>903.05108592947602</v>
          </cell>
          <cell r="K109">
            <v>710.32004954949605</v>
          </cell>
          <cell r="M109">
            <v>4.7361052367794303E-3</v>
          </cell>
          <cell r="N109">
            <v>7.1303193367605504E-3</v>
          </cell>
          <cell r="O109">
            <v>6.7340345005500101E-3</v>
          </cell>
          <cell r="P109">
            <v>1.06156063899782E-2</v>
          </cell>
        </row>
        <row r="110">
          <cell r="A110" t="str">
            <v>CO2</v>
          </cell>
          <cell r="B110" t="str">
            <v>VAR_fout</v>
          </cell>
          <cell r="C110" t="str">
            <v>D-TGSL</v>
          </cell>
          <cell r="E110">
            <v>5885.3485365656497</v>
          </cell>
          <cell r="F110">
            <v>5605.5626876064898</v>
          </cell>
          <cell r="G110">
            <v>5842.7274471728197</v>
          </cell>
          <cell r="H110">
            <v>3571.0516144942098</v>
          </cell>
          <cell r="I110">
            <v>1606.2412518250001</v>
          </cell>
          <cell r="J110">
            <v>743.066806360638</v>
          </cell>
          <cell r="K110">
            <v>232.50952416969699</v>
          </cell>
          <cell r="L110">
            <v>23.599663852807598</v>
          </cell>
          <cell r="M110">
            <v>22.4177107288488</v>
          </cell>
          <cell r="N110">
            <v>19.247329040481599</v>
          </cell>
          <cell r="O110">
            <v>17.662806913444701</v>
          </cell>
          <cell r="P110">
            <v>14.219385984399</v>
          </cell>
        </row>
        <row r="111">
          <cell r="A111" t="str">
            <v>CO2</v>
          </cell>
          <cell r="B111" t="str">
            <v>VAR_fout</v>
          </cell>
          <cell r="C111" t="str">
            <v>SUP_WODH2CCS</v>
          </cell>
          <cell r="L111">
            <v>-383.17673859016401</v>
          </cell>
          <cell r="M111">
            <v>-963.67593316353998</v>
          </cell>
          <cell r="N111">
            <v>-963.66789771029403</v>
          </cell>
          <cell r="O111">
            <v>-1058.41903536931</v>
          </cell>
          <cell r="P111">
            <v>-1062.1598890806399</v>
          </cell>
        </row>
        <row r="112">
          <cell r="A112" t="str">
            <v>CO2</v>
          </cell>
          <cell r="B112" t="str">
            <v>VAR_fout</v>
          </cell>
          <cell r="C112" t="str">
            <v>SUP_WODBIOCCS</v>
          </cell>
          <cell r="J112">
            <v>-8.5416054031696009E-3</v>
          </cell>
          <cell r="K112">
            <v>-1.2002030910712501E-2</v>
          </cell>
          <cell r="L112">
            <v>-2.3686503336320899E-2</v>
          </cell>
          <cell r="M112">
            <v>-2.5115253785086E-2</v>
          </cell>
          <cell r="N112">
            <v>-2.3323832089084399E-2</v>
          </cell>
          <cell r="O112">
            <v>-2.3229506142303999E-2</v>
          </cell>
          <cell r="P112">
            <v>-3.8026105386989001E-2</v>
          </cell>
        </row>
        <row r="113">
          <cell r="A113" t="str">
            <v>CO2</v>
          </cell>
          <cell r="B113" t="str">
            <v>VAR_fout</v>
          </cell>
          <cell r="C113" t="str">
            <v>SUP_NGAH2CCS</v>
          </cell>
          <cell r="L113">
            <v>-3.5874213770918E-3</v>
          </cell>
          <cell r="M113">
            <v>-4.1886544626182501E-3</v>
          </cell>
          <cell r="N113">
            <v>-3.8104909796859402E-3</v>
          </cell>
          <cell r="O113">
            <v>-4.5561711479549698E-3</v>
          </cell>
          <cell r="P113">
            <v>-6.6167200586721301E-3</v>
          </cell>
        </row>
        <row r="114">
          <cell r="A114" t="str">
            <v>CO2</v>
          </cell>
          <cell r="B114" t="str">
            <v>VAR_fout</v>
          </cell>
          <cell r="C114" t="str">
            <v>CT_CWODETHCCS</v>
          </cell>
          <cell r="J114">
            <v>-8.5194146833462905E-4</v>
          </cell>
          <cell r="K114">
            <v>-6.6993975061292201E-4</v>
          </cell>
          <cell r="L114">
            <v>-1.33131253308938E-3</v>
          </cell>
          <cell r="M114">
            <v>-5.9212019633779001E-4</v>
          </cell>
          <cell r="N114">
            <v>-1.3542529298761999E-3</v>
          </cell>
          <cell r="O114">
            <v>-9.5443456814332404E-4</v>
          </cell>
          <cell r="P114">
            <v>-3.06443940581023E-3</v>
          </cell>
        </row>
        <row r="115">
          <cell r="A115" t="str">
            <v>CO2</v>
          </cell>
          <cell r="B115" t="str">
            <v>VAR_fout</v>
          </cell>
          <cell r="C115" t="str">
            <v>D-INGA</v>
          </cell>
          <cell r="E115">
            <v>2101.41405860642</v>
          </cell>
          <cell r="F115">
            <v>1757.5828810117901</v>
          </cell>
          <cell r="G115">
            <v>1835.67288881636</v>
          </cell>
          <cell r="H115">
            <v>1360.5898604062099</v>
          </cell>
          <cell r="I115">
            <v>639.42525107009806</v>
          </cell>
          <cell r="J115">
            <v>800.27761310012795</v>
          </cell>
          <cell r="K115">
            <v>545.06093311255802</v>
          </cell>
          <cell r="L115">
            <v>54.387294689906199</v>
          </cell>
          <cell r="M115">
            <v>5.4772000993435703E-2</v>
          </cell>
          <cell r="N115">
            <v>1.23248726570062E-2</v>
          </cell>
          <cell r="O115">
            <v>7.0965308900596998E-3</v>
          </cell>
          <cell r="P115">
            <v>3.1382009709440802E-3</v>
          </cell>
        </row>
        <row r="116">
          <cell r="A116" t="str">
            <v>CO2</v>
          </cell>
          <cell r="B116" t="str">
            <v>VAR_fout</v>
          </cell>
          <cell r="C116" t="str">
            <v>SUP_DAC</v>
          </cell>
          <cell r="J116">
            <v>-1.9430678985890399E-3</v>
          </cell>
          <cell r="K116">
            <v>-3.13917628351471E-3</v>
          </cell>
          <cell r="L116">
            <v>-96.149909621709398</v>
          </cell>
          <cell r="M116">
            <v>-214.27537892772801</v>
          </cell>
          <cell r="N116">
            <v>-1418.6254257380399</v>
          </cell>
          <cell r="O116">
            <v>-2074.3549650134701</v>
          </cell>
          <cell r="P116">
            <v>-2756.9083032561798</v>
          </cell>
        </row>
        <row r="117">
          <cell r="A117" t="str">
            <v>CO2</v>
          </cell>
          <cell r="B117" t="str">
            <v>VAR_fout</v>
          </cell>
          <cell r="C117" t="str">
            <v>CT_CWODBDSCCS</v>
          </cell>
          <cell r="J117">
            <v>-6.6342514675774896E-3</v>
          </cell>
          <cell r="K117">
            <v>-1.05611044828614E-2</v>
          </cell>
          <cell r="L117">
            <v>-604.36664132676799</v>
          </cell>
          <cell r="M117">
            <v>-641.40545832154601</v>
          </cell>
          <cell r="N117">
            <v>-604.36654102854197</v>
          </cell>
          <cell r="O117">
            <v>-641.61583733478506</v>
          </cell>
          <cell r="P117">
            <v>-707.87831979882696</v>
          </cell>
        </row>
        <row r="118">
          <cell r="A118" t="str">
            <v>ENGA</v>
          </cell>
          <cell r="B118" t="str">
            <v>VAR_fout</v>
          </cell>
          <cell r="C118" t="str">
            <v>D-ENGA</v>
          </cell>
          <cell r="E118">
            <v>5.6974516799024233</v>
          </cell>
          <cell r="F118">
            <v>1.7434397837725903</v>
          </cell>
          <cell r="G118">
            <v>1.7283695785370206</v>
          </cell>
          <cell r="J118">
            <v>6.7467167646926006E-6</v>
          </cell>
          <cell r="K118">
            <v>8.6683804424672724E-6</v>
          </cell>
          <cell r="L118">
            <v>3.9893132009347311E-3</v>
          </cell>
          <cell r="M118">
            <v>4.8260011268691798</v>
          </cell>
          <cell r="N118">
            <v>5.4722155106530534</v>
          </cell>
          <cell r="O118">
            <v>5.5573428261996529</v>
          </cell>
          <cell r="P118">
            <v>5.6426451802342825</v>
          </cell>
        </row>
        <row r="119">
          <cell r="A119" t="str">
            <v>ILFO</v>
          </cell>
          <cell r="B119" t="str">
            <v>VAR_fout</v>
          </cell>
          <cell r="C119" t="str">
            <v>D-ILFO</v>
          </cell>
          <cell r="E119">
            <v>9.1899159516577651</v>
          </cell>
          <cell r="F119">
            <v>8.7999999457731146</v>
          </cell>
          <cell r="G119">
            <v>8.0361615318662807</v>
          </cell>
          <cell r="H119">
            <v>7.1182795961633021</v>
          </cell>
          <cell r="I119">
            <v>5.4887658211176511</v>
          </cell>
          <cell r="J119">
            <v>3.5592555436738813</v>
          </cell>
          <cell r="K119">
            <v>1.7849884613434388</v>
          </cell>
          <cell r="L119">
            <v>1.4235669954486938</v>
          </cell>
          <cell r="M119">
            <v>1.4237797899312832</v>
          </cell>
          <cell r="N119">
            <v>1.4236230550811981</v>
          </cell>
          <cell r="O119">
            <v>1.4236220721501558</v>
          </cell>
          <cell r="P119">
            <v>1.4235992761483247</v>
          </cell>
        </row>
        <row r="120">
          <cell r="A120" t="str">
            <v>CHEAT</v>
          </cell>
          <cell r="B120" t="str">
            <v>VAR_fout</v>
          </cell>
          <cell r="C120" t="str">
            <v>D-CHEAT</v>
          </cell>
          <cell r="J120">
            <v>4.1532580536604428E-4</v>
          </cell>
          <cell r="K120">
            <v>5.5710891307763082E-4</v>
          </cell>
          <cell r="L120">
            <v>0.61313950215956081</v>
          </cell>
          <cell r="M120">
            <v>1.3659211993720721</v>
          </cell>
          <cell r="N120">
            <v>9.0422375213780732</v>
          </cell>
          <cell r="O120">
            <v>13.221733418946176</v>
          </cell>
          <cell r="P120">
            <v>17.572402628638859</v>
          </cell>
        </row>
        <row r="121">
          <cell r="A121" t="str">
            <v>CHEAT</v>
          </cell>
          <cell r="B121" t="str">
            <v>VAR_fin</v>
          </cell>
          <cell r="C121" t="str">
            <v>SUP_ELCH2_SOEC</v>
          </cell>
          <cell r="J121">
            <v>4.0240599651903205E-4</v>
          </cell>
          <cell r="K121">
            <v>5.3666824390038407E-4</v>
          </cell>
          <cell r="L121">
            <v>3.0204542315780515E-4</v>
          </cell>
          <cell r="M121">
            <v>1.7911204255013146E-4</v>
          </cell>
          <cell r="N121">
            <v>2.4464388709909916E-4</v>
          </cell>
          <cell r="O121">
            <v>2.7095341767067419E-4</v>
          </cell>
          <cell r="P121">
            <v>5.0183673719457944E-4</v>
          </cell>
        </row>
        <row r="122">
          <cell r="A122" t="str">
            <v>CHEAT</v>
          </cell>
          <cell r="B122" t="str">
            <v>VAR_fin</v>
          </cell>
          <cell r="C122" t="str">
            <v>SUP_DAC</v>
          </cell>
          <cell r="J122">
            <v>1.2919808847011715E-5</v>
          </cell>
          <cell r="K122">
            <v>2.0440669177246615E-5</v>
          </cell>
          <cell r="L122">
            <v>0.612837456736403</v>
          </cell>
          <cell r="M122">
            <v>1.365742087329521</v>
          </cell>
          <cell r="N122">
            <v>9.0419928774909817</v>
          </cell>
          <cell r="O122">
            <v>13.221462465528491</v>
          </cell>
          <cell r="P122">
            <v>17.57190079190168</v>
          </cell>
        </row>
        <row r="123">
          <cell r="A123" t="str">
            <v>EH2</v>
          </cell>
          <cell r="B123" t="str">
            <v>VAR_fout</v>
          </cell>
          <cell r="C123" t="str">
            <v>D-ENGA</v>
          </cell>
          <cell r="J123">
            <v>3.8256751961862988E-6</v>
          </cell>
          <cell r="K123">
            <v>1.8459994264784557E-6</v>
          </cell>
          <cell r="L123">
            <v>8.9038510857615986E-5</v>
          </cell>
          <cell r="M123">
            <v>2.2536371041543171E-2</v>
          </cell>
          <cell r="N123">
            <v>3.802677115118322E-2</v>
          </cell>
          <cell r="O123">
            <v>3.7869803414501406E-2</v>
          </cell>
          <cell r="P123">
            <v>3.4954858474979172E-2</v>
          </cell>
        </row>
        <row r="124">
          <cell r="A124" t="str">
            <v>TDSL</v>
          </cell>
          <cell r="B124" t="str">
            <v>VAR_fout</v>
          </cell>
          <cell r="C124" t="str">
            <v>D-TBDS1</v>
          </cell>
          <cell r="E124">
            <v>2.9712638920671006</v>
          </cell>
          <cell r="F124">
            <v>2.970934652699599</v>
          </cell>
          <cell r="G124">
            <v>4.4340848989654464</v>
          </cell>
          <cell r="H124">
            <v>3.0455280725863885</v>
          </cell>
          <cell r="I124">
            <v>2.9715908149429682</v>
          </cell>
          <cell r="J124">
            <v>2.9709975738043783</v>
          </cell>
          <cell r="K124">
            <v>3.8719685835451001</v>
          </cell>
          <cell r="L124">
            <v>5.3704690332302754</v>
          </cell>
          <cell r="M124">
            <v>3.2957224690370364</v>
          </cell>
          <cell r="N124">
            <v>3.272897452532463</v>
          </cell>
          <cell r="O124">
            <v>3.1632194689499031</v>
          </cell>
          <cell r="P124">
            <v>2.9857667196734106</v>
          </cell>
        </row>
        <row r="125">
          <cell r="A125" t="str">
            <v>CNGA</v>
          </cell>
          <cell r="B125" t="str">
            <v>VAR_fout</v>
          </cell>
          <cell r="C125" t="str">
            <v>D-CNGA</v>
          </cell>
          <cell r="L125">
            <v>1.1813963527827773E-4</v>
          </cell>
          <cell r="M125">
            <v>1.159771527252808E-4</v>
          </cell>
          <cell r="N125">
            <v>1.2825948079029818E-4</v>
          </cell>
          <cell r="O125">
            <v>1.3711846023973376E-4</v>
          </cell>
          <cell r="P125">
            <v>2.3208412052887794E-4</v>
          </cell>
        </row>
        <row r="126">
          <cell r="A126" t="str">
            <v>CNGA</v>
          </cell>
          <cell r="B126" t="str">
            <v>VAR_fin</v>
          </cell>
          <cell r="C126" t="str">
            <v>SUP_NGAH2</v>
          </cell>
          <cell r="L126">
            <v>4.6671363362352123E-5</v>
          </cell>
          <cell r="M126">
            <v>3.253117171846233E-5</v>
          </cell>
          <cell r="N126">
            <v>5.2347237191486658E-5</v>
          </cell>
          <cell r="O126">
            <v>4.6350846327171446E-5</v>
          </cell>
          <cell r="P126">
            <v>1.0026644464490053E-4</v>
          </cell>
        </row>
        <row r="127">
          <cell r="A127" t="str">
            <v>CNGA</v>
          </cell>
          <cell r="B127" t="str">
            <v>VAR_fin</v>
          </cell>
          <cell r="C127" t="str">
            <v>SUP_NGAH2CCS</v>
          </cell>
          <cell r="L127">
            <v>7.1468271915925608E-5</v>
          </cell>
          <cell r="M127">
            <v>8.3445981006818366E-5</v>
          </cell>
          <cell r="N127">
            <v>7.5912243598811493E-5</v>
          </cell>
          <cell r="O127">
            <v>9.0767613912562354E-5</v>
          </cell>
          <cell r="P127">
            <v>1.318176758839774E-4</v>
          </cell>
        </row>
        <row r="128">
          <cell r="A128" t="str">
            <v>LBIO</v>
          </cell>
          <cell r="B128" t="str">
            <v>VAR_fin</v>
          </cell>
          <cell r="C128" t="str">
            <v>D-LBIO</v>
          </cell>
          <cell r="H128">
            <v>2.1355332333529766</v>
          </cell>
          <cell r="I128">
            <v>2.1349967788957644</v>
          </cell>
          <cell r="J128">
            <v>2.1352635463219629</v>
          </cell>
          <cell r="K128">
            <v>2.1353858954894243</v>
          </cell>
          <cell r="L128">
            <v>2.1353393607727242</v>
          </cell>
          <cell r="M128">
            <v>2.1354462530917053</v>
          </cell>
          <cell r="N128">
            <v>2.1350395638674406</v>
          </cell>
          <cell r="O128">
            <v>1.2958274287706679E-3</v>
          </cell>
          <cell r="P128">
            <v>1.0550827098558604E-3</v>
          </cell>
        </row>
        <row r="129">
          <cell r="A129" t="str">
            <v>H2_E</v>
          </cell>
          <cell r="B129" t="str">
            <v>VAR_fout</v>
          </cell>
          <cell r="C129" t="str">
            <v>SUP_ELCH2_D</v>
          </cell>
          <cell r="H129">
            <v>6.0768788701806967E-7</v>
          </cell>
          <cell r="I129">
            <v>1.1594305222038685E-4</v>
          </cell>
          <cell r="J129">
            <v>4.1864380473759439E-4</v>
          </cell>
          <cell r="K129">
            <v>5.8899327361740315E-4</v>
          </cell>
          <cell r="L129">
            <v>6.124129313845848E-4</v>
          </cell>
          <cell r="M129">
            <v>6.1354274304232181E-4</v>
          </cell>
          <cell r="N129">
            <v>6.2056259726280417E-4</v>
          </cell>
          <cell r="O129">
            <v>4.7834154501412229E-4</v>
          </cell>
          <cell r="P129">
            <v>6.1460520543669267E-4</v>
          </cell>
        </row>
        <row r="130">
          <cell r="A130" t="str">
            <v>H2_E</v>
          </cell>
          <cell r="B130" t="str">
            <v>VAR_fin</v>
          </cell>
          <cell r="C130" t="str">
            <v>D-DH2</v>
          </cell>
          <cell r="H130">
            <v>6.0768788701806967E-7</v>
          </cell>
          <cell r="I130">
            <v>1.1594305222038685E-4</v>
          </cell>
          <cell r="J130">
            <v>4.1864380473759439E-4</v>
          </cell>
          <cell r="K130">
            <v>5.8899327361740315E-4</v>
          </cell>
          <cell r="L130">
            <v>6.124129313845848E-4</v>
          </cell>
          <cell r="M130">
            <v>6.1354274304232181E-4</v>
          </cell>
          <cell r="N130">
            <v>6.2056259726280417E-4</v>
          </cell>
          <cell r="O130">
            <v>4.7834154501412229E-4</v>
          </cell>
          <cell r="P130">
            <v>6.1460520543669267E-4</v>
          </cell>
        </row>
        <row r="131">
          <cell r="A131" t="str">
            <v>BNGA</v>
          </cell>
          <cell r="B131" t="str">
            <v>VAR_fout</v>
          </cell>
          <cell r="C131" t="str">
            <v>SUP_BIONGA</v>
          </cell>
          <cell r="E131">
            <v>1.1764710429128831</v>
          </cell>
          <cell r="F131">
            <v>3.3700691398868199</v>
          </cell>
          <cell r="G131">
            <v>2.5184191750773111</v>
          </cell>
          <cell r="H131">
            <v>2.5183902506922653</v>
          </cell>
          <cell r="I131">
            <v>2.5184358793329746</v>
          </cell>
          <cell r="J131">
            <v>2.8155343671757</v>
          </cell>
          <cell r="K131">
            <v>2.8148349414111684</v>
          </cell>
          <cell r="L131">
            <v>3.2405826136007221</v>
          </cell>
          <cell r="M131">
            <v>8.0766612698888203</v>
          </cell>
          <cell r="N131">
            <v>8.7250175252383926</v>
          </cell>
          <cell r="O131">
            <v>8.8104287621817452</v>
          </cell>
          <cell r="P131">
            <v>8.8961408225994276</v>
          </cell>
        </row>
        <row r="132">
          <cell r="A132" t="str">
            <v>BNGA</v>
          </cell>
          <cell r="B132" t="str">
            <v>VAR_fin</v>
          </cell>
          <cell r="C132" t="str">
            <v>D-ENGA</v>
          </cell>
          <cell r="E132">
            <v>0.20540074532834329</v>
          </cell>
          <cell r="F132">
            <v>1.9182614540549234E-5</v>
          </cell>
          <cell r="G132">
            <v>0.34565542042652098</v>
          </cell>
          <cell r="J132">
            <v>7.1607604491606628E-6</v>
          </cell>
          <cell r="K132">
            <v>9.5075230615187625E-6</v>
          </cell>
          <cell r="L132">
            <v>4.0034886956980594E-3</v>
          </cell>
          <cell r="M132">
            <v>4.8414902093588967</v>
          </cell>
          <cell r="N132">
            <v>5.4898195026163252</v>
          </cell>
          <cell r="O132">
            <v>5.5752178823530674</v>
          </cell>
          <cell r="P132">
            <v>5.6607834512336161</v>
          </cell>
        </row>
        <row r="133">
          <cell r="A133" t="str">
            <v>BNGA</v>
          </cell>
          <cell r="B133" t="str">
            <v>VAR_fin</v>
          </cell>
          <cell r="C133" t="str">
            <v>D-CNGA</v>
          </cell>
          <cell r="L133">
            <v>1.1851704647126423E-4</v>
          </cell>
          <cell r="M133">
            <v>1.1634765560914467E-4</v>
          </cell>
          <cell r="N133">
            <v>1.2866922103998551E-4</v>
          </cell>
          <cell r="O133">
            <v>1.3755650155870068E-4</v>
          </cell>
          <cell r="P133">
            <v>2.3282554100639776E-4</v>
          </cell>
        </row>
        <row r="134">
          <cell r="A134" t="str">
            <v>BNGA</v>
          </cell>
          <cell r="B134" t="str">
            <v>VAR_fin</v>
          </cell>
          <cell r="C134" t="str">
            <v>D-TNGA</v>
          </cell>
          <cell r="E134">
            <v>1.9614677378487981E-2</v>
          </cell>
          <cell r="F134">
            <v>2.0109329491209974E-2</v>
          </cell>
          <cell r="G134">
            <v>1.5344290068350056E-3</v>
          </cell>
          <cell r="H134">
            <v>4.6780871572740713E-5</v>
          </cell>
          <cell r="I134">
            <v>4.6189723310201794E-5</v>
          </cell>
          <cell r="J134">
            <v>7.0413604264360301E-4</v>
          </cell>
          <cell r="K134">
            <v>5.0222158988007521E-5</v>
          </cell>
          <cell r="L134">
            <v>1.4063200287688883E-3</v>
          </cell>
        </row>
        <row r="135">
          <cell r="A135" t="str">
            <v>BNGA</v>
          </cell>
          <cell r="B135" t="str">
            <v>VAR_fin</v>
          </cell>
          <cell r="C135" t="str">
            <v>D-SNGA</v>
          </cell>
          <cell r="E135">
            <v>0.30853912076279888</v>
          </cell>
          <cell r="F135">
            <v>3.3494591087473848</v>
          </cell>
          <cell r="G135">
            <v>8.657511816634246E-3</v>
          </cell>
          <cell r="H135">
            <v>7.7469824242587797E-5</v>
          </cell>
          <cell r="I135">
            <v>1.2168989806827261E-4</v>
          </cell>
          <cell r="J135">
            <v>0.1445964339466628</v>
          </cell>
          <cell r="K135">
            <v>0.14459720764845896</v>
          </cell>
          <cell r="L135">
            <v>0.2827100321388788</v>
          </cell>
          <cell r="M135">
            <v>0.28270696098761244</v>
          </cell>
          <cell r="N135">
            <v>0.2827082349033937</v>
          </cell>
          <cell r="O135">
            <v>0.28271175858792025</v>
          </cell>
          <cell r="P135">
            <v>0.28272543824910834</v>
          </cell>
        </row>
        <row r="136">
          <cell r="A136" t="str">
            <v>BNGA</v>
          </cell>
          <cell r="B136" t="str">
            <v>VAR_fin</v>
          </cell>
          <cell r="C136" t="str">
            <v>D-RNGA</v>
          </cell>
          <cell r="E136">
            <v>0.31390653242286004</v>
          </cell>
          <cell r="F136">
            <v>4.8918741809449509E-4</v>
          </cell>
          <cell r="G136">
            <v>4.8941526788644685E-4</v>
          </cell>
          <cell r="H136">
            <v>4.8971392286427493E-4</v>
          </cell>
          <cell r="I136">
            <v>4.9035199828728019E-4</v>
          </cell>
          <cell r="J136">
            <v>0.15245032252147891</v>
          </cell>
          <cell r="K136">
            <v>0.1524510690831844</v>
          </cell>
          <cell r="L136">
            <v>0.4346279912442379</v>
          </cell>
          <cell r="M136">
            <v>0.43462499889864042</v>
          </cell>
          <cell r="N136">
            <v>0.43462628307327672</v>
          </cell>
          <cell r="O136">
            <v>0.43462986683998711</v>
          </cell>
          <cell r="P136">
            <v>0.43464354652505915</v>
          </cell>
        </row>
        <row r="137">
          <cell r="A137" t="str">
            <v>BNGA</v>
          </cell>
          <cell r="B137" t="str">
            <v>VAR_fin</v>
          </cell>
          <cell r="C137" t="str">
            <v>D-INGA</v>
          </cell>
          <cell r="E137">
            <v>0.32901613871718033</v>
          </cell>
          <cell r="F137">
            <v>2.0101019734244572E-5</v>
          </cell>
          <cell r="G137">
            <v>2.1621063190445375</v>
          </cell>
          <cell r="H137">
            <v>2.5178060278255954</v>
          </cell>
          <cell r="I137">
            <v>2.517806300881825</v>
          </cell>
          <cell r="J137">
            <v>2.5178063848925198</v>
          </cell>
          <cell r="K137">
            <v>2.5178064796891557</v>
          </cell>
          <cell r="L137">
            <v>2.5178008374095864</v>
          </cell>
          <cell r="M137">
            <v>2.5177727325489254</v>
          </cell>
          <cell r="N137">
            <v>2.5177729654341694</v>
          </cell>
          <cell r="O137">
            <v>2.5177686912604598</v>
          </cell>
          <cell r="P137">
            <v>2.5177713412731939</v>
          </cell>
        </row>
        <row r="138">
          <cell r="A138" t="str">
            <v>LFO</v>
          </cell>
          <cell r="B138" t="str">
            <v>VAR_fin</v>
          </cell>
          <cell r="C138" t="str">
            <v>D-ILFO</v>
          </cell>
          <cell r="E138">
            <v>9.3460051291053308</v>
          </cell>
          <cell r="F138">
            <v>8.9494664654126748</v>
          </cell>
          <cell r="G138">
            <v>8.1726315707480648</v>
          </cell>
          <cell r="H138">
            <v>5.791434218690438</v>
          </cell>
          <cell r="I138">
            <v>4.1342426806884056</v>
          </cell>
          <cell r="J138">
            <v>2.1719642516253708</v>
          </cell>
          <cell r="K138">
            <v>0.36756129680388866</v>
          </cell>
          <cell r="M138">
            <v>2.1325142142972035E-4</v>
          </cell>
          <cell r="N138">
            <v>5.3331704127706955E-5</v>
          </cell>
          <cell r="O138">
            <v>5.2251838616962628E-5</v>
          </cell>
          <cell r="P138">
            <v>2.7224827572455892E-5</v>
          </cell>
        </row>
        <row r="139">
          <cell r="A139" t="str">
            <v>LFO</v>
          </cell>
          <cell r="B139" t="str">
            <v>VAR_fin</v>
          </cell>
          <cell r="C139" t="str">
            <v>D-SLFO</v>
          </cell>
          <cell r="E139">
            <v>30.770538195722082</v>
          </cell>
          <cell r="F139">
            <v>27.044790250537872</v>
          </cell>
          <cell r="G139">
            <v>25.487956466922341</v>
          </cell>
          <cell r="H139">
            <v>21.330061847633939</v>
          </cell>
          <cell r="I139">
            <v>14.734881057463072</v>
          </cell>
          <cell r="J139">
            <v>7.715927021636193</v>
          </cell>
          <cell r="K139">
            <v>4.2034707887166007</v>
          </cell>
          <cell r="M139">
            <v>6.4762255834306594E-5</v>
          </cell>
          <cell r="N139">
            <v>9.7069903266012932E-5</v>
          </cell>
          <cell r="O139">
            <v>9.2298882521114201E-5</v>
          </cell>
          <cell r="P139">
            <v>1.4464434769860822E-4</v>
          </cell>
        </row>
        <row r="140">
          <cell r="A140" t="str">
            <v>LFO</v>
          </cell>
          <cell r="B140" t="str">
            <v>VAR_fin</v>
          </cell>
          <cell r="C140" t="str">
            <v>D-RLFO</v>
          </cell>
          <cell r="E140">
            <v>61.254852544552506</v>
          </cell>
          <cell r="F140">
            <v>52.191663622389918</v>
          </cell>
          <cell r="G140">
            <v>51.33038913947609</v>
          </cell>
          <cell r="H140">
            <v>42.238390928175008</v>
          </cell>
          <cell r="I140">
            <v>21.921836253229547</v>
          </cell>
          <cell r="J140">
            <v>12.253067651688966</v>
          </cell>
          <cell r="K140">
            <v>9.6379925312007693</v>
          </cell>
          <cell r="M140">
            <v>6.426194351125426E-5</v>
          </cell>
          <cell r="N140">
            <v>9.6747887880061696E-5</v>
          </cell>
          <cell r="O140">
            <v>9.1370888745590347E-5</v>
          </cell>
          <cell r="P140">
            <v>1.4403807856144078E-4</v>
          </cell>
        </row>
        <row r="141">
          <cell r="A141" t="str">
            <v>MNR</v>
          </cell>
          <cell r="B141" t="str">
            <v>VAR_fin</v>
          </cell>
          <cell r="C141" t="str">
            <v>SUP_MNRBIO</v>
          </cell>
          <cell r="E141">
            <v>3.7980812744427261</v>
          </cell>
          <cell r="F141">
            <v>10.104624498381034</v>
          </cell>
          <cell r="G141">
            <v>12.540343482730803</v>
          </cell>
          <cell r="H141">
            <v>12.540426352787197</v>
          </cell>
          <cell r="I141">
            <v>12.540427040899422</v>
          </cell>
          <cell r="J141">
            <v>12.541358602022685</v>
          </cell>
          <cell r="K141">
            <v>12.544035058279354</v>
          </cell>
          <cell r="L141">
            <v>18.811868762304623</v>
          </cell>
          <cell r="M141">
            <v>18.811870497092492</v>
          </cell>
          <cell r="N141">
            <v>18.811915777362934</v>
          </cell>
          <cell r="O141">
            <v>18.811920036107502</v>
          </cell>
          <cell r="P141">
            <v>18.812258139220646</v>
          </cell>
        </row>
        <row r="142">
          <cell r="A142" t="str">
            <v>TNGA</v>
          </cell>
          <cell r="B142" t="str">
            <v>VAR_fout</v>
          </cell>
          <cell r="C142" t="str">
            <v>D-TNGA</v>
          </cell>
          <cell r="E142">
            <v>0.25718401308580474</v>
          </cell>
          <cell r="F142">
            <v>0.16308189971156387</v>
          </cell>
          <cell r="G142">
            <v>0.23003696537533411</v>
          </cell>
          <cell r="H142">
            <v>9.3180659073683336E-3</v>
          </cell>
          <cell r="I142">
            <v>1.1088034999549895E-3</v>
          </cell>
          <cell r="J142">
            <v>1.1160506302196917E-3</v>
          </cell>
          <cell r="K142">
            <v>2.414316768601335E-3</v>
          </cell>
          <cell r="L142">
            <v>1.8981337020736247E-3</v>
          </cell>
        </row>
        <row r="143">
          <cell r="A143" t="str">
            <v>WOD</v>
          </cell>
          <cell r="B143" t="str">
            <v>VAR_fin</v>
          </cell>
          <cell r="C143" t="str">
            <v>D-CWOD</v>
          </cell>
          <cell r="E143">
            <v>9.5919244246933637</v>
          </cell>
          <cell r="F143">
            <v>10.113080139210107</v>
          </cell>
          <cell r="G143">
            <v>9.8755352055057148</v>
          </cell>
          <cell r="H143">
            <v>8.3773118152602049</v>
          </cell>
          <cell r="I143">
            <v>8.7178155648267026</v>
          </cell>
          <cell r="J143">
            <v>9.1724868845936793</v>
          </cell>
          <cell r="K143">
            <v>9.294734502215432</v>
          </cell>
          <cell r="L143">
            <v>23.119478473999973</v>
          </cell>
          <cell r="M143">
            <v>28.75653995246951</v>
          </cell>
          <cell r="N143">
            <v>28.27127662136165</v>
          </cell>
          <cell r="O143">
            <v>29.806162893506261</v>
          </cell>
          <cell r="P143">
            <v>30.901825224203371</v>
          </cell>
        </row>
        <row r="144">
          <cell r="A144" t="str">
            <v>GSL</v>
          </cell>
          <cell r="B144" t="str">
            <v>VAR_fout</v>
          </cell>
          <cell r="C144" t="str">
            <v>SUP_H2GSL</v>
          </cell>
          <cell r="J144">
            <v>0.15786632122819644</v>
          </cell>
          <cell r="K144">
            <v>0.11138715857687166</v>
          </cell>
          <cell r="L144">
            <v>0.31977864299197328</v>
          </cell>
          <cell r="M144">
            <v>6.6564858382103562E-2</v>
          </cell>
          <cell r="N144">
            <v>5.6774783308111421E-2</v>
          </cell>
          <cell r="O144">
            <v>9.8529032100868913E-2</v>
          </cell>
          <cell r="P144">
            <v>8.4244807186383538E-2</v>
          </cell>
        </row>
        <row r="145">
          <cell r="A145" t="str">
            <v>GSL</v>
          </cell>
          <cell r="B145" t="str">
            <v>VAR_fin</v>
          </cell>
          <cell r="C145" t="str">
            <v>D-TGSL</v>
          </cell>
          <cell r="E145">
            <v>79.747270143165935</v>
          </cell>
          <cell r="F145">
            <v>75.956133978407706</v>
          </cell>
          <cell r="G145">
            <v>79.1697486066778</v>
          </cell>
          <cell r="H145">
            <v>48.388233258729166</v>
          </cell>
          <cell r="I145">
            <v>21.764786610094884</v>
          </cell>
          <cell r="J145">
            <v>10.068655912745772</v>
          </cell>
          <cell r="K145">
            <v>3.1505355578549672</v>
          </cell>
          <cell r="L145">
            <v>0.31977864299197328</v>
          </cell>
          <cell r="M145">
            <v>0.30376301800608063</v>
          </cell>
          <cell r="N145">
            <v>0.26080391653769053</v>
          </cell>
          <cell r="O145">
            <v>0.23933342701144558</v>
          </cell>
          <cell r="P145">
            <v>0.19267460683467424</v>
          </cell>
        </row>
        <row r="146">
          <cell r="A146" t="str">
            <v>IBIO</v>
          </cell>
          <cell r="B146" t="str">
            <v>VAR_fout</v>
          </cell>
          <cell r="C146" t="str">
            <v>D-IBIO</v>
          </cell>
          <cell r="E146">
            <v>0.43672583991544323</v>
          </cell>
          <cell r="F146">
            <v>0.55206524256937328</v>
          </cell>
          <cell r="G146">
            <v>2.7640127060525521</v>
          </cell>
          <cell r="H146">
            <v>6.1732572179567686</v>
          </cell>
          <cell r="I146">
            <v>6.1732662663738918</v>
          </cell>
          <cell r="J146">
            <v>6.173266820329661</v>
          </cell>
          <cell r="K146">
            <v>6.1732671991427885</v>
          </cell>
          <cell r="L146">
            <v>6.1732682072818728</v>
          </cell>
          <cell r="M146">
            <v>6.1732706600514353</v>
          </cell>
          <cell r="N146">
            <v>6.1732966688306687</v>
          </cell>
          <cell r="O146">
            <v>6.1732982669099972</v>
          </cell>
          <cell r="P146">
            <v>6.1733133709152055</v>
          </cell>
        </row>
        <row r="147">
          <cell r="A147" t="str">
            <v>SNGA</v>
          </cell>
          <cell r="B147" t="str">
            <v>VAR_fout</v>
          </cell>
          <cell r="C147" t="str">
            <v>D-SNGA</v>
          </cell>
          <cell r="E147">
            <v>27.20338299287258</v>
          </cell>
          <cell r="F147">
            <v>28.488308608602583</v>
          </cell>
          <cell r="G147">
            <v>28.630682527790441</v>
          </cell>
          <cell r="H147">
            <v>28.277858350792254</v>
          </cell>
          <cell r="I147">
            <v>28.430601345434177</v>
          </cell>
          <cell r="J147">
            <v>28.266747325802797</v>
          </cell>
          <cell r="K147">
            <v>24.595873103000837</v>
          </cell>
          <cell r="L147">
            <v>4.2571944483165511</v>
          </cell>
          <cell r="M147">
            <v>5.0318269046009911</v>
          </cell>
          <cell r="N147">
            <v>3.1645377890869328</v>
          </cell>
          <cell r="O147">
            <v>2.5755999050487177</v>
          </cell>
          <cell r="P147">
            <v>2.3927799197626411</v>
          </cell>
        </row>
        <row r="148">
          <cell r="A148" t="str">
            <v>AUX_H2STG_IN</v>
          </cell>
          <cell r="B148" t="str">
            <v>VAR_fin</v>
          </cell>
          <cell r="C148" t="str">
            <v>STG-H2</v>
          </cell>
          <cell r="H148">
            <v>2.3907742555398721E-6</v>
          </cell>
          <cell r="I148">
            <v>1.4779591904607866E-5</v>
          </cell>
          <cell r="J148">
            <v>1.7714860123073714E-5</v>
          </cell>
          <cell r="K148">
            <v>1.6236894520665526E-5</v>
          </cell>
          <cell r="L148">
            <v>2.4683005359932151E-5</v>
          </cell>
          <cell r="M148">
            <v>1.4994358297380566E-5</v>
          </cell>
          <cell r="N148">
            <v>1.9528290376463973E-5</v>
          </cell>
          <cell r="O148">
            <v>1.9604070531935287E-5</v>
          </cell>
          <cell r="P148">
            <v>3.8687257191982471E-5</v>
          </cell>
        </row>
        <row r="149">
          <cell r="A149" t="str">
            <v>AUX_H2STG_IN</v>
          </cell>
          <cell r="B149" t="str">
            <v>VAR_fin</v>
          </cell>
          <cell r="C149" t="str">
            <v>STG-H2</v>
          </cell>
          <cell r="H149">
            <v>9.4177975770480088E-6</v>
          </cell>
          <cell r="I149">
            <v>6.7018745117828455E-5</v>
          </cell>
          <cell r="J149">
            <v>8.2544617956066242E-5</v>
          </cell>
          <cell r="K149">
            <v>7.9516773827126565E-5</v>
          </cell>
          <cell r="L149">
            <v>1.1045940312463648E-4</v>
          </cell>
          <cell r="M149">
            <v>6.7209688426099411E-5</v>
          </cell>
          <cell r="N149">
            <v>8.5230156108486674E-5</v>
          </cell>
          <cell r="O149">
            <v>8.5191622353529922E-5</v>
          </cell>
          <cell r="P149">
            <v>1.6236767619755697E-4</v>
          </cell>
        </row>
        <row r="150">
          <cell r="A150" t="str">
            <v>AUX_H2STG_IN</v>
          </cell>
          <cell r="B150" t="str">
            <v>VAR_fin</v>
          </cell>
          <cell r="C150" t="str">
            <v>STG-H2</v>
          </cell>
          <cell r="H150">
            <v>1.6534911643689225E-6</v>
          </cell>
          <cell r="I150">
            <v>4.5067411753570349E-6</v>
          </cell>
          <cell r="J150">
            <v>1.2602575949883601E-5</v>
          </cell>
          <cell r="K150">
            <v>1.1764096850948259E-5</v>
          </cell>
          <cell r="L150">
            <v>1.6911050192320733E-5</v>
          </cell>
          <cell r="M150">
            <v>9.2819879824871101E-6</v>
          </cell>
          <cell r="N150">
            <v>1.1297783986694971E-5</v>
          </cell>
          <cell r="O150">
            <v>9.8054728203533521E-6</v>
          </cell>
          <cell r="P150">
            <v>2.0414023810645697E-5</v>
          </cell>
        </row>
        <row r="151">
          <cell r="A151" t="str">
            <v>AUX_H2STG_IN</v>
          </cell>
          <cell r="B151" t="str">
            <v>VAR_fin</v>
          </cell>
          <cell r="C151" t="str">
            <v>STG-H2</v>
          </cell>
          <cell r="H151">
            <v>2.1617186354592688E-6</v>
          </cell>
          <cell r="I151">
            <v>1.4192490094230524E-5</v>
          </cell>
          <cell r="J151">
            <v>1.3451123182207727E-5</v>
          </cell>
          <cell r="K151">
            <v>1.2559050093520482E-5</v>
          </cell>
          <cell r="L151">
            <v>1.8541865059102917E-5</v>
          </cell>
          <cell r="M151">
            <v>1.0489318170190328E-5</v>
          </cell>
          <cell r="N151">
            <v>1.6038061923182529E-5</v>
          </cell>
          <cell r="O151">
            <v>1.6806960534639306E-5</v>
          </cell>
          <cell r="P151">
            <v>3.2283388721761366E-5</v>
          </cell>
        </row>
        <row r="152">
          <cell r="A152" t="str">
            <v>AUX_H2STG_IN</v>
          </cell>
          <cell r="B152" t="str">
            <v>VAR_fin</v>
          </cell>
          <cell r="C152" t="str">
            <v>STG-H2</v>
          </cell>
          <cell r="H152">
            <v>3.2118135216799622E-6</v>
          </cell>
          <cell r="I152">
            <v>3.3539921943632987E-5</v>
          </cell>
          <cell r="J152">
            <v>3.8776058700901246E-5</v>
          </cell>
          <cell r="K152">
            <v>3.8956732361992297E-5</v>
          </cell>
          <cell r="L152">
            <v>5.0323482513280876E-5</v>
          </cell>
          <cell r="M152">
            <v>3.2444023976041438E-5</v>
          </cell>
          <cell r="N152">
            <v>3.8366019822145151E-5</v>
          </cell>
          <cell r="O152">
            <v>3.8975118466602073E-5</v>
          </cell>
          <cell r="P152">
            <v>7.0983006473167347E-5</v>
          </cell>
        </row>
        <row r="153">
          <cell r="A153" t="str">
            <v>H2</v>
          </cell>
          <cell r="B153" t="str">
            <v>VAR_fout</v>
          </cell>
          <cell r="C153" t="str">
            <v>SUP_NGAH2</v>
          </cell>
          <cell r="L153">
            <v>3.5470236155387628E-5</v>
          </cell>
          <cell r="M153">
            <v>2.4723690506031375E-5</v>
          </cell>
          <cell r="N153">
            <v>3.9783900265529844E-5</v>
          </cell>
          <cell r="O153">
            <v>3.5226643208650273E-5</v>
          </cell>
          <cell r="P153">
            <v>7.6202497930124338E-5</v>
          </cell>
        </row>
        <row r="154">
          <cell r="A154" t="str">
            <v>H2</v>
          </cell>
          <cell r="B154" t="str">
            <v>VAR_fout</v>
          </cell>
          <cell r="C154" t="str">
            <v>STG-H2</v>
          </cell>
          <cell r="H154">
            <v>2.2842600720732581E-6</v>
          </cell>
          <cell r="I154">
            <v>1.4383792474216645E-5</v>
          </cell>
          <cell r="J154">
            <v>1.8418283360077395E-5</v>
          </cell>
          <cell r="K154">
            <v>1.8514111117780293E-5</v>
          </cell>
          <cell r="L154">
            <v>2.6493199484821438E-5</v>
          </cell>
          <cell r="M154">
            <v>1.5075073821159432E-5</v>
          </cell>
          <cell r="N154">
            <v>1.9538452969118552E-5</v>
          </cell>
          <cell r="O154">
            <v>1.9078163746107642E-5</v>
          </cell>
          <cell r="P154">
            <v>3.7868198476264311E-5</v>
          </cell>
        </row>
        <row r="155">
          <cell r="A155" t="str">
            <v>H2</v>
          </cell>
          <cell r="B155" t="str">
            <v>VAR_fout</v>
          </cell>
          <cell r="C155" t="str">
            <v>STG-H2</v>
          </cell>
          <cell r="H155">
            <v>9.3222605841641133E-6</v>
          </cell>
          <cell r="I155">
            <v>6.6356026669576012E-5</v>
          </cell>
          <cell r="J155">
            <v>8.1719013683133966E-5</v>
          </cell>
          <cell r="K155">
            <v>7.8720513671442545E-5</v>
          </cell>
          <cell r="L155">
            <v>1.0935586995607736E-4</v>
          </cell>
          <cell r="M155">
            <v>6.652029063527345E-5</v>
          </cell>
          <cell r="N155">
            <v>8.4375526534657201E-5</v>
          </cell>
          <cell r="O155">
            <v>8.4338988035506158E-5</v>
          </cell>
          <cell r="P155">
            <v>1.6074072177240994E-4</v>
          </cell>
        </row>
        <row r="156">
          <cell r="A156" t="str">
            <v>H2</v>
          </cell>
          <cell r="B156" t="str">
            <v>VAR_fout</v>
          </cell>
          <cell r="C156" t="str">
            <v>STG-H2</v>
          </cell>
          <cell r="H156">
            <v>3.0317796007246867E-6</v>
          </cell>
          <cell r="I156">
            <v>2.6763164265884252E-5</v>
          </cell>
          <cell r="J156">
            <v>2.5320879681420902E-5</v>
          </cell>
          <cell r="K156">
            <v>2.386317682257979E-5</v>
          </cell>
          <cell r="L156">
            <v>3.3720877775991916E-5</v>
          </cell>
          <cell r="M156">
            <v>2.3365301639201559E-5</v>
          </cell>
          <cell r="N156">
            <v>3.193431979868601E-5</v>
          </cell>
          <cell r="O156">
            <v>3.5237043010069845E-5</v>
          </cell>
          <cell r="P156">
            <v>6.3369275593506575E-5</v>
          </cell>
        </row>
        <row r="157">
          <cell r="A157" t="str">
            <v>H2</v>
          </cell>
          <cell r="B157" t="str">
            <v>VAR_fout</v>
          </cell>
          <cell r="C157" t="str">
            <v>STG-H2</v>
          </cell>
          <cell r="H157">
            <v>1.9819634146229693E-6</v>
          </cell>
          <cell r="I157">
            <v>1.3911145393313906E-5</v>
          </cell>
          <cell r="J157">
            <v>2.3918638700289184E-5</v>
          </cell>
          <cell r="K157">
            <v>2.4040675942503759E-5</v>
          </cell>
          <cell r="L157">
            <v>3.4040864327218256E-5</v>
          </cell>
          <cell r="M157">
            <v>1.8770058988287343E-5</v>
          </cell>
          <cell r="N157">
            <v>2.1059529786845191E-5</v>
          </cell>
          <cell r="O157">
            <v>1.8654522368645055E-5</v>
          </cell>
          <cell r="P157">
            <v>3.7487769458742161E-5</v>
          </cell>
        </row>
        <row r="158">
          <cell r="A158" t="str">
            <v>H2</v>
          </cell>
          <cell r="B158" t="str">
            <v>VAR_fout</v>
          </cell>
          <cell r="C158" t="str">
            <v>STG-H2</v>
          </cell>
          <cell r="H158">
            <v>2.0242574967432234E-6</v>
          </cell>
          <cell r="I158">
            <v>1.1297924536161162E-5</v>
          </cell>
          <cell r="J158">
            <v>1.4061211941346537E-5</v>
          </cell>
          <cell r="K158">
            <v>1.2302549788578865E-5</v>
          </cell>
          <cell r="L158">
            <v>1.5100928368045953E-5</v>
          </cell>
          <cell r="M158">
            <v>9.3098561866249431E-6</v>
          </cell>
          <cell r="N158">
            <v>1.1843223980007659E-5</v>
          </cell>
          <cell r="O158">
            <v>1.1369258910683689E-5</v>
          </cell>
          <cell r="P158">
            <v>2.2015478243896879E-5</v>
          </cell>
        </row>
        <row r="159">
          <cell r="A159" t="str">
            <v>H2</v>
          </cell>
          <cell r="B159" t="str">
            <v>VAR_fout</v>
          </cell>
          <cell r="C159" t="str">
            <v>IMPH2</v>
          </cell>
          <cell r="J159">
            <v>6.100730703788078</v>
          </cell>
          <cell r="K159">
            <v>8.2900267172746407</v>
          </cell>
          <cell r="L159">
            <v>12.022692455690525</v>
          </cell>
          <cell r="M159">
            <v>9.6741155505917558</v>
          </cell>
          <cell r="N159">
            <v>8.3073203725475295</v>
          </cell>
          <cell r="O159">
            <v>6.8061969703253675</v>
          </cell>
          <cell r="P159">
            <v>6.6822233684149666</v>
          </cell>
        </row>
        <row r="160">
          <cell r="A160" t="str">
            <v>H2</v>
          </cell>
          <cell r="B160" t="str">
            <v>VAR_fout</v>
          </cell>
          <cell r="C160" t="str">
            <v>SUP_WODH2</v>
          </cell>
          <cell r="L160">
            <v>3.9912989837758647E-5</v>
          </cell>
          <cell r="M160">
            <v>1.7662867257627527E-5</v>
          </cell>
          <cell r="N160">
            <v>4.8373638003051261E-5</v>
          </cell>
          <cell r="O160">
            <v>2.9968715861890939E-5</v>
          </cell>
          <cell r="P160">
            <v>1.2453310588613354E-4</v>
          </cell>
        </row>
        <row r="161">
          <cell r="A161" t="str">
            <v>H2</v>
          </cell>
          <cell r="B161" t="str">
            <v>VAR_fout</v>
          </cell>
          <cell r="C161" t="str">
            <v>SUP_ELCH2_SOEC</v>
          </cell>
          <cell r="J161">
            <v>2.6930247459350568E-3</v>
          </cell>
          <cell r="K161">
            <v>4.1197179899411848E-3</v>
          </cell>
          <cell r="L161">
            <v>2.7184088084202451E-3</v>
          </cell>
          <cell r="M161">
            <v>1.6120083829511841E-3</v>
          </cell>
          <cell r="N161">
            <v>2.2017949838918941E-3</v>
          </cell>
          <cell r="O161">
            <v>2.4385807590360715E-3</v>
          </cell>
          <cell r="P161">
            <v>4.5165306347512207E-3</v>
          </cell>
        </row>
        <row r="162">
          <cell r="A162" t="str">
            <v>H2</v>
          </cell>
          <cell r="B162" t="str">
            <v>VAR_fout</v>
          </cell>
          <cell r="C162" t="str">
            <v>SUP_WODH2CCS</v>
          </cell>
          <cell r="L162">
            <v>2.2047867895068927</v>
          </cell>
          <cell r="M162">
            <v>5.5449607265362379</v>
          </cell>
          <cell r="N162">
            <v>5.5449144907933494</v>
          </cell>
          <cell r="O162">
            <v>6.0901095289107277</v>
          </cell>
          <cell r="P162">
            <v>6.1116342824084349</v>
          </cell>
        </row>
        <row r="163">
          <cell r="A163" t="str">
            <v>H2</v>
          </cell>
          <cell r="B163" t="str">
            <v>VAR_fout</v>
          </cell>
          <cell r="C163" t="str">
            <v>SUP_NGAH2CCS</v>
          </cell>
          <cell r="L163">
            <v>4.931310762198868E-5</v>
          </cell>
          <cell r="M163">
            <v>5.7577726894704714E-5</v>
          </cell>
          <cell r="N163">
            <v>5.2379448083179943E-5</v>
          </cell>
          <cell r="O163">
            <v>6.2629653599668026E-5</v>
          </cell>
          <cell r="P163">
            <v>9.0954196359944374E-5</v>
          </cell>
        </row>
        <row r="164">
          <cell r="A164" t="str">
            <v>H2</v>
          </cell>
          <cell r="B164" t="str">
            <v>VAR_fout</v>
          </cell>
          <cell r="C164" t="str">
            <v>SUP_ELCH2</v>
          </cell>
          <cell r="E164">
            <v>3.3783454752897733E-3</v>
          </cell>
          <cell r="F164">
            <v>4.7410420229986672E-3</v>
          </cell>
          <cell r="G164">
            <v>4.7457173590093093E-3</v>
          </cell>
          <cell r="H164">
            <v>3.0412400769226397E-2</v>
          </cell>
          <cell r="I164">
            <v>11.462043696483491</v>
          </cell>
          <cell r="J164">
            <v>11.459049516678011</v>
          </cell>
          <cell r="K164">
            <v>11.457456216240415</v>
          </cell>
          <cell r="L164">
            <v>16.857360410930525</v>
          </cell>
          <cell r="M164">
            <v>17.335835189813483</v>
          </cell>
          <cell r="N164">
            <v>23.535832145440317</v>
          </cell>
          <cell r="O164">
            <v>25.72072377057674</v>
          </cell>
          <cell r="P164">
            <v>25.825227381265755</v>
          </cell>
        </row>
        <row r="165">
          <cell r="A165" t="str">
            <v>H2</v>
          </cell>
          <cell r="B165" t="str">
            <v>VAR_fout</v>
          </cell>
          <cell r="C165" t="str">
            <v>D-DH2</v>
          </cell>
          <cell r="H165">
            <v>6.0161100814788888E-7</v>
          </cell>
          <cell r="I165">
            <v>1.1478362169818295E-4</v>
          </cell>
          <cell r="J165">
            <v>4.1445736669021841E-4</v>
          </cell>
          <cell r="K165">
            <v>5.8310334088122989E-4</v>
          </cell>
          <cell r="L165">
            <v>6.0628880207073933E-4</v>
          </cell>
          <cell r="M165">
            <v>6.0740731561189829E-4</v>
          </cell>
          <cell r="N165">
            <v>6.1435697129017485E-4</v>
          </cell>
          <cell r="O165">
            <v>4.7355812956398097E-4</v>
          </cell>
          <cell r="P165">
            <v>6.0845915338232626E-4</v>
          </cell>
        </row>
        <row r="166">
          <cell r="A166" t="str">
            <v>H2</v>
          </cell>
          <cell r="B166" t="str">
            <v>VAR_fin</v>
          </cell>
          <cell r="C166" t="str">
            <v>STG-H2</v>
          </cell>
          <cell r="H166">
            <v>2.3907742555398721E-6</v>
          </cell>
          <cell r="I166">
            <v>1.4779591904607866E-5</v>
          </cell>
          <cell r="J166">
            <v>1.7714860123073714E-5</v>
          </cell>
          <cell r="K166">
            <v>1.6236894520665526E-5</v>
          </cell>
          <cell r="L166">
            <v>2.4683005359932151E-5</v>
          </cell>
          <cell r="M166">
            <v>1.4994358297380566E-5</v>
          </cell>
          <cell r="N166">
            <v>1.9528290376463973E-5</v>
          </cell>
          <cell r="O166">
            <v>1.9604070531935287E-5</v>
          </cell>
          <cell r="P166">
            <v>3.8687257191982471E-5</v>
          </cell>
        </row>
        <row r="167">
          <cell r="A167" t="str">
            <v>H2</v>
          </cell>
          <cell r="B167" t="str">
            <v>VAR_fin</v>
          </cell>
          <cell r="C167" t="str">
            <v>STG-H2</v>
          </cell>
          <cell r="H167">
            <v>9.4177975770480088E-6</v>
          </cell>
          <cell r="I167">
            <v>6.7018745117828455E-5</v>
          </cell>
          <cell r="J167">
            <v>8.2544617956066242E-5</v>
          </cell>
          <cell r="K167">
            <v>7.9516773827126565E-5</v>
          </cell>
          <cell r="L167">
            <v>1.1045940312463648E-4</v>
          </cell>
          <cell r="M167">
            <v>6.7209688426099411E-5</v>
          </cell>
          <cell r="N167">
            <v>8.5230156108486674E-5</v>
          </cell>
          <cell r="O167">
            <v>8.5191622353529922E-5</v>
          </cell>
          <cell r="P167">
            <v>1.6236767619755697E-4</v>
          </cell>
        </row>
        <row r="168">
          <cell r="A168" t="str">
            <v>H2</v>
          </cell>
          <cell r="B168" t="str">
            <v>VAR_fin</v>
          </cell>
          <cell r="C168" t="str">
            <v>STG-H2</v>
          </cell>
          <cell r="H168">
            <v>1.6534911643689225E-6</v>
          </cell>
          <cell r="I168">
            <v>4.5067411753570349E-6</v>
          </cell>
          <cell r="J168">
            <v>1.2602575949883601E-5</v>
          </cell>
          <cell r="K168">
            <v>1.1764096850948259E-5</v>
          </cell>
          <cell r="L168">
            <v>1.6911050192320733E-5</v>
          </cell>
          <cell r="M168">
            <v>9.2819879824871101E-6</v>
          </cell>
          <cell r="N168">
            <v>1.1297783986694971E-5</v>
          </cell>
          <cell r="O168">
            <v>9.8054728203533521E-6</v>
          </cell>
          <cell r="P168">
            <v>2.0414023810645697E-5</v>
          </cell>
        </row>
        <row r="169">
          <cell r="A169" t="str">
            <v>H2</v>
          </cell>
          <cell r="B169" t="str">
            <v>VAR_fin</v>
          </cell>
          <cell r="C169" t="str">
            <v>STG-H2</v>
          </cell>
          <cell r="H169">
            <v>2.1617186354592688E-6</v>
          </cell>
          <cell r="I169">
            <v>1.4192490094230524E-5</v>
          </cell>
          <cell r="J169">
            <v>1.3451123182207727E-5</v>
          </cell>
          <cell r="K169">
            <v>1.2559050093520482E-5</v>
          </cell>
          <cell r="L169">
            <v>1.8541865059102917E-5</v>
          </cell>
          <cell r="M169">
            <v>1.0489318170190328E-5</v>
          </cell>
          <cell r="N169">
            <v>1.6038061923182529E-5</v>
          </cell>
          <cell r="O169">
            <v>1.6806960534639306E-5</v>
          </cell>
          <cell r="P169">
            <v>3.2283388721761366E-5</v>
          </cell>
        </row>
        <row r="170">
          <cell r="A170" t="str">
            <v>H2</v>
          </cell>
          <cell r="B170" t="str">
            <v>VAR_fin</v>
          </cell>
          <cell r="C170" t="str">
            <v>STG-H2</v>
          </cell>
          <cell r="H170">
            <v>3.2118135216799622E-6</v>
          </cell>
          <cell r="I170">
            <v>3.3539921943632987E-5</v>
          </cell>
          <cell r="J170">
            <v>3.8776058700901246E-5</v>
          </cell>
          <cell r="K170">
            <v>3.8956732361992297E-5</v>
          </cell>
          <cell r="L170">
            <v>5.0323482513280876E-5</v>
          </cell>
          <cell r="M170">
            <v>3.2444023976041438E-5</v>
          </cell>
          <cell r="N170">
            <v>3.8366019822145151E-5</v>
          </cell>
          <cell r="O170">
            <v>3.8975118466602073E-5</v>
          </cell>
          <cell r="P170">
            <v>7.0983006473167347E-5</v>
          </cell>
        </row>
        <row r="171">
          <cell r="A171" t="str">
            <v>H2</v>
          </cell>
          <cell r="B171" t="str">
            <v>VAR_fin</v>
          </cell>
          <cell r="C171" t="str">
            <v>SUP_H2NGA</v>
          </cell>
          <cell r="J171">
            <v>3.3764516511257105E-4</v>
          </cell>
          <cell r="K171">
            <v>1.3843993325550819E-4</v>
          </cell>
          <cell r="L171">
            <v>2.429537270702946E-3</v>
          </cell>
          <cell r="M171">
            <v>1.6610527261113111</v>
          </cell>
          <cell r="N171">
            <v>6.497784387963911</v>
          </cell>
          <cell r="O171">
            <v>9.2626823471576678</v>
          </cell>
          <cell r="P171">
            <v>9.3216829735358786</v>
          </cell>
        </row>
        <row r="172">
          <cell r="A172" t="str">
            <v>H2</v>
          </cell>
          <cell r="B172" t="str">
            <v>VAR_fin</v>
          </cell>
          <cell r="C172" t="str">
            <v>D-ENGA</v>
          </cell>
          <cell r="J172">
            <v>2.5658634562501981E-7</v>
          </cell>
          <cell r="K172">
            <v>4.1118040244765196E-8</v>
          </cell>
          <cell r="L172">
            <v>8.7543855877485609E-5</v>
          </cell>
          <cell r="M172">
            <v>2.2535225589520202E-2</v>
          </cell>
          <cell r="N172">
            <v>3.8026613963166339E-2</v>
          </cell>
          <cell r="O172">
            <v>3.7869537474969156E-2</v>
          </cell>
          <cell r="P172">
            <v>3.495359859996798E-2</v>
          </cell>
        </row>
        <row r="173">
          <cell r="A173" t="str">
            <v>H2</v>
          </cell>
          <cell r="B173" t="str">
            <v>VAR_fin</v>
          </cell>
          <cell r="C173" t="str">
            <v>D-TNGA</v>
          </cell>
          <cell r="F173">
            <v>1.9418834634555133E-3</v>
          </cell>
          <cell r="G173">
            <v>2.0356297603475425E-3</v>
          </cell>
          <cell r="H173">
            <v>2.1259518439675455E-5</v>
          </cell>
          <cell r="I173">
            <v>1.0017042011985066E-5</v>
          </cell>
          <cell r="J173">
            <v>1.9410403194463824E-5</v>
          </cell>
          <cell r="K173">
            <v>3.5763661002376271E-5</v>
          </cell>
          <cell r="L173">
            <v>4.3862559188230491E-5</v>
          </cell>
        </row>
        <row r="174">
          <cell r="A174" t="str">
            <v>H2</v>
          </cell>
          <cell r="B174" t="str">
            <v>VAR_fin</v>
          </cell>
          <cell r="C174" t="str">
            <v>SUP_H2GSL</v>
          </cell>
          <cell r="J174">
            <v>0.2255233160402807</v>
          </cell>
          <cell r="K174">
            <v>0.15912451225267388</v>
          </cell>
          <cell r="L174">
            <v>0.45682663284567659</v>
          </cell>
          <cell r="M174">
            <v>9.5092654831576529E-2</v>
          </cell>
          <cell r="N174">
            <v>8.1106833297302117E-2</v>
          </cell>
          <cell r="O174">
            <v>0.14075576014409849</v>
          </cell>
          <cell r="P174">
            <v>0.12034972455197672</v>
          </cell>
        </row>
        <row r="175">
          <cell r="A175" t="str">
            <v>H2</v>
          </cell>
          <cell r="B175" t="str">
            <v>VAR_fin</v>
          </cell>
          <cell r="C175" t="str">
            <v>D-SNGA</v>
          </cell>
          <cell r="H175">
            <v>4.9950469981455137E-4</v>
          </cell>
          <cell r="I175">
            <v>3.3234741425875083E-2</v>
          </cell>
          <cell r="J175">
            <v>0.1697568523756055</v>
          </cell>
          <cell r="K175">
            <v>0.17330307246946258</v>
          </cell>
          <cell r="L175">
            <v>0.13144509713332833</v>
          </cell>
          <cell r="M175">
            <v>0.15533382937018525</v>
          </cell>
          <cell r="N175">
            <v>9.7202510098978706E-2</v>
          </cell>
          <cell r="O175">
            <v>2.7574958029455133E-2</v>
          </cell>
          <cell r="P175">
            <v>2.4800923091945769E-2</v>
          </cell>
        </row>
        <row r="176">
          <cell r="A176" t="str">
            <v>H2</v>
          </cell>
          <cell r="B176" t="str">
            <v>VAR_fin</v>
          </cell>
          <cell r="C176" t="str">
            <v>D-RNGA</v>
          </cell>
          <cell r="H176">
            <v>4.865018277547169E-4</v>
          </cell>
          <cell r="I176">
            <v>4.4931388262992839E-2</v>
          </cell>
          <cell r="J176">
            <v>0.25374280300536367</v>
          </cell>
          <cell r="K176">
            <v>0.27428520648636456</v>
          </cell>
          <cell r="L176">
            <v>0.47314763306745788</v>
          </cell>
          <cell r="M176">
            <v>0.24314009802942124</v>
          </cell>
          <cell r="N176">
            <v>0.19435184758962196</v>
          </cell>
          <cell r="O176">
            <v>6.6301974583577311E-2</v>
          </cell>
          <cell r="P176">
            <v>5.51561749295661E-2</v>
          </cell>
        </row>
        <row r="177">
          <cell r="A177" t="str">
            <v>H2</v>
          </cell>
          <cell r="B177" t="str">
            <v>VAR_fin</v>
          </cell>
          <cell r="C177" t="str">
            <v>D-INGA</v>
          </cell>
          <cell r="H177">
            <v>2.823423554262634E-2</v>
          </cell>
          <cell r="I177">
            <v>0.42847611936188273</v>
          </cell>
          <cell r="J177">
            <v>0.51619533434935394</v>
          </cell>
          <cell r="K177">
            <v>0.37626336928220067</v>
          </cell>
          <cell r="L177">
            <v>0.10761856397468059</v>
          </cell>
          <cell r="M177">
            <v>7.7486293062535364E-2</v>
          </cell>
          <cell r="N177">
            <v>7.7020515097437486E-2</v>
          </cell>
          <cell r="O177">
            <v>7.7218555319014601E-2</v>
          </cell>
          <cell r="P177">
            <v>7.6360801117081462E-2</v>
          </cell>
        </row>
        <row r="178">
          <cell r="A178" t="str">
            <v>H2</v>
          </cell>
          <cell r="B178" t="str">
            <v>VAR_fin</v>
          </cell>
          <cell r="C178" t="str">
            <v>SUP_H2DSL</v>
          </cell>
          <cell r="J178">
            <v>3.2316371617529321E-3</v>
          </cell>
          <cell r="K178">
            <v>1.4932172582903555E-3</v>
          </cell>
          <cell r="L178">
            <v>4.5279329535436043E-4</v>
          </cell>
          <cell r="M178">
            <v>3.3919527581447909E-4</v>
          </cell>
          <cell r="N178">
            <v>5.3657017034505837E-4</v>
          </cell>
          <cell r="O178">
            <v>5.700408289253825E-4</v>
          </cell>
          <cell r="P178">
            <v>9.6184835867184598E-4</v>
          </cell>
        </row>
        <row r="179">
          <cell r="A179" t="str">
            <v>AUX_H2STG_OUT</v>
          </cell>
          <cell r="B179" t="str">
            <v>VAR_fout</v>
          </cell>
          <cell r="C179" t="str">
            <v>STG-H2</v>
          </cell>
          <cell r="H179">
            <v>2.2842600720732581E-6</v>
          </cell>
          <cell r="I179">
            <v>1.4383792474216645E-5</v>
          </cell>
          <cell r="J179">
            <v>1.8418283360077395E-5</v>
          </cell>
          <cell r="K179">
            <v>1.8514111117780293E-5</v>
          </cell>
          <cell r="L179">
            <v>2.6493199484821438E-5</v>
          </cell>
          <cell r="M179">
            <v>1.5075073821159432E-5</v>
          </cell>
          <cell r="N179">
            <v>1.9538452969118552E-5</v>
          </cell>
          <cell r="O179">
            <v>1.9078163746107642E-5</v>
          </cell>
          <cell r="P179">
            <v>3.7868198476264311E-5</v>
          </cell>
        </row>
        <row r="180">
          <cell r="A180" t="str">
            <v>AUX_H2STG_OUT</v>
          </cell>
          <cell r="B180" t="str">
            <v>VAR_fout</v>
          </cell>
          <cell r="C180" t="str">
            <v>STG-H2</v>
          </cell>
          <cell r="H180">
            <v>9.3222605841641235E-6</v>
          </cell>
          <cell r="I180">
            <v>6.6356026669576012E-5</v>
          </cell>
          <cell r="J180">
            <v>8.1719013683133966E-5</v>
          </cell>
          <cell r="K180">
            <v>7.8720513671442545E-5</v>
          </cell>
          <cell r="L180">
            <v>1.0935586995607736E-4</v>
          </cell>
          <cell r="M180">
            <v>6.652029063527345E-5</v>
          </cell>
          <cell r="N180">
            <v>8.4375526534657201E-5</v>
          </cell>
          <cell r="O180">
            <v>8.4338988035506158E-5</v>
          </cell>
          <cell r="P180">
            <v>1.6074072177240994E-4</v>
          </cell>
        </row>
        <row r="181">
          <cell r="A181" t="str">
            <v>AUX_H2STG_OUT</v>
          </cell>
          <cell r="B181" t="str">
            <v>VAR_fout</v>
          </cell>
          <cell r="C181" t="str">
            <v>STG-H2</v>
          </cell>
          <cell r="H181">
            <v>3.0317796007246867E-6</v>
          </cell>
          <cell r="I181">
            <v>2.6763164265884252E-5</v>
          </cell>
          <cell r="J181">
            <v>2.5320879681420902E-5</v>
          </cell>
          <cell r="K181">
            <v>2.386317682257979E-5</v>
          </cell>
          <cell r="L181">
            <v>3.3720877775991916E-5</v>
          </cell>
          <cell r="M181">
            <v>2.336530163920157E-5</v>
          </cell>
          <cell r="N181">
            <v>3.1934319798686064E-5</v>
          </cell>
          <cell r="O181">
            <v>3.5237043010069893E-5</v>
          </cell>
          <cell r="P181">
            <v>6.3369275593506575E-5</v>
          </cell>
        </row>
        <row r="182">
          <cell r="A182" t="str">
            <v>AUX_H2STG_OUT</v>
          </cell>
          <cell r="B182" t="str">
            <v>VAR_fout</v>
          </cell>
          <cell r="C182" t="str">
            <v>STG-H2</v>
          </cell>
          <cell r="H182">
            <v>1.9819634146229693E-6</v>
          </cell>
          <cell r="I182">
            <v>1.3911145393313933E-5</v>
          </cell>
          <cell r="J182">
            <v>2.3918638700289184E-5</v>
          </cell>
          <cell r="K182">
            <v>2.4040675942503759E-5</v>
          </cell>
          <cell r="L182">
            <v>3.4040864327218256E-5</v>
          </cell>
          <cell r="M182">
            <v>1.8770058988287343E-5</v>
          </cell>
          <cell r="N182">
            <v>2.1059529786845215E-5</v>
          </cell>
          <cell r="O182">
            <v>1.8654522368645055E-5</v>
          </cell>
          <cell r="P182">
            <v>3.7487769458742161E-5</v>
          </cell>
        </row>
        <row r="183">
          <cell r="A183" t="str">
            <v>AUX_H2STG_OUT</v>
          </cell>
          <cell r="B183" t="str">
            <v>VAR_fout</v>
          </cell>
          <cell r="C183" t="str">
            <v>STG-H2</v>
          </cell>
          <cell r="H183">
            <v>2.0242574967432246E-6</v>
          </cell>
          <cell r="I183">
            <v>1.1297924536161162E-5</v>
          </cell>
          <cell r="J183">
            <v>1.4061211941346537E-5</v>
          </cell>
          <cell r="K183">
            <v>1.2302549788578865E-5</v>
          </cell>
          <cell r="L183">
            <v>1.5100928368045953E-5</v>
          </cell>
          <cell r="M183">
            <v>9.3098561866249431E-6</v>
          </cell>
          <cell r="N183">
            <v>1.1843223980007659E-5</v>
          </cell>
          <cell r="O183">
            <v>1.1369258910683689E-5</v>
          </cell>
          <cell r="P183">
            <v>2.2015478243896879E-5</v>
          </cell>
        </row>
        <row r="184">
          <cell r="A184" t="str">
            <v>RNGA</v>
          </cell>
          <cell r="B184" t="str">
            <v>VAR_fout</v>
          </cell>
          <cell r="C184" t="str">
            <v>D-RNGA</v>
          </cell>
          <cell r="E184">
            <v>47.156254208244185</v>
          </cell>
          <cell r="F184">
            <v>48.283015321400732</v>
          </cell>
          <cell r="G184">
            <v>48.480420241238328</v>
          </cell>
          <cell r="H184">
            <v>52.784367926389059</v>
          </cell>
          <cell r="I184">
            <v>51.60235721360857</v>
          </cell>
          <cell r="J184">
            <v>49.122625096529887</v>
          </cell>
          <cell r="K184">
            <v>38.640190530001959</v>
          </cell>
          <cell r="L184">
            <v>15.270901753886507</v>
          </cell>
          <cell r="M184">
            <v>7.8707064693750937</v>
          </cell>
          <cell r="N184">
            <v>6.2983131825533771</v>
          </cell>
          <cell r="O184">
            <v>6.2939816703154721</v>
          </cell>
          <cell r="P184">
            <v>5.2800323436106966</v>
          </cell>
        </row>
        <row r="185">
          <cell r="A185" t="str">
            <v>CWOD</v>
          </cell>
          <cell r="B185" t="str">
            <v>VAR_fout</v>
          </cell>
          <cell r="C185" t="str">
            <v>D-CWOD</v>
          </cell>
          <cell r="E185">
            <v>9.5919244246933637</v>
          </cell>
          <cell r="F185">
            <v>10.113080139210107</v>
          </cell>
          <cell r="G185">
            <v>9.8755352055057148</v>
          </cell>
          <cell r="H185">
            <v>8.3773118152602049</v>
          </cell>
          <cell r="I185">
            <v>8.7178155648267026</v>
          </cell>
          <cell r="J185">
            <v>9.1724868845936793</v>
          </cell>
          <cell r="K185">
            <v>9.294734502215432</v>
          </cell>
          <cell r="L185">
            <v>23.119478473999973</v>
          </cell>
          <cell r="M185">
            <v>28.75653995246951</v>
          </cell>
          <cell r="N185">
            <v>28.27127662136165</v>
          </cell>
          <cell r="O185">
            <v>29.806162893506261</v>
          </cell>
          <cell r="P185">
            <v>30.901825224203371</v>
          </cell>
        </row>
        <row r="186">
          <cell r="A186" t="str">
            <v>CWOD</v>
          </cell>
          <cell r="B186" t="str">
            <v>VAR_fin</v>
          </cell>
          <cell r="C186" t="str">
            <v>SUP_WODH2</v>
          </cell>
          <cell r="L186">
            <v>6.6521649729597742E-5</v>
          </cell>
          <cell r="M186">
            <v>2.9438112096045904E-5</v>
          </cell>
          <cell r="N186">
            <v>8.0622730005085449E-5</v>
          </cell>
          <cell r="O186">
            <v>4.9947859769818235E-5</v>
          </cell>
          <cell r="P186">
            <v>2.0755517647688926E-4</v>
          </cell>
        </row>
        <row r="187">
          <cell r="A187" t="str">
            <v>CWOD</v>
          </cell>
          <cell r="B187" t="str">
            <v>VAR_fin</v>
          </cell>
          <cell r="C187" t="str">
            <v>SUP_WODBIO</v>
          </cell>
          <cell r="F187">
            <v>2.3592745755493468E-5</v>
          </cell>
          <cell r="G187">
            <v>4.311814271293674E-5</v>
          </cell>
          <cell r="H187">
            <v>6.1009274933432464E-4</v>
          </cell>
          <cell r="I187">
            <v>6.1179262431874861E-4</v>
          </cell>
          <cell r="J187">
            <v>4.3409148975318218E-4</v>
          </cell>
          <cell r="K187">
            <v>3.619761114417687E-4</v>
          </cell>
          <cell r="L187">
            <v>1.1811747189135246E-4</v>
          </cell>
          <cell r="M187">
            <v>8.664143436268086E-5</v>
          </cell>
          <cell r="N187">
            <v>1.3149361035808886E-4</v>
          </cell>
          <cell r="O187">
            <v>1.3413993510336529E-4</v>
          </cell>
          <cell r="P187">
            <v>3.890027514096861E-4</v>
          </cell>
        </row>
        <row r="188">
          <cell r="A188" t="str">
            <v>CWOD</v>
          </cell>
          <cell r="B188" t="str">
            <v>VAR_fin</v>
          </cell>
          <cell r="C188" t="str">
            <v>SUP_WODH2CCS</v>
          </cell>
          <cell r="L188">
            <v>3.8013565336325676</v>
          </cell>
          <cell r="M188">
            <v>9.5602771147176533</v>
          </cell>
          <cell r="N188">
            <v>9.5601973979195609</v>
          </cell>
          <cell r="O188">
            <v>10.500188842949528</v>
          </cell>
          <cell r="P188">
            <v>10.537300486911102</v>
          </cell>
        </row>
        <row r="189">
          <cell r="A189" t="str">
            <v>CWOD</v>
          </cell>
          <cell r="B189" t="str">
            <v>VAR_fin</v>
          </cell>
          <cell r="C189" t="str">
            <v>SUP_WODBIOCCS</v>
          </cell>
          <cell r="J189">
            <v>1.9960558006199469E-4</v>
          </cell>
          <cell r="K189">
            <v>2.8126509805139415E-4</v>
          </cell>
          <cell r="L189">
            <v>5.5483981642116213E-4</v>
          </cell>
          <cell r="M189">
            <v>5.8856086846262149E-4</v>
          </cell>
          <cell r="N189">
            <v>5.4632450492435986E-4</v>
          </cell>
          <cell r="O189">
            <v>5.4580606537368414E-4</v>
          </cell>
          <cell r="P189">
            <v>8.9347052131083201E-4</v>
          </cell>
        </row>
        <row r="190">
          <cell r="A190" t="str">
            <v>CWOD</v>
          </cell>
          <cell r="B190" t="str">
            <v>VAR_fin</v>
          </cell>
          <cell r="C190" t="str">
            <v>CT_CWODBDS</v>
          </cell>
          <cell r="E190">
            <v>2.0886811791113837</v>
          </cell>
          <cell r="F190">
            <v>1.8158162685933801</v>
          </cell>
          <cell r="G190">
            <v>1.3652755597462549</v>
          </cell>
          <cell r="H190">
            <v>2.0658123335031119E-4</v>
          </cell>
          <cell r="I190">
            <v>4.6321742203235387E-4</v>
          </cell>
          <cell r="J190">
            <v>2.6904731558818499E-4</v>
          </cell>
          <cell r="K190">
            <v>1.2914317820092734E-4</v>
          </cell>
          <cell r="L190">
            <v>1.277077000576417E-4</v>
          </cell>
          <cell r="M190">
            <v>4.3343978624544196E-5</v>
          </cell>
          <cell r="N190">
            <v>1.2545433220744585E-4</v>
          </cell>
          <cell r="O190">
            <v>7.2935890880755253E-5</v>
          </cell>
          <cell r="P190">
            <v>2.7350683758605191E-4</v>
          </cell>
        </row>
        <row r="191">
          <cell r="A191" t="str">
            <v>CWOD</v>
          </cell>
          <cell r="B191" t="str">
            <v>VAR_fin</v>
          </cell>
          <cell r="C191" t="str">
            <v>CT_CWODETHCCS</v>
          </cell>
          <cell r="J191">
            <v>5.4333001807055417E-5</v>
          </cell>
          <cell r="K191">
            <v>4.272574940133427E-5</v>
          </cell>
          <cell r="L191">
            <v>8.490513603886362E-5</v>
          </cell>
          <cell r="M191">
            <v>3.7762767623583515E-5</v>
          </cell>
          <cell r="N191">
            <v>8.6368171548227118E-5</v>
          </cell>
          <cell r="O191">
            <v>6.0869551539752837E-5</v>
          </cell>
          <cell r="P191">
            <v>1.9543618659504039E-4</v>
          </cell>
        </row>
        <row r="192">
          <cell r="A192" t="str">
            <v>CWOD</v>
          </cell>
          <cell r="B192" t="str">
            <v>VAR_fin</v>
          </cell>
          <cell r="C192" t="str">
            <v>CT_CWODPLT</v>
          </cell>
          <cell r="E192">
            <v>7.1186062659395022</v>
          </cell>
          <cell r="F192">
            <v>8.2972001030232736</v>
          </cell>
          <cell r="G192">
            <v>8.1255988520822413</v>
          </cell>
          <cell r="H192">
            <v>8.3764425775954656</v>
          </cell>
          <cell r="I192">
            <v>8.7166538221702119</v>
          </cell>
          <cell r="J192">
            <v>9.1713472792479376</v>
          </cell>
          <cell r="K192">
            <v>9.2937051338498193</v>
          </cell>
          <cell r="L192">
            <v>9.6811484880986232</v>
          </cell>
          <cell r="M192">
            <v>8.9689562764697488</v>
          </cell>
          <cell r="N192">
            <v>9.0740858935629021</v>
          </cell>
          <cell r="O192">
            <v>9.0752155968675208</v>
          </cell>
          <cell r="P192">
            <v>9.0760768372997962</v>
          </cell>
        </row>
        <row r="193">
          <cell r="A193" t="str">
            <v>CWOD</v>
          </cell>
          <cell r="B193" t="str">
            <v>VAR_fin</v>
          </cell>
          <cell r="C193" t="str">
            <v>CT_CWODETH</v>
          </cell>
          <cell r="E193">
            <v>0.38463697964247456</v>
          </cell>
          <cell r="F193">
            <v>4.0174847698078906E-5</v>
          </cell>
          <cell r="G193">
            <v>0.3846176755345051</v>
          </cell>
          <cell r="H193">
            <v>5.2563682055919777E-5</v>
          </cell>
          <cell r="I193">
            <v>8.6732610139038111E-5</v>
          </cell>
          <cell r="J193">
            <v>7.6752265487675152E-5</v>
          </cell>
          <cell r="K193">
            <v>4.5873271832552703E-5</v>
          </cell>
          <cell r="L193">
            <v>7.3635259147519723E-5</v>
          </cell>
          <cell r="M193">
            <v>3.0726086068910771E-5</v>
          </cell>
          <cell r="N193">
            <v>7.6940437304081542E-5</v>
          </cell>
          <cell r="O193">
            <v>5.09424884511806E-5</v>
          </cell>
          <cell r="P193">
            <v>1.6451465351277188E-4</v>
          </cell>
        </row>
        <row r="194">
          <cell r="A194" t="str">
            <v>CWOD</v>
          </cell>
          <cell r="B194" t="str">
            <v>VAR_fin</v>
          </cell>
          <cell r="C194" t="str">
            <v>CT_CWODBDSCCS</v>
          </cell>
          <cell r="J194">
            <v>1.057756930417329E-4</v>
          </cell>
          <cell r="K194">
            <v>1.6838495667827519E-4</v>
          </cell>
          <cell r="L194">
            <v>9.6359477252354626</v>
          </cell>
          <cell r="M194">
            <v>10.226490088034849</v>
          </cell>
          <cell r="N194">
            <v>9.6359461260928274</v>
          </cell>
          <cell r="O194">
            <v>10.229844345261245</v>
          </cell>
          <cell r="P194">
            <v>11.286325251894551</v>
          </cell>
        </row>
        <row r="195">
          <cell r="A195" t="str">
            <v>KER</v>
          </cell>
          <cell r="B195" t="str">
            <v>VAR_fout</v>
          </cell>
          <cell r="C195" t="str">
            <v>SUP_H2DSL</v>
          </cell>
          <cell r="J195">
            <v>1.7150833757334209E-4</v>
          </cell>
          <cell r="K195">
            <v>8.0583818466534968E-5</v>
          </cell>
          <cell r="M195">
            <v>2.1405253354250918E-5</v>
          </cell>
          <cell r="N195">
            <v>3.5269312799123169E-5</v>
          </cell>
          <cell r="O195">
            <v>3.6725179237163257E-5</v>
          </cell>
          <cell r="P195">
            <v>6.3760084386818726E-5</v>
          </cell>
        </row>
        <row r="196">
          <cell r="A196" t="str">
            <v>BDS</v>
          </cell>
          <cell r="B196" t="str">
            <v>VAR_fout</v>
          </cell>
          <cell r="C196" t="str">
            <v>IMPBDS</v>
          </cell>
          <cell r="E196">
            <v>2.2829264556269089</v>
          </cell>
          <cell r="F196">
            <v>2.3780127202784942</v>
          </cell>
          <cell r="G196">
            <v>4.0215864323603814</v>
          </cell>
          <cell r="H196">
            <v>4.5552057532465158</v>
          </cell>
          <cell r="I196">
            <v>4.4646761413336336</v>
          </cell>
          <cell r="J196">
            <v>4.4631583950653591</v>
          </cell>
          <cell r="K196">
            <v>5.3811208664814663</v>
          </cell>
          <cell r="L196">
            <v>15.755946413072513</v>
          </cell>
          <cell r="M196">
            <v>13.444389172573976</v>
          </cell>
          <cell r="N196">
            <v>10.96132709840078</v>
          </cell>
          <cell r="O196">
            <v>8.9283761470716776</v>
          </cell>
          <cell r="P196">
            <v>3.8902692729650021</v>
          </cell>
        </row>
        <row r="197">
          <cell r="A197" t="str">
            <v>BDS</v>
          </cell>
          <cell r="B197" t="str">
            <v>VAR_fout</v>
          </cell>
          <cell r="C197" t="str">
            <v>CT_CWODBDS</v>
          </cell>
          <cell r="E197">
            <v>0.73299918551022503</v>
          </cell>
          <cell r="F197">
            <v>0.63724031184186014</v>
          </cell>
          <cell r="G197">
            <v>0.47912811361511004</v>
          </cell>
          <cell r="H197">
            <v>7.2497362116269879E-5</v>
          </cell>
          <cell r="I197">
            <v>1.625609482478874E-4</v>
          </cell>
          <cell r="J197">
            <v>9.4419131632983056E-5</v>
          </cell>
          <cell r="K197">
            <v>4.5321346973478658E-5</v>
          </cell>
          <cell r="L197">
            <v>4.4817582052164151E-5</v>
          </cell>
          <cell r="M197">
            <v>1.521108216337751E-5</v>
          </cell>
          <cell r="N197">
            <v>4.4026787930319699E-5</v>
          </cell>
          <cell r="O197">
            <v>2.5596031191702142E-5</v>
          </cell>
          <cell r="P197">
            <v>9.5984150758396958E-5</v>
          </cell>
        </row>
        <row r="198">
          <cell r="A198" t="str">
            <v>BDS</v>
          </cell>
          <cell r="B198" t="str">
            <v>VAR_fout</v>
          </cell>
          <cell r="C198" t="str">
            <v>CT_CWODBDSCCS</v>
          </cell>
          <cell r="J198">
            <v>3.7120790679674651E-5</v>
          </cell>
          <cell r="K198">
            <v>5.9092808099061336E-5</v>
          </cell>
          <cell r="L198">
            <v>3.3816275575488572</v>
          </cell>
          <cell r="M198">
            <v>3.5888717627776279</v>
          </cell>
          <cell r="N198">
            <v>3.3816269963477192</v>
          </cell>
          <cell r="O198">
            <v>3.5900489016533577</v>
          </cell>
          <cell r="P198">
            <v>3.9608090022440976</v>
          </cell>
        </row>
        <row r="199">
          <cell r="A199" t="str">
            <v>BDS</v>
          </cell>
          <cell r="B199" t="str">
            <v>VAR_fin</v>
          </cell>
          <cell r="C199" t="str">
            <v>D-ILFO</v>
          </cell>
          <cell r="G199">
            <v>2.2813712632877401E-5</v>
          </cell>
          <cell r="H199">
            <v>1.4477481597020092</v>
          </cell>
          <cell r="I199">
            <v>1.4477489051399661</v>
          </cell>
          <cell r="J199">
            <v>1.4477489631645872</v>
          </cell>
          <cell r="K199">
            <v>1.4477491382711074</v>
          </cell>
          <cell r="L199">
            <v>1.4477492255449924</v>
          </cell>
          <cell r="M199">
            <v>1.4477491988786608</v>
          </cell>
          <cell r="N199">
            <v>1.4477497216308002</v>
          </cell>
          <cell r="O199">
            <v>1.4477498018703483</v>
          </cell>
          <cell r="P199">
            <v>1.4477513377255986</v>
          </cell>
        </row>
        <row r="200">
          <cell r="A200" t="str">
            <v>BDS</v>
          </cell>
          <cell r="B200" t="str">
            <v>VAR_fin</v>
          </cell>
          <cell r="C200" t="str">
            <v>D-SLFO</v>
          </cell>
          <cell r="G200">
            <v>1.9047365356159798E-5</v>
          </cell>
          <cell r="H200">
            <v>1.3975071485325315E-4</v>
          </cell>
          <cell r="I200">
            <v>2.1573688634151598E-4</v>
          </cell>
          <cell r="J200">
            <v>6.4832543992870625E-5</v>
          </cell>
          <cell r="K200">
            <v>2.9020443730574182E-4</v>
          </cell>
          <cell r="L200">
            <v>0.88515923002811814</v>
          </cell>
          <cell r="M200">
            <v>1.0705133586958857</v>
          </cell>
          <cell r="N200">
            <v>0.8778589794402647</v>
          </cell>
          <cell r="O200">
            <v>0.87810491469457885</v>
          </cell>
          <cell r="P200">
            <v>0.87830963317718869</v>
          </cell>
        </row>
        <row r="201">
          <cell r="A201" t="str">
            <v>BDS</v>
          </cell>
          <cell r="B201" t="str">
            <v>VAR_fin</v>
          </cell>
          <cell r="C201" t="str">
            <v>D-RLFO</v>
          </cell>
          <cell r="G201">
            <v>1.905597017395063E-5</v>
          </cell>
          <cell r="H201">
            <v>1.4002760907675857E-4</v>
          </cell>
          <cell r="I201">
            <v>2.1570381907011014E-4</v>
          </cell>
          <cell r="J201">
            <v>6.5757340942694325E-5</v>
          </cell>
          <cell r="K201">
            <v>3.0754090616044223E-4</v>
          </cell>
          <cell r="L201">
            <v>9.6381508872886439</v>
          </cell>
          <cell r="M201">
            <v>9.6379850683754817</v>
          </cell>
          <cell r="N201">
            <v>7.3276554739106619</v>
          </cell>
          <cell r="O201">
            <v>5.7606750542211849</v>
          </cell>
          <cell r="P201">
            <v>1.4041936893889995</v>
          </cell>
        </row>
        <row r="202">
          <cell r="A202" t="str">
            <v>BDS</v>
          </cell>
          <cell r="B202" t="str">
            <v>VAR_fin</v>
          </cell>
          <cell r="C202" t="str">
            <v>D-TBDS1</v>
          </cell>
          <cell r="E202">
            <v>3.0159256411371347</v>
          </cell>
          <cell r="F202">
            <v>3.0152530321203552</v>
          </cell>
          <cell r="G202">
            <v>4.5006561873024387</v>
          </cell>
          <cell r="H202">
            <v>3.1072524924112876</v>
          </cell>
          <cell r="I202">
            <v>3.0166609581125412</v>
          </cell>
          <cell r="J202">
            <v>3.0154144998177403</v>
          </cell>
          <cell r="K202">
            <v>3.9328817407401959</v>
          </cell>
          <cell r="L202">
            <v>7.1665674348830803</v>
          </cell>
          <cell r="M202">
            <v>4.8770321590296719</v>
          </cell>
          <cell r="N202">
            <v>4.689740627068204</v>
          </cell>
          <cell r="O202">
            <v>4.4319242825249745</v>
          </cell>
          <cell r="P202">
            <v>4.1209257847845713</v>
          </cell>
        </row>
        <row r="203">
          <cell r="A203" t="str">
            <v>BIO</v>
          </cell>
          <cell r="B203" t="str">
            <v>VAR_fout</v>
          </cell>
          <cell r="C203" t="str">
            <v>SUP_WSTHTGBIO</v>
          </cell>
          <cell r="J203">
            <v>1.5765883075876533E-4</v>
          </cell>
          <cell r="K203">
            <v>2.1199217261015754E-4</v>
          </cell>
          <cell r="L203">
            <v>6.7986237730910165E-4</v>
          </cell>
          <cell r="M203">
            <v>6.438482114514767E-4</v>
          </cell>
          <cell r="N203">
            <v>4.3754001722960591E-4</v>
          </cell>
          <cell r="O203">
            <v>4.1184536881058975E-4</v>
          </cell>
          <cell r="P203">
            <v>7.2104796620575066E-4</v>
          </cell>
        </row>
        <row r="204">
          <cell r="A204" t="str">
            <v>BIO</v>
          </cell>
          <cell r="B204" t="str">
            <v>VAR_fout</v>
          </cell>
          <cell r="C204" t="str">
            <v>SUP_WSTBIO</v>
          </cell>
          <cell r="E204">
            <v>5.6294120091878685</v>
          </cell>
          <cell r="F204">
            <v>5.9623003116832836</v>
          </cell>
          <cell r="G204">
            <v>5.7531171700775827</v>
          </cell>
          <cell r="H204">
            <v>5.9428271468890772</v>
          </cell>
          <cell r="I204">
            <v>5.9306563453979342</v>
          </cell>
          <cell r="J204">
            <v>5.7697713662475598</v>
          </cell>
          <cell r="K204">
            <v>9.2174130174431426</v>
          </cell>
          <cell r="L204">
            <v>9.844694042178542</v>
          </cell>
          <cell r="M204">
            <v>10.30717555845572</v>
          </cell>
          <cell r="N204">
            <v>10.47437864560146</v>
          </cell>
          <cell r="O204">
            <v>10.641329244986084</v>
          </cell>
          <cell r="P204">
            <v>10.807974346246811</v>
          </cell>
        </row>
        <row r="205">
          <cell r="A205" t="str">
            <v>BIO</v>
          </cell>
          <cell r="B205" t="str">
            <v>VAR_fout</v>
          </cell>
          <cell r="C205" t="str">
            <v>D-LBIO</v>
          </cell>
          <cell r="H205">
            <v>2.1355332333529766</v>
          </cell>
          <cell r="I205">
            <v>2.1349967788957644</v>
          </cell>
          <cell r="J205">
            <v>2.1352635463219629</v>
          </cell>
          <cell r="K205">
            <v>2.1353858954894243</v>
          </cell>
          <cell r="L205">
            <v>2.1353393607727242</v>
          </cell>
          <cell r="M205">
            <v>2.1354462530917053</v>
          </cell>
          <cell r="N205">
            <v>2.1350395638674406</v>
          </cell>
          <cell r="O205">
            <v>1.2958274287706679E-3</v>
          </cell>
          <cell r="P205">
            <v>1.0550827098558604E-3</v>
          </cell>
        </row>
        <row r="206">
          <cell r="A206" t="str">
            <v>BIO</v>
          </cell>
          <cell r="B206" t="str">
            <v>VAR_fout</v>
          </cell>
          <cell r="C206" t="str">
            <v>SUP_MNRBIO</v>
          </cell>
          <cell r="E206">
            <v>1.3280004456093457</v>
          </cell>
          <cell r="F206">
            <v>3.5330854889444199</v>
          </cell>
          <cell r="G206">
            <v>4.3847354834723165</v>
          </cell>
          <cell r="H206">
            <v>4.3847644590165089</v>
          </cell>
          <cell r="I206">
            <v>4.384764699615185</v>
          </cell>
          <cell r="J206">
            <v>4.3850904202876579</v>
          </cell>
          <cell r="K206">
            <v>4.3860262441536273</v>
          </cell>
          <cell r="L206">
            <v>6.5775764903163045</v>
          </cell>
          <cell r="M206">
            <v>6.5775770968854905</v>
          </cell>
          <cell r="N206">
            <v>6.577592929147885</v>
          </cell>
          <cell r="O206">
            <v>6.5775944182194204</v>
          </cell>
          <cell r="P206">
            <v>6.5777126360911407</v>
          </cell>
        </row>
        <row r="207">
          <cell r="A207" t="str">
            <v>BIO</v>
          </cell>
          <cell r="B207" t="str">
            <v>VAR_fout</v>
          </cell>
          <cell r="C207" t="str">
            <v>SUP_WSTHTGBIOCCS</v>
          </cell>
          <cell r="J207">
            <v>3.7325228660767525E-5</v>
          </cell>
          <cell r="K207">
            <v>5.1660318033267199E-5</v>
          </cell>
          <cell r="L207">
            <v>3.5584542339070155E-4</v>
          </cell>
          <cell r="M207">
            <v>3.5200955265631261E-4</v>
          </cell>
          <cell r="N207">
            <v>2.5864978118002367E-4</v>
          </cell>
          <cell r="O207">
            <v>2.7102347370149444E-4</v>
          </cell>
          <cell r="P207">
            <v>3.0293210219840025E-4</v>
          </cell>
        </row>
        <row r="208">
          <cell r="A208" t="str">
            <v>BIO</v>
          </cell>
          <cell r="B208" t="str">
            <v>VAR_fout</v>
          </cell>
          <cell r="C208" t="str">
            <v>SUP_WODBIO</v>
          </cell>
          <cell r="F208">
            <v>1.7476107967032206E-5</v>
          </cell>
          <cell r="G208">
            <v>3.193936497254575E-5</v>
          </cell>
          <cell r="H208">
            <v>4.5192055506246238E-4</v>
          </cell>
          <cell r="I208">
            <v>4.5317972171759129E-4</v>
          </cell>
          <cell r="J208">
            <v>3.2154925166902397E-4</v>
          </cell>
          <cell r="K208">
            <v>2.6813045291982848E-4</v>
          </cell>
          <cell r="L208">
            <v>8.7494423623224023E-5</v>
          </cell>
          <cell r="M208">
            <v>6.4178840268652382E-5</v>
          </cell>
          <cell r="N208">
            <v>9.7402674339324967E-5</v>
          </cell>
          <cell r="O208">
            <v>9.9362914891381663E-5</v>
          </cell>
          <cell r="P208">
            <v>2.8815018622939663E-4</v>
          </cell>
        </row>
        <row r="209">
          <cell r="A209" t="str">
            <v>BIO</v>
          </cell>
          <cell r="B209" t="str">
            <v>VAR_fout</v>
          </cell>
          <cell r="C209" t="str">
            <v>SUP_WODBIOCCS</v>
          </cell>
          <cell r="J209">
            <v>1.3354452084071095E-4</v>
          </cell>
          <cell r="K209">
            <v>1.8789898816337563E-4</v>
          </cell>
          <cell r="L209">
            <v>3.7118672557592564E-4</v>
          </cell>
          <cell r="M209">
            <v>3.9364275328636252E-4</v>
          </cell>
          <cell r="N209">
            <v>3.6549525622237309E-4</v>
          </cell>
          <cell r="O209">
            <v>3.6394512010740337E-4</v>
          </cell>
          <cell r="P209">
            <v>5.9553210783891734E-4</v>
          </cell>
        </row>
        <row r="210">
          <cell r="A210" t="str">
            <v>BIO</v>
          </cell>
          <cell r="B210" t="str">
            <v>VAR_fin</v>
          </cell>
          <cell r="C210" t="str">
            <v>D-IBIO</v>
          </cell>
          <cell r="E210">
            <v>0.43672583991544323</v>
          </cell>
          <cell r="F210">
            <v>0.55206524256937328</v>
          </cell>
          <cell r="G210">
            <v>2.7640127060525521</v>
          </cell>
          <cell r="H210">
            <v>6.1732572179567686</v>
          </cell>
          <cell r="I210">
            <v>6.1732662663738918</v>
          </cell>
          <cell r="J210">
            <v>6.173266820329661</v>
          </cell>
          <cell r="K210">
            <v>6.1732671991427885</v>
          </cell>
          <cell r="L210">
            <v>6.1732682072818728</v>
          </cell>
          <cell r="M210">
            <v>6.1732706600514353</v>
          </cell>
          <cell r="N210">
            <v>6.1732966688306687</v>
          </cell>
          <cell r="O210">
            <v>6.1732982669099972</v>
          </cell>
          <cell r="P210">
            <v>6.1733133709152055</v>
          </cell>
        </row>
        <row r="211">
          <cell r="A211" t="str">
            <v>BIO</v>
          </cell>
          <cell r="B211" t="str">
            <v>VAR_fin</v>
          </cell>
          <cell r="C211" t="str">
            <v>D-EBIO</v>
          </cell>
          <cell r="E211">
            <v>1.1839510663446045</v>
          </cell>
          <cell r="F211">
            <v>1.1839495874591059</v>
          </cell>
          <cell r="G211">
            <v>1.1839497455811783</v>
          </cell>
          <cell r="H211">
            <v>1.1839497368616154</v>
          </cell>
          <cell r="I211">
            <v>1.1839503828405458</v>
          </cell>
          <cell r="J211">
            <v>1.1839505108503956</v>
          </cell>
          <cell r="K211">
            <v>1.1839482584263561</v>
          </cell>
          <cell r="L211">
            <v>1.1839505297815649</v>
          </cell>
          <cell r="M211">
            <v>1.1839483222038303</v>
          </cell>
          <cell r="N211">
            <v>5.9326325919245244</v>
          </cell>
          <cell r="O211">
            <v>8.601647512354031</v>
          </cell>
          <cell r="P211">
            <v>11.183203594266143</v>
          </cell>
        </row>
        <row r="212">
          <cell r="A212" t="str">
            <v>BIO</v>
          </cell>
          <cell r="B212" t="str">
            <v>VAR_fin</v>
          </cell>
          <cell r="C212" t="str">
            <v>D-CBIO</v>
          </cell>
          <cell r="E212">
            <v>1.2890706575083406</v>
          </cell>
          <cell r="F212">
            <v>3.692617228594345</v>
          </cell>
          <cell r="G212">
            <v>2.7594561561503022</v>
          </cell>
          <cell r="H212">
            <v>2.7594244634229117</v>
          </cell>
          <cell r="I212">
            <v>2.759474459164188</v>
          </cell>
          <cell r="J212">
            <v>3.0850081349611815</v>
          </cell>
          <cell r="K212">
            <v>3.0842417674117293</v>
          </cell>
          <cell r="L212">
            <v>3.5507375940860322</v>
          </cell>
          <cell r="M212">
            <v>8.8496755754137926</v>
          </cell>
          <cell r="N212">
            <v>9.5600857715829921</v>
          </cell>
          <cell r="O212">
            <v>9.6536716868746701</v>
          </cell>
          <cell r="P212">
            <v>9.7475872173457407</v>
          </cell>
        </row>
        <row r="213">
          <cell r="A213" t="str">
            <v>BIO</v>
          </cell>
          <cell r="B213" t="str">
            <v>VAR_fin</v>
          </cell>
          <cell r="C213" t="str">
            <v>D-SBIO</v>
          </cell>
          <cell r="E213">
            <v>4.0476715295814945</v>
          </cell>
          <cell r="F213">
            <v>4.5832727764998049</v>
          </cell>
          <cell r="G213">
            <v>4.5976084980615681</v>
          </cell>
          <cell r="H213">
            <v>4.5783495058040238</v>
          </cell>
          <cell r="I213">
            <v>6.1293414433663802</v>
          </cell>
          <cell r="J213">
            <v>7.9413976481514545</v>
          </cell>
          <cell r="K213">
            <v>14.766957099277647</v>
          </cell>
          <cell r="L213">
            <v>22.080556668479151</v>
          </cell>
          <cell r="M213">
            <v>24.532814417340479</v>
          </cell>
          <cell r="N213">
            <v>29.949599057189541</v>
          </cell>
          <cell r="O213">
            <v>33.597369286644984</v>
          </cell>
          <cell r="P213">
            <v>36.392183481987843</v>
          </cell>
        </row>
        <row r="214">
          <cell r="A214" t="str">
            <v>TKERintl_SAF</v>
          </cell>
          <cell r="B214" t="str">
            <v>VAR_fout</v>
          </cell>
          <cell r="C214" t="str">
            <v>D-TBDS1intl</v>
          </cell>
          <cell r="H214">
            <v>5.29992688652856</v>
          </cell>
          <cell r="I214">
            <v>18.511808427524102</v>
          </cell>
          <cell r="J214">
            <v>38.846718819577099</v>
          </cell>
          <cell r="K214">
            <v>68.659022416120905</v>
          </cell>
          <cell r="L214">
            <v>93.853199230264906</v>
          </cell>
          <cell r="M214">
            <v>93.853201118738298</v>
          </cell>
          <cell r="N214">
            <v>94.908954172014305</v>
          </cell>
          <cell r="O214">
            <v>96.620385441532704</v>
          </cell>
          <cell r="P214">
            <v>98.328896064274602</v>
          </cell>
        </row>
        <row r="215">
          <cell r="A215" t="str">
            <v>EBIO</v>
          </cell>
          <cell r="B215" t="str">
            <v>VAR_fout</v>
          </cell>
          <cell r="C215" t="str">
            <v>D-EBIO</v>
          </cell>
          <cell r="E215">
            <v>1.1839510663446045</v>
          </cell>
          <cell r="F215">
            <v>1.1839495874591059</v>
          </cell>
          <cell r="G215">
            <v>1.1839497455811783</v>
          </cell>
          <cell r="H215">
            <v>1.1839497368616154</v>
          </cell>
          <cell r="I215">
            <v>1.1839503828405458</v>
          </cell>
          <cell r="J215">
            <v>1.1839505108503956</v>
          </cell>
          <cell r="K215">
            <v>1.1839482584263561</v>
          </cell>
          <cell r="L215">
            <v>1.1839505297815649</v>
          </cell>
          <cell r="M215">
            <v>1.1839483222038303</v>
          </cell>
          <cell r="N215">
            <v>5.9326325919245244</v>
          </cell>
          <cell r="O215">
            <v>8.601647512354031</v>
          </cell>
          <cell r="P215">
            <v>11.183203594266143</v>
          </cell>
        </row>
        <row r="216">
          <cell r="A216" t="str">
            <v>PLT</v>
          </cell>
          <cell r="B216" t="str">
            <v>VAR_fout</v>
          </cell>
          <cell r="C216" t="str">
            <v>CT_CWODPLT</v>
          </cell>
          <cell r="E216">
            <v>5.9796292633891852</v>
          </cell>
          <cell r="F216">
            <v>6.9696480865395491</v>
          </cell>
          <cell r="G216">
            <v>6.8255030357490885</v>
          </cell>
          <cell r="H216">
            <v>7.0362117651801954</v>
          </cell>
          <cell r="I216">
            <v>7.3219892106229851</v>
          </cell>
          <cell r="J216">
            <v>7.7039317145682737</v>
          </cell>
          <cell r="K216">
            <v>7.8067123124338513</v>
          </cell>
          <cell r="L216">
            <v>8.1321647300028506</v>
          </cell>
          <cell r="M216">
            <v>7.5339232722345963</v>
          </cell>
          <cell r="N216">
            <v>7.6222321505928452</v>
          </cell>
          <cell r="O216">
            <v>7.6231811013687176</v>
          </cell>
          <cell r="P216">
            <v>7.6239045433318298</v>
          </cell>
        </row>
        <row r="217">
          <cell r="A217" t="str">
            <v>SLFO</v>
          </cell>
          <cell r="B217" t="str">
            <v>VAR_fout</v>
          </cell>
          <cell r="C217" t="str">
            <v>D-SLFO</v>
          </cell>
          <cell r="E217">
            <v>30.256634348009488</v>
          </cell>
          <cell r="F217">
            <v>26.593110735479414</v>
          </cell>
          <cell r="G217">
            <v>25.062296503556279</v>
          </cell>
          <cell r="H217">
            <v>20.973962256174357</v>
          </cell>
          <cell r="I217">
            <v>14.489003499419281</v>
          </cell>
          <cell r="J217">
            <v>7.5871251163467388</v>
          </cell>
          <cell r="K217">
            <v>4.1335523939468546</v>
          </cell>
          <cell r="L217">
            <v>0.8703759017586522</v>
          </cell>
          <cell r="M217">
            <v>1.0526977208833614</v>
          </cell>
          <cell r="N217">
            <v>0.86329243471081873</v>
          </cell>
          <cell r="O217">
            <v>0.8635296893204828</v>
          </cell>
          <cell r="P217">
            <v>0.86378236847573542</v>
          </cell>
        </row>
        <row r="218">
          <cell r="A218" t="str">
            <v>ETH</v>
          </cell>
          <cell r="B218" t="str">
            <v>VAR_fout</v>
          </cell>
          <cell r="C218" t="str">
            <v>IMPETH</v>
          </cell>
          <cell r="E218">
            <v>4.4341501764852902</v>
          </cell>
          <cell r="F218">
            <v>4.3986150509514648</v>
          </cell>
          <cell r="G218">
            <v>4.4007122582828719</v>
          </cell>
          <cell r="H218">
            <v>2.8028210647303418</v>
          </cell>
          <cell r="I218">
            <v>1.329586983424039</v>
          </cell>
          <cell r="J218">
            <v>0.58318468156248027</v>
          </cell>
          <cell r="K218">
            <v>4.5562319989739004</v>
          </cell>
          <cell r="L218">
            <v>1.8114727970429347</v>
          </cell>
          <cell r="M218">
            <v>1.7209245769463317</v>
          </cell>
          <cell r="N218">
            <v>1.4772210618038544</v>
          </cell>
          <cell r="O218">
            <v>1.355612009213786</v>
          </cell>
          <cell r="P218">
            <v>1.0906764453351792</v>
          </cell>
        </row>
        <row r="219">
          <cell r="A219" t="str">
            <v>ETH</v>
          </cell>
          <cell r="B219" t="str">
            <v>VAR_fout</v>
          </cell>
          <cell r="C219" t="str">
            <v>CT_CWODETHCCS</v>
          </cell>
          <cell r="J219">
            <v>2.5996651582323138E-5</v>
          </cell>
          <cell r="K219">
            <v>2.0442942297289125E-5</v>
          </cell>
          <cell r="L219">
            <v>4.0624467004240918E-5</v>
          </cell>
          <cell r="M219">
            <v>1.8068309867743312E-5</v>
          </cell>
          <cell r="N219">
            <v>4.1324483994367078E-5</v>
          </cell>
          <cell r="O219">
            <v>2.9124187339594647E-5</v>
          </cell>
          <cell r="P219">
            <v>9.3510137126813638E-5</v>
          </cell>
        </row>
        <row r="220">
          <cell r="A220" t="str">
            <v>ETH</v>
          </cell>
          <cell r="B220" t="str">
            <v>VAR_fout</v>
          </cell>
          <cell r="C220" t="str">
            <v>CT_CWODETH</v>
          </cell>
          <cell r="E220">
            <v>0.18403683236482027</v>
          </cell>
          <cell r="F220">
            <v>1.9222415166544928E-5</v>
          </cell>
          <cell r="G220">
            <v>0.18402759594952389</v>
          </cell>
          <cell r="H220">
            <v>2.515008710809563E-5</v>
          </cell>
          <cell r="I220">
            <v>4.1498856525855553E-5</v>
          </cell>
          <cell r="J220">
            <v>3.6723572003672347E-5</v>
          </cell>
          <cell r="K220">
            <v>2.1948933891173565E-5</v>
          </cell>
          <cell r="L220">
            <v>3.5232181410296504E-5</v>
          </cell>
          <cell r="M220">
            <v>1.470147658799559E-5</v>
          </cell>
          <cell r="N220">
            <v>3.6813606365589265E-5</v>
          </cell>
          <cell r="O220">
            <v>2.4374396388124697E-5</v>
          </cell>
          <cell r="P220">
            <v>7.8715145221421945E-5</v>
          </cell>
        </row>
        <row r="221">
          <cell r="A221" t="str">
            <v>ETH</v>
          </cell>
          <cell r="B221" t="str">
            <v>VAR_fin</v>
          </cell>
          <cell r="C221" t="str">
            <v>D-TGSL</v>
          </cell>
          <cell r="E221">
            <v>4.6181870088501089</v>
          </cell>
          <cell r="F221">
            <v>4.3986342733666275</v>
          </cell>
          <cell r="G221">
            <v>4.5847398542323994</v>
          </cell>
          <cell r="H221">
            <v>2.8028462148174484</v>
          </cell>
          <cell r="I221">
            <v>1.3296284822805666</v>
          </cell>
          <cell r="J221">
            <v>0.58324740178606604</v>
          </cell>
          <cell r="K221">
            <v>4.5562743908500858</v>
          </cell>
          <cell r="L221">
            <v>1.8115486536913474</v>
          </cell>
          <cell r="M221">
            <v>1.7209573467327866</v>
          </cell>
          <cell r="N221">
            <v>1.4772991998942138</v>
          </cell>
          <cell r="O221">
            <v>1.3556655077975117</v>
          </cell>
          <cell r="P221">
            <v>1.0908486706175269</v>
          </cell>
        </row>
        <row r="222">
          <cell r="A222" t="str">
            <v>TGSL</v>
          </cell>
          <cell r="B222" t="str">
            <v>VAR_fout</v>
          </cell>
          <cell r="C222" t="str">
            <v>D-TGSL</v>
          </cell>
          <cell r="E222">
            <v>83.125613542638547</v>
          </cell>
          <cell r="F222">
            <v>79.173866162006902</v>
          </cell>
          <cell r="G222">
            <v>82.523623726897199</v>
          </cell>
          <cell r="H222">
            <v>50.438770185987686</v>
          </cell>
          <cell r="I222">
            <v>22.755017149504248</v>
          </cell>
          <cell r="J222">
            <v>10.495361827849695</v>
          </cell>
          <cell r="K222">
            <v>7.593549862566169</v>
          </cell>
          <cell r="L222">
            <v>2.1000050875177658</v>
          </cell>
          <cell r="M222">
            <v>1.9949648622100928</v>
          </cell>
          <cell r="N222">
            <v>1.712559771001618</v>
          </cell>
          <cell r="O222">
            <v>1.5715586634190757</v>
          </cell>
          <cell r="P222">
            <v>1.2646604849436183</v>
          </cell>
        </row>
        <row r="223">
          <cell r="A223" t="str">
            <v>RLFO</v>
          </cell>
          <cell r="B223" t="str">
            <v>VAR_fout</v>
          </cell>
          <cell r="C223" t="str">
            <v>D-RLFO</v>
          </cell>
          <cell r="E223">
            <v>60.231825120934438</v>
          </cell>
          <cell r="F223">
            <v>51.320002015970651</v>
          </cell>
          <cell r="G223">
            <v>50.473130550113375</v>
          </cell>
          <cell r="H223">
            <v>41.533098256574348</v>
          </cell>
          <cell r="I223">
            <v>21.555928131350459</v>
          </cell>
          <cell r="J223">
            <v>12.048491755545056</v>
          </cell>
          <cell r="K223">
            <v>9.4773291882716073</v>
          </cell>
          <cell r="L223">
            <v>9.4771832498632307</v>
          </cell>
          <cell r="M223">
            <v>9.4770826493044726</v>
          </cell>
          <cell r="N223">
            <v>7.2053701930022775</v>
          </cell>
          <cell r="O223">
            <v>5.6645548893531874</v>
          </cell>
          <cell r="P223">
            <v>1.3808836201523973</v>
          </cell>
        </row>
        <row r="224">
          <cell r="A224" t="str">
            <v>CELC_E</v>
          </cell>
          <cell r="B224" t="str">
            <v>VAR_fout</v>
          </cell>
          <cell r="C224" t="str">
            <v>ESOL-PV_E</v>
          </cell>
          <cell r="H224">
            <v>8.8045381176019262E-7</v>
          </cell>
          <cell r="I224">
            <v>1.540879253571886E-4</v>
          </cell>
          <cell r="J224">
            <v>5.4018555450012159E-4</v>
          </cell>
          <cell r="K224">
            <v>7.3857207568642279E-4</v>
          </cell>
          <cell r="L224">
            <v>7.4686780735219792E-4</v>
          </cell>
          <cell r="M224">
            <v>7.4824569459286958E-4</v>
          </cell>
          <cell r="N224">
            <v>7.5680673793679777E-4</v>
          </cell>
          <cell r="O224">
            <v>5.8334334757819772E-4</v>
          </cell>
          <cell r="P224">
            <v>7.4952964843301472E-4</v>
          </cell>
        </row>
        <row r="225">
          <cell r="A225" t="str">
            <v>CELC_E</v>
          </cell>
          <cell r="B225" t="str">
            <v>VAR_fin</v>
          </cell>
          <cell r="C225" t="str">
            <v>SUP_ELCH2_D</v>
          </cell>
          <cell r="H225">
            <v>8.3244916029872617E-7</v>
          </cell>
          <cell r="I225">
            <v>1.5407714580782295E-4</v>
          </cell>
          <cell r="J225">
            <v>5.4018555450012159E-4</v>
          </cell>
          <cell r="K225">
            <v>7.3854955939486346E-4</v>
          </cell>
          <cell r="L225">
            <v>7.4684503827388417E-4</v>
          </cell>
          <cell r="M225">
            <v>7.4822285736868505E-4</v>
          </cell>
          <cell r="N225">
            <v>7.5678365519854084E-4</v>
          </cell>
          <cell r="O225">
            <v>5.8334334757819772E-4</v>
          </cell>
          <cell r="P225">
            <v>7.4951854321547934E-4</v>
          </cell>
        </row>
        <row r="226">
          <cell r="A226" t="str">
            <v>CBIO</v>
          </cell>
          <cell r="B226" t="str">
            <v>VAR_fout</v>
          </cell>
          <cell r="C226" t="str">
            <v>D-CBIO</v>
          </cell>
          <cell r="E226">
            <v>1.2890706575083406</v>
          </cell>
          <cell r="F226">
            <v>3.692617228594345</v>
          </cell>
          <cell r="G226">
            <v>2.7594561561503022</v>
          </cell>
          <cell r="H226">
            <v>2.7594244634229117</v>
          </cell>
          <cell r="I226">
            <v>2.759474459164188</v>
          </cell>
          <cell r="J226">
            <v>3.0850081349611815</v>
          </cell>
          <cell r="K226">
            <v>3.0842417674117293</v>
          </cell>
          <cell r="L226">
            <v>3.5507375940860322</v>
          </cell>
          <cell r="M226">
            <v>8.8496755754137926</v>
          </cell>
          <cell r="N226">
            <v>9.5600857715829921</v>
          </cell>
          <cell r="O226">
            <v>9.6536716868746701</v>
          </cell>
          <cell r="P226">
            <v>9.7475872173457407</v>
          </cell>
        </row>
        <row r="227">
          <cell r="A227" t="str">
            <v>CBIO</v>
          </cell>
          <cell r="B227" t="str">
            <v>VAR_fin</v>
          </cell>
          <cell r="C227" t="str">
            <v>SUP_BIONGA</v>
          </cell>
          <cell r="E227">
            <v>1.2890706575083406</v>
          </cell>
          <cell r="F227">
            <v>3.692617228594345</v>
          </cell>
          <cell r="G227">
            <v>2.7594561561503022</v>
          </cell>
          <cell r="H227">
            <v>2.7594244634229117</v>
          </cell>
          <cell r="I227">
            <v>2.759474459164188</v>
          </cell>
          <cell r="J227">
            <v>3.0850081349611815</v>
          </cell>
          <cell r="K227">
            <v>3.0842417674117293</v>
          </cell>
          <cell r="L227">
            <v>3.5507375940860322</v>
          </cell>
          <cell r="M227">
            <v>8.8496755754137926</v>
          </cell>
          <cell r="N227">
            <v>9.5600857715829921</v>
          </cell>
          <cell r="O227">
            <v>9.6536716868746701</v>
          </cell>
          <cell r="P227">
            <v>9.7475872173457407</v>
          </cell>
        </row>
        <row r="228">
          <cell r="A228" t="str">
            <v>RSH2</v>
          </cell>
          <cell r="B228" t="str">
            <v>VAR_fout</v>
          </cell>
          <cell r="C228" t="str">
            <v>D-SNGA</v>
          </cell>
          <cell r="H228">
            <v>4.9980395498319446E-4</v>
          </cell>
          <cell r="I228">
            <v>3.323495234701599E-2</v>
          </cell>
          <cell r="J228">
            <v>0.16975685237559823</v>
          </cell>
          <cell r="K228">
            <v>0.17330327549848779</v>
          </cell>
          <cell r="L228">
            <v>0.13144567732585882</v>
          </cell>
          <cell r="M228">
            <v>0.15533389848030801</v>
          </cell>
          <cell r="N228">
            <v>9.7202647245742888E-2</v>
          </cell>
          <cell r="O228">
            <v>2.7575325323224348E-2</v>
          </cell>
          <cell r="P228">
            <v>2.4802151028306869E-2</v>
          </cell>
        </row>
        <row r="229">
          <cell r="A229" t="str">
            <v>RSH2</v>
          </cell>
          <cell r="B229" t="str">
            <v>VAR_fout</v>
          </cell>
          <cell r="C229" t="str">
            <v>D-RNGA</v>
          </cell>
          <cell r="H229">
            <v>4.8682502735769248E-4</v>
          </cell>
          <cell r="I229">
            <v>4.4931428997741392E-2</v>
          </cell>
          <cell r="J229">
            <v>0.25374280300535784</v>
          </cell>
          <cell r="K229">
            <v>0.27428655130878771</v>
          </cell>
          <cell r="L229">
            <v>0.47314832181383837</v>
          </cell>
          <cell r="M229">
            <v>0.24314010104131353</v>
          </cell>
          <cell r="N229">
            <v>0.19435184817361612</v>
          </cell>
          <cell r="O229">
            <v>6.6302069452730997E-2</v>
          </cell>
          <cell r="P229">
            <v>5.5156886529454906E-2</v>
          </cell>
        </row>
        <row r="230">
          <cell r="A230" t="str">
            <v>LTH</v>
          </cell>
          <cell r="B230" t="str">
            <v>VAR_fout</v>
          </cell>
          <cell r="C230" t="str">
            <v>SUP_WODBIO</v>
          </cell>
          <cell r="G230">
            <v>3.8327237967054887E-6</v>
          </cell>
          <cell r="H230">
            <v>5.4230466607495542E-5</v>
          </cell>
          <cell r="I230">
            <v>5.4381566606110988E-5</v>
          </cell>
          <cell r="J230">
            <v>3.8585910200282899E-5</v>
          </cell>
          <cell r="K230">
            <v>3.2175654350379453E-5</v>
          </cell>
          <cell r="L230">
            <v>1.0499330834786887E-5</v>
          </cell>
          <cell r="M230">
            <v>7.7014608322382967E-6</v>
          </cell>
          <cell r="N230">
            <v>1.1688320920719011E-5</v>
          </cell>
          <cell r="O230">
            <v>1.1923549786965805E-5</v>
          </cell>
          <cell r="P230">
            <v>3.457802234752763E-5</v>
          </cell>
        </row>
        <row r="231">
          <cell r="A231" t="str">
            <v>LTH</v>
          </cell>
          <cell r="B231" t="str">
            <v>VAR_fout</v>
          </cell>
          <cell r="C231" t="str">
            <v>SUP_WODBIOCCS</v>
          </cell>
          <cell r="J231">
            <v>1.6394118120589172E-5</v>
          </cell>
          <cell r="K231">
            <v>2.2867300064362585E-5</v>
          </cell>
          <cell r="L231">
            <v>4.4930342284096762E-5</v>
          </cell>
          <cell r="M231">
            <v>4.7576172505759318E-5</v>
          </cell>
          <cell r="N231">
            <v>4.4247523402910245E-5</v>
          </cell>
          <cell r="O231">
            <v>4.3996374064062105E-5</v>
          </cell>
          <cell r="P231">
            <v>7.2133492031796283E-5</v>
          </cell>
        </row>
        <row r="232">
          <cell r="A232" t="str">
            <v>LTH</v>
          </cell>
          <cell r="B232" t="str">
            <v>VAR_fout</v>
          </cell>
          <cell r="C232" t="str">
            <v>CT_CWODBDS</v>
          </cell>
          <cell r="E232">
            <v>0.2858696823489873</v>
          </cell>
          <cell r="F232">
            <v>0.24852372161832506</v>
          </cell>
          <cell r="G232">
            <v>0.18685996430989277</v>
          </cell>
          <cell r="H232">
            <v>2.8273971225345253E-5</v>
          </cell>
          <cell r="I232">
            <v>6.3398769816675892E-5</v>
          </cell>
          <cell r="J232">
            <v>3.682346133686334E-5</v>
          </cell>
          <cell r="K232">
            <v>1.7667882091184047E-5</v>
          </cell>
          <cell r="L232">
            <v>1.7478857000343989E-5</v>
          </cell>
          <cell r="M232">
            <v>5.9323220437172145E-6</v>
          </cell>
          <cell r="N232">
            <v>1.7170447292824653E-5</v>
          </cell>
          <cell r="O232">
            <v>9.9824521647638207E-6</v>
          </cell>
          <cell r="P232">
            <v>3.7433818795774786E-5</v>
          </cell>
        </row>
        <row r="233">
          <cell r="A233" t="str">
            <v>LTH</v>
          </cell>
          <cell r="B233" t="str">
            <v>VAR_fout</v>
          </cell>
          <cell r="C233" t="str">
            <v>CT_CWODBDSCCS</v>
          </cell>
          <cell r="J233">
            <v>1.4477108365073099E-5</v>
          </cell>
          <cell r="K233">
            <v>2.3046195158633885E-5</v>
          </cell>
          <cell r="L233">
            <v>1.3188347474440534</v>
          </cell>
          <cell r="M233">
            <v>1.3996599874832742</v>
          </cell>
          <cell r="N233">
            <v>1.3188345285756093</v>
          </cell>
          <cell r="O233">
            <v>1.4001190716448078</v>
          </cell>
          <cell r="P233">
            <v>1.5447155108751958</v>
          </cell>
        </row>
        <row r="234">
          <cell r="A234" t="str">
            <v>LTH</v>
          </cell>
          <cell r="B234" t="str">
            <v>VAR_fin</v>
          </cell>
          <cell r="C234" t="str">
            <v>D-CHEAT</v>
          </cell>
          <cell r="J234">
            <v>5.2063444269554243E-5</v>
          </cell>
          <cell r="K234">
            <v>5.5355912816017165E-5</v>
          </cell>
          <cell r="L234">
            <v>0.43555180294450802</v>
          </cell>
          <cell r="M234">
            <v>1.2343774371760714</v>
          </cell>
          <cell r="N234">
            <v>8.8705493704180558</v>
          </cell>
          <cell r="O234">
            <v>13.13087391621611</v>
          </cell>
          <cell r="P234">
            <v>17.484725030520192</v>
          </cell>
        </row>
        <row r="235">
          <cell r="A235" t="str">
            <v>LNGA</v>
          </cell>
          <cell r="B235" t="str">
            <v>VAR_fin</v>
          </cell>
          <cell r="C235" t="str">
            <v>D-LNGA</v>
          </cell>
          <cell r="H235">
            <v>8.8644195571366814E-5</v>
          </cell>
          <cell r="I235">
            <v>5.1114037693939277E-4</v>
          </cell>
          <cell r="J235">
            <v>2.6882527113025626E-4</v>
          </cell>
          <cell r="K235">
            <v>1.6708375343728993E-4</v>
          </cell>
          <cell r="L235">
            <v>1.5893472933395096E-4</v>
          </cell>
          <cell r="M235">
            <v>1.1714342862252208E-4</v>
          </cell>
          <cell r="N235">
            <v>3.7369977106585723E-4</v>
          </cell>
          <cell r="O235">
            <v>8.5783704900786457E-4</v>
          </cell>
          <cell r="P235">
            <v>1.4990040228577486E-3</v>
          </cell>
        </row>
        <row r="236">
          <cell r="A236" t="str">
            <v>IH2</v>
          </cell>
          <cell r="B236" t="str">
            <v>VAR_fout</v>
          </cell>
          <cell r="C236" t="str">
            <v>D-INGA</v>
          </cell>
          <cell r="H236">
            <v>2.8234235368518552E-2</v>
          </cell>
          <cell r="I236">
            <v>0.42847611910412164</v>
          </cell>
          <cell r="J236">
            <v>0.51619533434934051</v>
          </cell>
          <cell r="K236">
            <v>0.37626435865462837</v>
          </cell>
          <cell r="L236">
            <v>0.1076186517102746</v>
          </cell>
          <cell r="M236">
            <v>7.7486293062533837E-2</v>
          </cell>
          <cell r="N236">
            <v>7.70206560474926E-2</v>
          </cell>
          <cell r="O236">
            <v>7.7218995512808211E-2</v>
          </cell>
          <cell r="P236">
            <v>7.6362834070848609E-2</v>
          </cell>
        </row>
        <row r="237">
          <cell r="A237" t="str">
            <v>WHEAT</v>
          </cell>
          <cell r="B237" t="str">
            <v>VAR_fin</v>
          </cell>
          <cell r="C237" t="str">
            <v>D-CHEAT</v>
          </cell>
          <cell r="J237">
            <v>3.6883664365100461E-4</v>
          </cell>
          <cell r="K237">
            <v>5.1430612302880998E-4</v>
          </cell>
          <cell r="L237">
            <v>0.17759426283236179</v>
          </cell>
          <cell r="M237">
            <v>0.13154415591055041</v>
          </cell>
          <cell r="N237">
            <v>0.17168873624706218</v>
          </cell>
          <cell r="O237">
            <v>9.0859857847623723E-2</v>
          </cell>
          <cell r="P237">
            <v>8.7677782446122385E-2</v>
          </cell>
        </row>
        <row r="238">
          <cell r="A238" t="str">
            <v>SOL</v>
          </cell>
          <cell r="B238" t="str">
            <v>VAR_fin</v>
          </cell>
          <cell r="C238" t="str">
            <v>ESOL-PV_A</v>
          </cell>
          <cell r="H238">
            <v>0.34128000255216284</v>
          </cell>
          <cell r="I238">
            <v>1.2719935747804814</v>
          </cell>
          <cell r="J238">
            <v>1.2719970764465036</v>
          </cell>
          <cell r="K238">
            <v>3.1772492590938262</v>
          </cell>
          <cell r="L238">
            <v>5.4928334544171351</v>
          </cell>
          <cell r="M238">
            <v>5.1516411129910509</v>
          </cell>
          <cell r="N238">
            <v>4.2209971051692046</v>
          </cell>
          <cell r="O238">
            <v>3.9900333796446152</v>
          </cell>
          <cell r="P238">
            <v>2.7455950334855728</v>
          </cell>
        </row>
        <row r="239">
          <cell r="A239" t="str">
            <v>SOL</v>
          </cell>
          <cell r="B239" t="str">
            <v>VAR_fin</v>
          </cell>
          <cell r="C239" t="str">
            <v>ESOL-PV_E</v>
          </cell>
          <cell r="H239">
            <v>8.8045381176019262E-7</v>
          </cell>
          <cell r="I239">
            <v>1.540879253571886E-4</v>
          </cell>
          <cell r="J239">
            <v>5.4018555450012159E-4</v>
          </cell>
          <cell r="K239">
            <v>7.3857207568642279E-4</v>
          </cell>
          <cell r="L239">
            <v>7.4686780735219792E-4</v>
          </cell>
          <cell r="M239">
            <v>7.4824569459286958E-4</v>
          </cell>
          <cell r="N239">
            <v>7.5680673793679777E-4</v>
          </cell>
          <cell r="O239">
            <v>5.8334334757819772E-4</v>
          </cell>
          <cell r="P239">
            <v>7.4952964843301472E-4</v>
          </cell>
        </row>
        <row r="240">
          <cell r="A240" t="str">
            <v>TKER</v>
          </cell>
          <cell r="B240" t="str">
            <v>VAR_fout</v>
          </cell>
          <cell r="C240" t="str">
            <v>D-TBDS1</v>
          </cell>
          <cell r="E240">
            <v>3.3950520625614301E-4</v>
          </cell>
          <cell r="F240">
            <v>6.1967493696691697E-6</v>
          </cell>
          <cell r="G240">
            <v>4.2917365554131202E-4</v>
          </cell>
          <cell r="H240">
            <v>1.6061217991256201E-2</v>
          </cell>
          <cell r="I240">
            <v>7.3697683955609703E-4</v>
          </cell>
          <cell r="J240">
            <v>1.02278798354296E-4</v>
          </cell>
          <cell r="K240">
            <v>3.11511874996137E-3</v>
          </cell>
          <cell r="L240">
            <v>1.69077836421814</v>
          </cell>
          <cell r="M240">
            <v>1.50963631158895</v>
          </cell>
          <cell r="N240">
            <v>1.34792232701452</v>
          </cell>
          <cell r="O240">
            <v>1.2035729233655399</v>
          </cell>
          <cell r="P240">
            <v>1.07459760555129</v>
          </cell>
        </row>
        <row r="241">
          <cell r="A241" t="str">
            <v>BDS1</v>
          </cell>
          <cell r="B241" t="str">
            <v>VAR_fout</v>
          </cell>
          <cell r="C241" t="str">
            <v>IMPBDS1</v>
          </cell>
          <cell r="H241">
            <v>5.29992688652856</v>
          </cell>
          <cell r="I241">
            <v>18.511808427524102</v>
          </cell>
          <cell r="J241">
            <v>38.846718819577099</v>
          </cell>
          <cell r="K241">
            <v>68.659022416120905</v>
          </cell>
          <cell r="L241">
            <v>93.853199230264906</v>
          </cell>
          <cell r="M241">
            <v>93.853201118738298</v>
          </cell>
          <cell r="N241">
            <v>94.908954172014305</v>
          </cell>
          <cell r="O241">
            <v>96.620385441532704</v>
          </cell>
          <cell r="P241">
            <v>98.328896064274602</v>
          </cell>
        </row>
        <row r="242">
          <cell r="A242" t="str">
            <v>BDS1</v>
          </cell>
          <cell r="B242" t="str">
            <v>VAR_fin</v>
          </cell>
          <cell r="C242" t="str">
            <v>D-TBDS1intl</v>
          </cell>
          <cell r="H242">
            <v>5.29992688652856</v>
          </cell>
          <cell r="I242">
            <v>18.511808427524102</v>
          </cell>
          <cell r="J242">
            <v>38.846718819577099</v>
          </cell>
          <cell r="K242">
            <v>68.659022416120905</v>
          </cell>
          <cell r="L242">
            <v>93.853199230264906</v>
          </cell>
          <cell r="M242">
            <v>93.853201118738298</v>
          </cell>
          <cell r="N242">
            <v>94.908954172014305</v>
          </cell>
          <cell r="O242">
            <v>96.620385441532704</v>
          </cell>
          <cell r="P242">
            <v>98.328896064274602</v>
          </cell>
        </row>
        <row r="243">
          <cell r="A243" t="str">
            <v>CELC</v>
          </cell>
          <cell r="B243" t="str">
            <v>VAR_fout</v>
          </cell>
          <cell r="C243" t="str">
            <v>D-CELC</v>
          </cell>
          <cell r="E243">
            <v>0.35769585102441065</v>
          </cell>
          <cell r="F243">
            <v>5.1151318691173397E-2</v>
          </cell>
          <cell r="G243">
            <v>0.34181243442867282</v>
          </cell>
          <cell r="H243">
            <v>4.1707107681067328E-2</v>
          </cell>
          <cell r="I243">
            <v>15.232031112234838</v>
          </cell>
          <cell r="J243">
            <v>14.788698215919489</v>
          </cell>
          <cell r="K243">
            <v>14.370931736647767</v>
          </cell>
          <cell r="L243">
            <v>21.0846321590945</v>
          </cell>
          <cell r="M243">
            <v>21.830566190012281</v>
          </cell>
          <cell r="N243">
            <v>30.547082660530972</v>
          </cell>
          <cell r="O243">
            <v>33.884355662976205</v>
          </cell>
          <cell r="P243">
            <v>34.684129236552934</v>
          </cell>
        </row>
        <row r="244">
          <cell r="A244" t="str">
            <v>CELC</v>
          </cell>
          <cell r="B244" t="str">
            <v>VAR_fin</v>
          </cell>
          <cell r="C244" t="str">
            <v>SUP_H2NGA</v>
          </cell>
          <cell r="J244">
            <v>5.9796958741436294E-6</v>
          </cell>
          <cell r="K244">
            <v>2.4517712179550479E-6</v>
          </cell>
          <cell r="L244">
            <v>4.3027105064149119E-5</v>
          </cell>
          <cell r="M244">
            <v>2.9417243779431296E-2</v>
          </cell>
          <cell r="N244">
            <v>0.11507576151084066</v>
          </cell>
          <cell r="O244">
            <v>0.16404210436816197</v>
          </cell>
          <cell r="P244">
            <v>0.16508700546132019</v>
          </cell>
        </row>
        <row r="245">
          <cell r="A245" t="str">
            <v>CELC</v>
          </cell>
          <cell r="B245" t="str">
            <v>VAR_fin</v>
          </cell>
          <cell r="C245" t="str">
            <v>SUP_ELCH2_SOEC</v>
          </cell>
          <cell r="J245">
            <v>2.6930247459350568E-3</v>
          </cell>
          <cell r="K245">
            <v>4.1197179899411848E-3</v>
          </cell>
          <cell r="L245">
            <v>2.7184088084202451E-3</v>
          </cell>
          <cell r="M245">
            <v>1.6120083829511841E-3</v>
          </cell>
          <cell r="N245">
            <v>2.2017949838918941E-3</v>
          </cell>
          <cell r="O245">
            <v>2.4385807590360715E-3</v>
          </cell>
          <cell r="P245">
            <v>4.5165306347512207E-3</v>
          </cell>
        </row>
        <row r="246">
          <cell r="A246" t="str">
            <v>CELC</v>
          </cell>
          <cell r="B246" t="str">
            <v>VAR_fin</v>
          </cell>
          <cell r="C246" t="str">
            <v>SUP_ELCH2</v>
          </cell>
          <cell r="E246">
            <v>4.931891204802588E-3</v>
          </cell>
          <cell r="F246">
            <v>6.831472655617672E-3</v>
          </cell>
          <cell r="G246">
            <v>6.7077277159142178E-3</v>
          </cell>
          <cell r="H246">
            <v>4.1660822971543027E-2</v>
          </cell>
          <cell r="I246">
            <v>15.231951756124241</v>
          </cell>
          <cell r="J246">
            <v>14.785870344100669</v>
          </cell>
          <cell r="K246">
            <v>14.36671625860866</v>
          </cell>
          <cell r="L246">
            <v>20.557756598695732</v>
          </cell>
          <cell r="M246">
            <v>21.141262426601791</v>
          </cell>
          <cell r="N246">
            <v>28.702234323707721</v>
          </cell>
          <cell r="O246">
            <v>31.366736305581366</v>
          </cell>
          <cell r="P246">
            <v>31.494179733250899</v>
          </cell>
        </row>
        <row r="247">
          <cell r="A247" t="str">
            <v>CELC</v>
          </cell>
          <cell r="B247" t="str">
            <v>VAR_fin</v>
          </cell>
          <cell r="C247" t="str">
            <v>CT_CWODBDS</v>
          </cell>
          <cell r="E247">
            <v>5.0943443392960648E-2</v>
          </cell>
          <cell r="F247">
            <v>4.4288201673009266E-2</v>
          </cell>
          <cell r="G247">
            <v>3.3299403896250135E-2</v>
          </cell>
          <cell r="H247">
            <v>5.0385666670807568E-6</v>
          </cell>
          <cell r="I247">
            <v>1.129798590322816E-5</v>
          </cell>
          <cell r="J247">
            <v>6.5621296484923229E-6</v>
          </cell>
          <cell r="K247">
            <v>3.149833614656764E-6</v>
          </cell>
          <cell r="L247">
            <v>3.1148219526254066E-6</v>
          </cell>
          <cell r="M247">
            <v>1.0571702103547367E-6</v>
          </cell>
          <cell r="N247">
            <v>3.059861761157218E-6</v>
          </cell>
          <cell r="O247">
            <v>1.7789241678232975E-6</v>
          </cell>
          <cell r="P247">
            <v>6.6708984777085882E-6</v>
          </cell>
        </row>
        <row r="248">
          <cell r="A248" t="str">
            <v>CELC</v>
          </cell>
          <cell r="B248" t="str">
            <v>VAR_fin</v>
          </cell>
          <cell r="C248" t="str">
            <v>CT_CWODETHCCS</v>
          </cell>
          <cell r="J248">
            <v>5.4592968322878575E-5</v>
          </cell>
          <cell r="K248">
            <v>4.2930178824307139E-5</v>
          </cell>
          <cell r="L248">
            <v>8.5311380708905993E-5</v>
          </cell>
          <cell r="M248">
            <v>3.7943450722260925E-5</v>
          </cell>
          <cell r="N248">
            <v>8.6781416388170791E-5</v>
          </cell>
          <cell r="O248">
            <v>6.1160793413148756E-5</v>
          </cell>
          <cell r="P248">
            <v>1.9637128796630849E-4</v>
          </cell>
        </row>
        <row r="249">
          <cell r="A249" t="str">
            <v>CELC</v>
          </cell>
          <cell r="B249" t="str">
            <v>VAR_fin</v>
          </cell>
          <cell r="C249" t="str">
            <v>CT_CWODETH</v>
          </cell>
          <cell r="E249">
            <v>0.30182040507830565</v>
          </cell>
          <cell r="F249">
            <v>3.1524760873133689E-5</v>
          </cell>
          <cell r="G249">
            <v>0.30180525735721941</v>
          </cell>
          <cell r="H249">
            <v>4.1246142857276814E-5</v>
          </cell>
          <cell r="I249">
            <v>6.8058124702403044E-5</v>
          </cell>
          <cell r="J249">
            <v>6.0226658086022622E-5</v>
          </cell>
          <cell r="K249">
            <v>3.5996251581524614E-5</v>
          </cell>
          <cell r="L249">
            <v>5.7780777512886254E-5</v>
          </cell>
          <cell r="M249">
            <v>2.4110421604312759E-5</v>
          </cell>
          <cell r="N249">
            <v>6.0374314439566346E-5</v>
          </cell>
          <cell r="O249">
            <v>3.9974010076524508E-5</v>
          </cell>
          <cell r="P249">
            <v>1.2909283816313198E-4</v>
          </cell>
        </row>
        <row r="250">
          <cell r="A250" t="str">
            <v>CELC</v>
          </cell>
          <cell r="B250" t="str">
            <v>VAR_fin</v>
          </cell>
          <cell r="C250" t="str">
            <v>SUP_DAC</v>
          </cell>
          <cell r="J250">
            <v>2.6943874860434677E-6</v>
          </cell>
          <cell r="K250">
            <v>3.6048207655693908E-6</v>
          </cell>
          <cell r="L250">
            <v>8.7496417755755437E-2</v>
          </cell>
          <cell r="M250">
            <v>0.19499059482423273</v>
          </cell>
          <cell r="N250">
            <v>1.2909491374216155</v>
          </cell>
          <cell r="O250">
            <v>1.8876630181622605</v>
          </cell>
          <cell r="P250">
            <v>2.5087865559631211</v>
          </cell>
        </row>
        <row r="251">
          <cell r="A251" t="str">
            <v>CELC</v>
          </cell>
          <cell r="B251" t="str">
            <v>VAR_fin</v>
          </cell>
          <cell r="C251" t="str">
            <v>CT_CWODBDSCCS</v>
          </cell>
          <cell r="J251">
            <v>4.7912334827265816E-6</v>
          </cell>
          <cell r="K251">
            <v>7.6271931596431249E-6</v>
          </cell>
          <cell r="L251">
            <v>0.43647149974934202</v>
          </cell>
          <cell r="M251">
            <v>0.46322080538136978</v>
          </cell>
          <cell r="N251">
            <v>0.43647142731430932</v>
          </cell>
          <cell r="O251">
            <v>0.46337274037768716</v>
          </cell>
          <cell r="P251">
            <v>0.51122727621822084</v>
          </cell>
        </row>
        <row r="252">
          <cell r="A252" t="str">
            <v>SBIO</v>
          </cell>
          <cell r="B252" t="str">
            <v>VAR_fout</v>
          </cell>
          <cell r="C252" t="str">
            <v>D-SBIO</v>
          </cell>
          <cell r="E252">
            <v>4.0476715295814945</v>
          </cell>
          <cell r="F252">
            <v>4.5832727764998049</v>
          </cell>
          <cell r="G252">
            <v>4.5976084980615681</v>
          </cell>
          <cell r="H252">
            <v>4.5783495058040238</v>
          </cell>
          <cell r="I252">
            <v>6.1293414433663802</v>
          </cell>
          <cell r="J252">
            <v>7.9413976481514545</v>
          </cell>
          <cell r="K252">
            <v>14.766957099277647</v>
          </cell>
          <cell r="L252">
            <v>22.080556668479151</v>
          </cell>
          <cell r="M252">
            <v>24.532814417340479</v>
          </cell>
          <cell r="N252">
            <v>29.949599057189541</v>
          </cell>
          <cell r="O252">
            <v>33.597369286644984</v>
          </cell>
          <cell r="P252">
            <v>36.392183481987843</v>
          </cell>
        </row>
        <row r="253">
          <cell r="A253" t="str">
            <v>INGA</v>
          </cell>
          <cell r="B253" t="str">
            <v>VAR_fout</v>
          </cell>
          <cell r="C253" t="str">
            <v>D-INGA</v>
          </cell>
          <cell r="E253">
            <v>37.468433262182018</v>
          </cell>
          <cell r="F253">
            <v>31.063583132195568</v>
          </cell>
          <cell r="G253">
            <v>34.598967425659907</v>
          </cell>
          <cell r="H253">
            <v>26.556790273967074</v>
          </cell>
          <cell r="I253">
            <v>13.809624065349297</v>
          </cell>
          <cell r="J253">
            <v>16.652229778467749</v>
          </cell>
          <cell r="K253">
            <v>12.141953891426647</v>
          </cell>
          <cell r="L253">
            <v>3.4706261829387466</v>
          </cell>
          <cell r="M253">
            <v>2.5104510919912131</v>
          </cell>
          <cell r="N253">
            <v>2.5096964645838979</v>
          </cell>
          <cell r="O253">
            <v>2.5096028281379317</v>
          </cell>
          <cell r="P253">
            <v>2.509541753278675</v>
          </cell>
        </row>
        <row r="254">
          <cell r="A254" t="str">
            <v>DSL</v>
          </cell>
          <cell r="B254" t="str">
            <v>VAR_fout</v>
          </cell>
          <cell r="C254" t="str">
            <v>SUP_H2DSL</v>
          </cell>
          <cell r="J254">
            <v>1.3155310925472969E-3</v>
          </cell>
          <cell r="K254">
            <v>6.079381921137903E-4</v>
          </cell>
          <cell r="L254">
            <v>2.6245932535300153E-4</v>
          </cell>
          <cell r="M254">
            <v>1.7533231683947671E-4</v>
          </cell>
          <cell r="N254">
            <v>2.7616115801125211E-4</v>
          </cell>
          <cell r="O254">
            <v>2.9421776679642447E-4</v>
          </cell>
          <cell r="P254">
            <v>4.9417464655136377E-4</v>
          </cell>
        </row>
        <row r="255">
          <cell r="A255" t="str">
            <v>WSTREN</v>
          </cell>
          <cell r="B255" t="str">
            <v>VAR_fin</v>
          </cell>
          <cell r="C255" t="str">
            <v>D-CWST</v>
          </cell>
          <cell r="E255">
            <v>9.6793718489407485</v>
          </cell>
          <cell r="F255">
            <v>10.251749507345712</v>
          </cell>
          <cell r="G255">
            <v>9.8920740370076761</v>
          </cell>
          <cell r="H255">
            <v>10.218266791422403</v>
          </cell>
          <cell r="I255">
            <v>10.197339967601359</v>
          </cell>
          <cell r="J255">
            <v>9.9209885963864206</v>
          </cell>
          <cell r="K255">
            <v>15.849013492145019</v>
          </cell>
          <cell r="L255">
            <v>16.928772855840798</v>
          </cell>
          <cell r="M255">
            <v>17.723920470181071</v>
          </cell>
          <cell r="N255">
            <v>18.01096952299228</v>
          </cell>
          <cell r="O255">
            <v>18.298016525163241</v>
          </cell>
          <cell r="P255">
            <v>18.585050803333594</v>
          </cell>
        </row>
        <row r="256">
          <cell r="A256" t="str">
            <v>SOLPVC</v>
          </cell>
          <cell r="B256" t="str">
            <v>VAR_fin</v>
          </cell>
          <cell r="C256" t="str">
            <v>ESOL-PV_A</v>
          </cell>
          <cell r="H256">
            <v>0.34128000255216301</v>
          </cell>
          <cell r="I256">
            <v>1.27199357478048</v>
          </cell>
          <cell r="J256">
            <v>1.2719970764465001</v>
          </cell>
          <cell r="K256">
            <v>3.1772492590938302</v>
          </cell>
          <cell r="L256">
            <v>5.4928334544171404</v>
          </cell>
          <cell r="M256">
            <v>5.1516411129910598</v>
          </cell>
          <cell r="N256">
            <v>4.2209971051692099</v>
          </cell>
          <cell r="O256">
            <v>3.9900333796446201</v>
          </cell>
          <cell r="P256">
            <v>2.7455950334855701</v>
          </cell>
        </row>
        <row r="257">
          <cell r="A257" t="str">
            <v>SOLPVC</v>
          </cell>
          <cell r="B257" t="str">
            <v>VAR_fin</v>
          </cell>
          <cell r="C257" t="str">
            <v>ESOL-PV_E</v>
          </cell>
          <cell r="H257">
            <v>8.8045381176019199E-7</v>
          </cell>
          <cell r="I257">
            <v>1.54087925357189E-4</v>
          </cell>
          <cell r="J257">
            <v>5.4018555450012203E-4</v>
          </cell>
          <cell r="K257">
            <v>7.3857207568642203E-4</v>
          </cell>
          <cell r="L257">
            <v>7.4686780735219705E-4</v>
          </cell>
          <cell r="M257">
            <v>7.4824569459286904E-4</v>
          </cell>
          <cell r="N257">
            <v>7.5680673793679799E-4</v>
          </cell>
          <cell r="O257">
            <v>5.8334334757819805E-4</v>
          </cell>
          <cell r="P257">
            <v>7.4952964843301396E-4</v>
          </cell>
        </row>
        <row r="258">
          <cell r="A258" t="str">
            <v>KERintl</v>
          </cell>
          <cell r="B258" t="str">
            <v>VAR_fout</v>
          </cell>
          <cell r="C258" t="str">
            <v>SUP_H2DSL</v>
          </cell>
          <cell r="J258">
            <v>3.8733917124573699E-4</v>
          </cell>
          <cell r="K258">
            <v>1.77598954348961E-4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2045</v>
          </cell>
          <cell r="K3" t="str">
            <v>2050</v>
          </cell>
          <cell r="L3" t="str">
            <v>2055</v>
          </cell>
          <cell r="M3" t="str">
            <v>2060</v>
          </cell>
          <cell r="N3" t="str">
            <v>2065</v>
          </cell>
          <cell r="O3" t="str">
            <v>2070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1.78637107403819E-2</v>
          </cell>
          <cell r="E4">
            <v>1.7877655403959001E-2</v>
          </cell>
          <cell r="F4">
            <v>1.7820888217036101E-2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4.4243346048845385E-3</v>
          </cell>
          <cell r="E5">
            <v>3.546050724500116E-3</v>
          </cell>
          <cell r="F5">
            <v>2.2163842211323074E-3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3.1673245993584816E-4</v>
          </cell>
          <cell r="E6">
            <v>3.169797057439533E-4</v>
          </cell>
          <cell r="F6">
            <v>3.1597319533751953E-4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8.3573577075931306E-5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0.60629940104353941</v>
          </cell>
          <cell r="E8">
            <v>5.129054936382705E-2</v>
          </cell>
          <cell r="F8">
            <v>6.5140297566359195E-2</v>
          </cell>
          <cell r="G8">
            <v>6.3170285598091735E-2</v>
          </cell>
          <cell r="H8">
            <v>5.7092895424148096E-2</v>
          </cell>
          <cell r="I8">
            <v>5.9849190212630798E-2</v>
          </cell>
          <cell r="J8">
            <v>5.4946899432770903E-2</v>
          </cell>
          <cell r="K8">
            <v>2.63532689552354E-2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1.1096531798543401E-3</v>
          </cell>
          <cell r="E9">
            <v>9.4247855012670969E-5</v>
          </cell>
          <cell r="F9">
            <v>1.2020351214938548E-4</v>
          </cell>
          <cell r="G9">
            <v>1.2314882242149596E-4</v>
          </cell>
          <cell r="H9">
            <v>1.1672492736663008E-4</v>
          </cell>
          <cell r="I9">
            <v>1.2507170552911317E-4</v>
          </cell>
          <cell r="J9">
            <v>1.2124597406188471E-4</v>
          </cell>
          <cell r="K9">
            <v>5.8508999230101368E-5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1.0749989380204605E-2</v>
          </cell>
          <cell r="E10">
            <v>9.0940690361395588E-4</v>
          </cell>
          <cell r="F10">
            <v>1.1549698150063671E-3</v>
          </cell>
          <cell r="G10">
            <v>1.1200405247888609E-3</v>
          </cell>
          <cell r="H10">
            <v>1.0122853798607816E-3</v>
          </cell>
          <cell r="I10">
            <v>1.0611558548338795E-3</v>
          </cell>
          <cell r="J10">
            <v>9.7423580554558244E-4</v>
          </cell>
          <cell r="K10">
            <v>4.6725654175949424E-4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1.3850636945134301E-7</v>
          </cell>
          <cell r="F11">
            <v>2.6536573212180702E-7</v>
          </cell>
          <cell r="G11">
            <v>1.81221037240944E-6</v>
          </cell>
          <cell r="H11">
            <v>1.9497383289165598E-6</v>
          </cell>
          <cell r="I11">
            <v>8.4550607917448299E-7</v>
          </cell>
          <cell r="J11">
            <v>1.9871182542084899E-6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2.1234847622877994E-5</v>
          </cell>
          <cell r="E12">
            <v>2.41540771611133E-6</v>
          </cell>
          <cell r="F12">
            <v>2.416332629272757E-6</v>
          </cell>
          <cell r="G12">
            <v>2.4174404312369911E-6</v>
          </cell>
          <cell r="H12">
            <v>2.41970702776219E-6</v>
          </cell>
          <cell r="I12">
            <v>2.4243128143889299E-6</v>
          </cell>
          <cell r="J12">
            <v>2.4255224534914501E-6</v>
          </cell>
          <cell r="K12">
            <v>1.341032258366E-6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2.1103346644594235E-4</v>
          </cell>
          <cell r="E13">
            <v>3.6270022292752126E-4</v>
          </cell>
          <cell r="F13">
            <v>3.8320002852604892E-4</v>
          </cell>
          <cell r="G13">
            <v>4.0930268527846619E-4</v>
          </cell>
          <cell r="H13">
            <v>3.2915139804544905E-4</v>
          </cell>
          <cell r="I13">
            <v>1.8863106246170836E-4</v>
          </cell>
          <cell r="J13">
            <v>1.7979966148391549E-4</v>
          </cell>
          <cell r="K13">
            <v>8.5326556603526577E-5</v>
          </cell>
          <cell r="L13">
            <v>6.6224625799716629E-4</v>
          </cell>
          <cell r="M13">
            <v>1.1680095914067578E-3</v>
          </cell>
          <cell r="N13">
            <v>1.4532084821654381E-3</v>
          </cell>
          <cell r="O13">
            <v>1.8517389865167757E-3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2.1103346644594235E-4</v>
          </cell>
          <cell r="E14">
            <v>3.6270022292752126E-4</v>
          </cell>
          <cell r="F14">
            <v>3.8320002852604892E-4</v>
          </cell>
          <cell r="G14">
            <v>4.0930268527846619E-4</v>
          </cell>
          <cell r="H14">
            <v>3.2915139804544905E-4</v>
          </cell>
          <cell r="I14">
            <v>1.8863106246170836E-4</v>
          </cell>
          <cell r="J14">
            <v>1.7979966148391549E-4</v>
          </cell>
          <cell r="K14">
            <v>8.5326556603526577E-5</v>
          </cell>
          <cell r="L14">
            <v>6.6224625799716629E-4</v>
          </cell>
          <cell r="M14">
            <v>1.1680095914067578E-3</v>
          </cell>
          <cell r="N14">
            <v>1.4532084821654381E-3</v>
          </cell>
          <cell r="O14">
            <v>1.8517389865167757E-3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1.4805376831979899E-5</v>
          </cell>
          <cell r="F15">
            <v>1.6549599125862901E-5</v>
          </cell>
          <cell r="G15">
            <v>1.7029238252842401E-5</v>
          </cell>
          <cell r="H15">
            <v>2.07867128637804E-5</v>
          </cell>
          <cell r="J15">
            <v>1.41352846027734E-5</v>
          </cell>
          <cell r="L15">
            <v>9.2165720063992694E-5</v>
          </cell>
          <cell r="M15">
            <v>8.3669201095237198E-5</v>
          </cell>
          <cell r="N15">
            <v>7.2477827305543195E-5</v>
          </cell>
          <cell r="O15">
            <v>1.2352081247154901E-4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2.5986946547648057E-5</v>
          </cell>
          <cell r="E16">
            <v>4.0468983338428201E-5</v>
          </cell>
          <cell r="F16">
            <v>5.5640559882932702E-5</v>
          </cell>
          <cell r="G16">
            <v>6.0283577142806994E-5</v>
          </cell>
          <cell r="H16">
            <v>4.811482923575105E-5</v>
          </cell>
          <cell r="I16">
            <v>2.7466678861939577E-5</v>
          </cell>
          <cell r="J16">
            <v>2.6422206596531199E-5</v>
          </cell>
          <cell r="K16">
            <v>1.18285591548908E-5</v>
          </cell>
          <cell r="L16">
            <v>9.9751742707847996E-5</v>
          </cell>
          <cell r="M16">
            <v>1.7582224373145834E-4</v>
          </cell>
          <cell r="N16">
            <v>2.190520897118416E-4</v>
          </cell>
          <cell r="O16">
            <v>2.7962681837387821E-4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1.4454565699825288E-3</v>
          </cell>
          <cell r="E17">
            <v>1.7743687260455986E-3</v>
          </cell>
          <cell r="F17">
            <v>1.8018265166858064E-3</v>
          </cell>
          <cell r="G17">
            <v>5.965848615770425E-4</v>
          </cell>
          <cell r="H17">
            <v>0.43764252894214062</v>
          </cell>
          <cell r="I17">
            <v>0.75048462828651852</v>
          </cell>
          <cell r="J17">
            <v>1.8131723902817054</v>
          </cell>
          <cell r="K17">
            <v>2.3972449808828653</v>
          </cell>
          <cell r="L17">
            <v>2.8129619958066852</v>
          </cell>
          <cell r="M17">
            <v>2.9109902806807777</v>
          </cell>
          <cell r="N17">
            <v>3.0146602721384883</v>
          </cell>
          <cell r="O17">
            <v>3.1326825707320491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5.3788880894823045E-3</v>
          </cell>
          <cell r="E18">
            <v>6.5487969328965438E-3</v>
          </cell>
          <cell r="F18">
            <v>6.6404012622590909E-3</v>
          </cell>
          <cell r="G18">
            <v>2.1774056766570419E-3</v>
          </cell>
          <cell r="H18">
            <v>1.4351794094939585</v>
          </cell>
          <cell r="I18">
            <v>2.4104554026202663</v>
          </cell>
          <cell r="J18">
            <v>5.5445717257970877</v>
          </cell>
          <cell r="K18">
            <v>7.171071700378139</v>
          </cell>
          <cell r="L18">
            <v>8.2876935120252178</v>
          </cell>
          <cell r="M18">
            <v>8.5765094938113453</v>
          </cell>
          <cell r="N18">
            <v>8.8819473621069651</v>
          </cell>
          <cell r="O18">
            <v>9.2296707368934854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5.8790662904343503E-7</v>
          </cell>
          <cell r="F19">
            <v>1.4419233658129399E-6</v>
          </cell>
          <cell r="G19">
            <v>1.2474280885317901E-6</v>
          </cell>
          <cell r="H19">
            <v>8.2328499328346207E-3</v>
          </cell>
          <cell r="I19">
            <v>7.5215622230500696E-3</v>
          </cell>
          <cell r="J19">
            <v>3.0285957072155801E-2</v>
          </cell>
          <cell r="K19">
            <v>2.4689709541039599E-2</v>
          </cell>
          <cell r="L19">
            <v>3.72046475794411E-2</v>
          </cell>
          <cell r="M19">
            <v>4.7546513402618E-2</v>
          </cell>
          <cell r="N19">
            <v>2.6758595769221499E-2</v>
          </cell>
          <cell r="O19">
            <v>4.3491718124561103E-2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2.8036149432068598E-5</v>
          </cell>
          <cell r="E20">
            <v>3.3588121749413629E-5</v>
          </cell>
          <cell r="F20">
            <v>3.465779771593178E-5</v>
          </cell>
          <cell r="G20">
            <v>1.180897377417619E-5</v>
          </cell>
          <cell r="H20">
            <v>8.2331734339935302E-3</v>
          </cell>
          <cell r="I20">
            <v>1.4188138312361501E-2</v>
          </cell>
          <cell r="J20">
            <v>3.4185969792315897E-2</v>
          </cell>
          <cell r="K20">
            <v>4.5128576389166203E-2</v>
          </cell>
          <cell r="L20">
            <v>5.5270027955427903E-2</v>
          </cell>
          <cell r="M20">
            <v>5.7194962655599903E-2</v>
          </cell>
          <cell r="N20">
            <v>5.9232213495074203E-2</v>
          </cell>
          <cell r="O20">
            <v>6.1550099923985198E-2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4.8471457289910841E-2</v>
          </cell>
          <cell r="E21">
            <v>9.8556055566820552E-2</v>
          </cell>
          <cell r="F21">
            <v>6.9305216938348652E-2</v>
          </cell>
          <cell r="G21">
            <v>7.8160965825786743E-2</v>
          </cell>
          <cell r="H21">
            <v>9.7892856555138151E-3</v>
          </cell>
          <cell r="I21">
            <v>6.2893381870231713E-4</v>
          </cell>
          <cell r="J21">
            <v>5.7785255958376107E-4</v>
          </cell>
          <cell r="K21">
            <v>4.1958849114726889E-4</v>
          </cell>
          <cell r="L21">
            <v>2.5086114991876665E-3</v>
          </cell>
          <cell r="M21">
            <v>2.6578295808697941E-3</v>
          </cell>
          <cell r="N21">
            <v>2.2139963118176973E-3</v>
          </cell>
          <cell r="O21">
            <v>1.1421039675365092E-3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4.8471457289910841E-2</v>
          </cell>
          <cell r="E22">
            <v>9.8556055566820552E-2</v>
          </cell>
          <cell r="F22">
            <v>6.9305216938348652E-2</v>
          </cell>
          <cell r="G22">
            <v>7.8160965825786743E-2</v>
          </cell>
          <cell r="H22">
            <v>9.7892856555138151E-3</v>
          </cell>
          <cell r="I22">
            <v>6.2893381870231713E-4</v>
          </cell>
          <cell r="J22">
            <v>5.7785255958376107E-4</v>
          </cell>
          <cell r="K22">
            <v>4.1958849114726889E-4</v>
          </cell>
          <cell r="L22">
            <v>2.5086114991876665E-3</v>
          </cell>
          <cell r="M22">
            <v>2.6578295808697941E-3</v>
          </cell>
          <cell r="N22">
            <v>2.2139963118176973E-3</v>
          </cell>
          <cell r="O22">
            <v>1.1421039675365092E-3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8.8748108942577403E-6</v>
          </cell>
          <cell r="F23">
            <v>2.7957381500107401E-5</v>
          </cell>
          <cell r="G23">
            <v>6.1170295606765397E-5</v>
          </cell>
          <cell r="H23">
            <v>3.37854985502235E-5</v>
          </cell>
          <cell r="J23">
            <v>3.81970459921255E-5</v>
          </cell>
          <cell r="L23">
            <v>2.4166092151951601E-4</v>
          </cell>
          <cell r="M23">
            <v>3.5499045238007703E-5</v>
          </cell>
          <cell r="N23">
            <v>2.9855112549191E-5</v>
          </cell>
          <cell r="O23">
            <v>5.2453234705028498E-5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4.886081681131178E-3</v>
          </cell>
          <cell r="E24">
            <v>7.4779983779991437E-3</v>
          </cell>
          <cell r="F24">
            <v>7.2303082289309874E-3</v>
          </cell>
          <cell r="G24">
            <v>5.9342906797343149E-3</v>
          </cell>
          <cell r="H24">
            <v>1.0101055836871451E-3</v>
          </cell>
          <cell r="I24">
            <v>5.9959021165908435E-5</v>
          </cell>
          <cell r="J24">
            <v>5.7550886570087299E-5</v>
          </cell>
          <cell r="K24">
            <v>3.1963701528251701E-5</v>
          </cell>
          <cell r="L24">
            <v>2.6216023681224098E-4</v>
          </cell>
          <cell r="M24">
            <v>2.7715996675752399E-4</v>
          </cell>
          <cell r="N24">
            <v>2.3039831293694945E-4</v>
          </cell>
          <cell r="O24">
            <v>1.17807392492227E-4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10.903186229518841</v>
          </cell>
          <cell r="E25">
            <v>12.257489842572094</v>
          </cell>
          <cell r="F25">
            <v>15.446477745421817</v>
          </cell>
          <cell r="G25">
            <v>33.53082519243776</v>
          </cell>
          <cell r="H25">
            <v>53.577838967175701</v>
          </cell>
          <cell r="I25">
            <v>64.150535071748976</v>
          </cell>
          <cell r="J25">
            <v>70.68296758780059</v>
          </cell>
          <cell r="K25">
            <v>75.160840595588127</v>
          </cell>
          <cell r="L25">
            <v>76.03479180266271</v>
          </cell>
          <cell r="M25">
            <v>75.291140035583823</v>
          </cell>
          <cell r="N25">
            <v>75.505773815536969</v>
          </cell>
          <cell r="O25">
            <v>77.291475570948819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0.16817697679229501</v>
          </cell>
          <cell r="I26">
            <v>0.61641891613867705</v>
          </cell>
          <cell r="J26">
            <v>0.79469688793204196</v>
          </cell>
          <cell r="K26">
            <v>0.83071870682683302</v>
          </cell>
          <cell r="L26">
            <v>0.85722243562887601</v>
          </cell>
          <cell r="M26">
            <v>0.88152062190948499</v>
          </cell>
          <cell r="N26">
            <v>0.88187435668651004</v>
          </cell>
          <cell r="O26">
            <v>0.86682582252621698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1.1752987112564359E-3</v>
          </cell>
          <cell r="E27">
            <v>4.4430497335665696E-4</v>
          </cell>
          <cell r="F27">
            <v>5.1719193224711497E-4</v>
          </cell>
          <cell r="G27">
            <v>4.5930019837093931E-2</v>
          </cell>
          <cell r="H27">
            <v>4.7235780591428735</v>
          </cell>
          <cell r="I27">
            <v>0.36823357662488848</v>
          </cell>
          <cell r="J27">
            <v>6.0239130557445151</v>
          </cell>
          <cell r="K27">
            <v>0.4721144374520847</v>
          </cell>
          <cell r="L27">
            <v>6.8227665720194839</v>
          </cell>
          <cell r="M27">
            <v>1.9085712410200655</v>
          </cell>
          <cell r="N27">
            <v>0.84375362582553093</v>
          </cell>
          <cell r="O27">
            <v>1.0288797531747238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1.457274677287083</v>
          </cell>
          <cell r="E28">
            <v>7.5442460544345627E-2</v>
          </cell>
          <cell r="F28">
            <v>0.19678663064363611</v>
          </cell>
          <cell r="G28">
            <v>6.9742780428269411</v>
          </cell>
          <cell r="H28">
            <v>18.64026305260704</v>
          </cell>
          <cell r="I28">
            <v>29.63677783246429</v>
          </cell>
          <cell r="J28">
            <v>29.307641627317082</v>
          </cell>
          <cell r="K28">
            <v>34.258724958106967</v>
          </cell>
          <cell r="L28">
            <v>30.26212778220804</v>
          </cell>
          <cell r="M28">
            <v>32.961408382280439</v>
          </cell>
          <cell r="N28">
            <v>33.569871338376743</v>
          </cell>
          <cell r="O28">
            <v>35.500995724511078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1.0676875526322089</v>
          </cell>
          <cell r="E29">
            <v>6.0132760274424484E-2</v>
          </cell>
          <cell r="F29">
            <v>0.13250369033053799</v>
          </cell>
          <cell r="G29">
            <v>2.2499164846300101</v>
          </cell>
          <cell r="H29">
            <v>6.0583473770974763</v>
          </cell>
          <cell r="I29">
            <v>10.139401043560044</v>
          </cell>
          <cell r="J29">
            <v>10.712612131813135</v>
          </cell>
          <cell r="K29">
            <v>15.232108086304963</v>
          </cell>
          <cell r="L29">
            <v>13.771839759916748</v>
          </cell>
          <cell r="M29">
            <v>15.386284430692017</v>
          </cell>
          <cell r="N29">
            <v>16.224194745967893</v>
          </cell>
          <cell r="O29">
            <v>16.351141200813515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8.3770487008882899</v>
          </cell>
          <cell r="E30">
            <v>12.121473243980555</v>
          </cell>
          <cell r="F30">
            <v>15.116671869904312</v>
          </cell>
          <cell r="G30">
            <v>24.260701264665503</v>
          </cell>
          <cell r="H30">
            <v>24.323827923736367</v>
          </cell>
          <cell r="I30">
            <v>24.622540943327394</v>
          </cell>
          <cell r="J30">
            <v>25.433497673143069</v>
          </cell>
          <cell r="K30">
            <v>26.028613109617815</v>
          </cell>
          <cell r="L30">
            <v>26.035279821229199</v>
          </cell>
          <cell r="M30">
            <v>25.916396369527359</v>
          </cell>
          <cell r="N30">
            <v>25.749828968837082</v>
          </cell>
          <cell r="O30">
            <v>25.277286050957883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4.7031112259458517E-2</v>
          </cell>
          <cell r="E31">
            <v>0.15555245721830602</v>
          </cell>
          <cell r="F31">
            <v>1.2048456564798429</v>
          </cell>
          <cell r="G31">
            <v>3.583618333235719</v>
          </cell>
          <cell r="H31">
            <v>9.570678401390623</v>
          </cell>
          <cell r="I31">
            <v>7.3789774098654455</v>
          </cell>
          <cell r="J31">
            <v>7.4261223712582636</v>
          </cell>
          <cell r="K31">
            <v>2.723224754551441</v>
          </cell>
          <cell r="L31">
            <v>1.6479095833751249</v>
          </cell>
          <cell r="M31">
            <v>4.2114816095726775E-3</v>
          </cell>
          <cell r="N31">
            <v>3.819499961036327E-3</v>
          </cell>
          <cell r="O31">
            <v>2.1119416035389805E-3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4.7031112259458517E-2</v>
          </cell>
          <cell r="E32">
            <v>0.15555245721830602</v>
          </cell>
          <cell r="F32">
            <v>1.2048456564798429</v>
          </cell>
          <cell r="G32">
            <v>3.583618333235719</v>
          </cell>
          <cell r="H32">
            <v>9.570678401390623</v>
          </cell>
          <cell r="I32">
            <v>7.3789774098654455</v>
          </cell>
          <cell r="J32">
            <v>7.4261223712582636</v>
          </cell>
          <cell r="K32">
            <v>2.723224754551441</v>
          </cell>
          <cell r="L32">
            <v>1.6479095833751249</v>
          </cell>
          <cell r="M32">
            <v>4.2114816095726775E-3</v>
          </cell>
          <cell r="N32">
            <v>3.819499961036327E-3</v>
          </cell>
          <cell r="O32">
            <v>2.1119416035389805E-3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9.5369721854708306E-5</v>
          </cell>
          <cell r="F33">
            <v>7.3686126157095105E-2</v>
          </cell>
          <cell r="G33">
            <v>0.18402797161423101</v>
          </cell>
          <cell r="H33">
            <v>0.47841823909469</v>
          </cell>
          <cell r="J33">
            <v>0.223755609987207</v>
          </cell>
          <cell r="L33">
            <v>3.26483046228198E-4</v>
          </cell>
          <cell r="M33">
            <v>7.8445666404619501E-5</v>
          </cell>
          <cell r="N33">
            <v>6.5591132926545004E-5</v>
          </cell>
          <cell r="O33">
            <v>5.9758842949059302E-5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4.0688117856800482E-3</v>
          </cell>
          <cell r="E34">
            <v>1.069729469813345E-2</v>
          </cell>
          <cell r="F34">
            <v>8.28479021881873E-2</v>
          </cell>
          <cell r="G34">
            <v>0.24640396138914555</v>
          </cell>
          <cell r="H34">
            <v>0.65805841342709814</v>
          </cell>
          <cell r="I34">
            <v>0.50736196971357028</v>
          </cell>
          <cell r="J34">
            <v>0.51066068566382805</v>
          </cell>
          <cell r="K34">
            <v>0.18724111635170401</v>
          </cell>
          <cell r="L34">
            <v>0.12041003083129199</v>
          </cell>
          <cell r="M34">
            <v>4.0492871263281797E-4</v>
          </cell>
          <cell r="N34">
            <v>3.670124960401792E-4</v>
          </cell>
          <cell r="O34">
            <v>2.0379564228022401E-4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1.2289407226299972E-5</v>
          </cell>
          <cell r="E35">
            <v>1.7526522181857265E-4</v>
          </cell>
          <cell r="F35">
            <v>2.4838394441071844E-4</v>
          </cell>
          <cell r="G35">
            <v>3.691224032615653E-4</v>
          </cell>
          <cell r="H35">
            <v>3.7587690942387841E-4</v>
          </cell>
          <cell r="I35">
            <v>2.1054502899231766E-4</v>
          </cell>
          <cell r="J35">
            <v>7.7060408796293645E-4</v>
          </cell>
          <cell r="K35">
            <v>6.0008420551571856E-4</v>
          </cell>
          <cell r="L35">
            <v>2.4948904139210737E-3</v>
          </cell>
          <cell r="M35">
            <v>1.3483313489443501E-4</v>
          </cell>
          <cell r="N35">
            <v>8.4022014061287931E-5</v>
          </cell>
          <cell r="O35">
            <v>8.1627684859279093E-5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1.2289407226299972E-5</v>
          </cell>
          <cell r="E36">
            <v>1.7526522181857265E-4</v>
          </cell>
          <cell r="F36">
            <v>2.4838394441071844E-4</v>
          </cell>
          <cell r="G36">
            <v>3.691224032615653E-4</v>
          </cell>
          <cell r="H36">
            <v>3.7587690942387841E-4</v>
          </cell>
          <cell r="I36">
            <v>2.1054502899231766E-4</v>
          </cell>
          <cell r="J36">
            <v>7.7060408796293645E-4</v>
          </cell>
          <cell r="K36">
            <v>6.0008420551571856E-4</v>
          </cell>
          <cell r="L36">
            <v>2.4948904139210737E-3</v>
          </cell>
          <cell r="M36">
            <v>1.3483313489443501E-4</v>
          </cell>
          <cell r="N36">
            <v>8.4022014061287931E-5</v>
          </cell>
          <cell r="O36">
            <v>8.1627684859279093E-5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1.8079829899994701E-5</v>
          </cell>
          <cell r="F37">
            <v>1.8103854633362299E-5</v>
          </cell>
          <cell r="G37">
            <v>2.5750461205710801E-5</v>
          </cell>
          <cell r="H37">
            <v>1.98725237980364E-5</v>
          </cell>
          <cell r="J37">
            <v>1.0829450013224199E-4</v>
          </cell>
          <cell r="L37">
            <v>3.20012761007917E-4</v>
          </cell>
          <cell r="M37">
            <v>3.5321045813524199E-6</v>
          </cell>
          <cell r="N37">
            <v>3.1418067872327501E-6</v>
          </cell>
          <cell r="O37">
            <v>4.4342624933174801E-6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1.9359130395964699E-5</v>
          </cell>
          <cell r="F38">
            <v>3.6200877361179197E-5</v>
          </cell>
          <cell r="G38">
            <v>5.4939711392962398E-5</v>
          </cell>
          <cell r="H38">
            <v>5.5179497376435619E-5</v>
          </cell>
          <cell r="I38">
            <v>3.0785626356513487E-5</v>
          </cell>
          <cell r="J38">
            <v>1.1617671346861778E-4</v>
          </cell>
          <cell r="K38">
            <v>9.0622009882434701E-5</v>
          </cell>
          <cell r="L38">
            <v>3.7812606916485148E-4</v>
          </cell>
          <cell r="M38">
            <v>1.9149547491989992E-5</v>
          </cell>
          <cell r="N38">
            <v>1.1493091067527983E-5</v>
          </cell>
          <cell r="O38">
            <v>1.1083511400278768E-5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9.0845524012604831E-2</v>
          </cell>
          <cell r="E39">
            <v>0.1585899080288358</v>
          </cell>
          <cell r="F39">
            <v>0.1522564551371178</v>
          </cell>
          <cell r="G39">
            <v>0.12365582591266086</v>
          </cell>
          <cell r="H39">
            <v>2.4503075888157817E-2</v>
          </cell>
          <cell r="I39">
            <v>1.47390705825404E-3</v>
          </cell>
          <cell r="J39">
            <v>9.3606316013476179E-4</v>
          </cell>
          <cell r="K39">
            <v>5.3252289194278038E-4</v>
          </cell>
          <cell r="L39">
            <v>0.95826875101533382</v>
          </cell>
          <cell r="M39">
            <v>2.4821721835859032</v>
          </cell>
          <cell r="N39">
            <v>2.3860010577828872</v>
          </cell>
          <cell r="O39">
            <v>2.0321754467104776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9.0845524012604831E-2</v>
          </cell>
          <cell r="E40">
            <v>0.1585899080288358</v>
          </cell>
          <cell r="F40">
            <v>0.1522564551371178</v>
          </cell>
          <cell r="G40">
            <v>0.12365582591266086</v>
          </cell>
          <cell r="H40">
            <v>2.4503075888157817E-2</v>
          </cell>
          <cell r="I40">
            <v>1.47390705825404E-3</v>
          </cell>
          <cell r="J40">
            <v>9.3606316013476179E-4</v>
          </cell>
          <cell r="K40">
            <v>5.3252289194278038E-4</v>
          </cell>
          <cell r="L40">
            <v>0.95826875101533382</v>
          </cell>
          <cell r="M40">
            <v>2.4821721835859032</v>
          </cell>
          <cell r="N40">
            <v>2.3860010577828872</v>
          </cell>
          <cell r="O40">
            <v>2.0321754467104776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3.1847363497536103E-5</v>
          </cell>
          <cell r="F41">
            <v>4.7001170596477997E-5</v>
          </cell>
          <cell r="G41">
            <v>1.5036346732276199E-4</v>
          </cell>
          <cell r="H41">
            <v>5.7859143553880198E-5</v>
          </cell>
          <cell r="J41">
            <v>5.0812500887052098E-5</v>
          </cell>
          <cell r="L41">
            <v>0.107400276134041</v>
          </cell>
          <cell r="M41">
            <v>0.17179738346783599</v>
          </cell>
          <cell r="N41">
            <v>2.32302460452243E-2</v>
          </cell>
          <cell r="O41">
            <v>3.3559326902669502E-2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7.2628038105919503E-3</v>
          </cell>
          <cell r="E42">
            <v>1.2490021942006555E-2</v>
          </cell>
          <cell r="F42">
            <v>1.2018235365621591E-2</v>
          </cell>
          <cell r="G42">
            <v>9.7478264333495449E-3</v>
          </cell>
          <cell r="H42">
            <v>1.9727360076494107E-3</v>
          </cell>
          <cell r="I42">
            <v>1.2330910779837604E-4</v>
          </cell>
          <cell r="J42">
            <v>8.4548252545321194E-5</v>
          </cell>
          <cell r="K42">
            <v>4.2520450733090303E-5</v>
          </cell>
          <cell r="L42">
            <v>0.107427545820726</v>
          </cell>
          <cell r="M42">
            <v>0.27919765960187798</v>
          </cell>
          <cell r="N42">
            <v>0.26838054776586001</v>
          </cell>
          <cell r="O42">
            <v>0.22858695641573001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2.7085359332273112E-6</v>
          </cell>
          <cell r="E43">
            <v>1.6755544067883452E-4</v>
          </cell>
          <cell r="F43">
            <v>5.7791299472358289E-4</v>
          </cell>
          <cell r="G43">
            <v>1.6361412201695528E-3</v>
          </cell>
          <cell r="H43">
            <v>1.5335069647532417E-3</v>
          </cell>
          <cell r="I43">
            <v>8.781055418064387E-4</v>
          </cell>
          <cell r="J43">
            <v>3.8098270591151269E-3</v>
          </cell>
          <cell r="K43">
            <v>3.1207312034980134E-3</v>
          </cell>
          <cell r="L43">
            <v>2.1818520164781957E-3</v>
          </cell>
          <cell r="M43">
            <v>2.2439017611419596E-4</v>
          </cell>
          <cell r="N43">
            <v>1.9951947981589546E-4</v>
          </cell>
          <cell r="O43">
            <v>1.2863200867266526E-4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2.7085359332273112E-6</v>
          </cell>
          <cell r="E44">
            <v>1.6755544067883452E-4</v>
          </cell>
          <cell r="F44">
            <v>5.7791299472358289E-4</v>
          </cell>
          <cell r="G44">
            <v>1.6361412201695528E-3</v>
          </cell>
          <cell r="H44">
            <v>1.5335069647532417E-3</v>
          </cell>
          <cell r="I44">
            <v>8.781055418064387E-4</v>
          </cell>
          <cell r="J44">
            <v>3.8098270591151269E-3</v>
          </cell>
          <cell r="K44">
            <v>3.1207312034980134E-3</v>
          </cell>
          <cell r="L44">
            <v>2.1818520164781957E-3</v>
          </cell>
          <cell r="M44">
            <v>2.2439017611419596E-4</v>
          </cell>
          <cell r="N44">
            <v>1.9951947981589546E-4</v>
          </cell>
          <cell r="O44">
            <v>1.2863200867266526E-4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1.2782308785193099E-5</v>
          </cell>
          <cell r="F45">
            <v>3.4772446835077997E-5</v>
          </cell>
          <cell r="G45">
            <v>1.17553081911916E-4</v>
          </cell>
          <cell r="H45">
            <v>3.44805623139964E-5</v>
          </cell>
          <cell r="J45">
            <v>3.92007060272488E-4</v>
          </cell>
          <cell r="L45">
            <v>1.7321051228548099E-5</v>
          </cell>
          <cell r="M45">
            <v>3.6317475386766198E-6</v>
          </cell>
          <cell r="N45">
            <v>3.10196005686323E-6</v>
          </cell>
          <cell r="O45">
            <v>4.7634125350337003E-6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1.2862449560782664E-5</v>
          </cell>
          <cell r="F46">
            <v>4.6432669881439414E-5</v>
          </cell>
          <cell r="G46">
            <v>1.5134544802373828E-4</v>
          </cell>
          <cell r="H46">
            <v>1.4941182061456166E-4</v>
          </cell>
          <cell r="I46">
            <v>8.6845456784819604E-5</v>
          </cell>
          <cell r="J46">
            <v>3.9745288659287042E-4</v>
          </cell>
          <cell r="K46">
            <v>3.2803575109186E-4</v>
          </cell>
          <cell r="L46">
            <v>2.2770057448164301E-4</v>
          </cell>
          <cell r="M46">
            <v>2.09527987672248E-5</v>
          </cell>
          <cell r="N46">
            <v>1.8513451728730774E-5</v>
          </cell>
          <cell r="O46">
            <v>1.14971201305736E-5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  <cell r="H47">
            <v>0.23259804492562927</v>
          </cell>
          <cell r="I47">
            <v>0.24502301923418443</v>
          </cell>
          <cell r="J47">
            <v>0.25421039867029321</v>
          </cell>
          <cell r="K47">
            <v>0.26339849548325478</v>
          </cell>
          <cell r="L47">
            <v>0.27583469258610854</v>
          </cell>
          <cell r="M47">
            <v>0.2882403187837384</v>
          </cell>
          <cell r="N47">
            <v>0.30061650461348294</v>
          </cell>
          <cell r="O47">
            <v>0.3129596089750703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  <cell r="H48">
            <v>9.2102053769306007</v>
          </cell>
          <cell r="I48">
            <v>9.7092182487523591</v>
          </cell>
          <cell r="J48">
            <v>10.08056878555843</v>
          </cell>
          <cell r="K48">
            <v>10.45248595324836</v>
          </cell>
          <cell r="L48">
            <v>10.945993614675658</v>
          </cell>
          <cell r="M48">
            <v>11.438288125827173</v>
          </cell>
          <cell r="N48">
            <v>11.929414350002673</v>
          </cell>
          <cell r="O48">
            <v>12.419227796819305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4.4019845973002899E-5</v>
          </cell>
          <cell r="E49">
            <v>5.4053283272076801E-5</v>
          </cell>
          <cell r="F49">
            <v>8.1080591423795398E-5</v>
          </cell>
          <cell r="G49">
            <v>1.3513438650888501E-4</v>
          </cell>
          <cell r="H49">
            <v>1.33442004595975E-4</v>
          </cell>
          <cell r="I49">
            <v>1.3342570733254299E-4</v>
          </cell>
          <cell r="J49">
            <v>9.8650152804413395E-5</v>
          </cell>
          <cell r="K49">
            <v>1.49482634751174E-3</v>
          </cell>
          <cell r="L49">
            <v>9.7797527493454807E-4</v>
          </cell>
          <cell r="M49">
            <v>2.5670712949355402E-4</v>
          </cell>
          <cell r="N49">
            <v>2.6358034717952999E-4</v>
          </cell>
          <cell r="O49">
            <v>2.68735273469789E-4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2.0938223438381827E-3</v>
          </cell>
          <cell r="E50">
            <v>2.1478756271102596E-3</v>
          </cell>
          <cell r="F50">
            <v>2.2289562185340548E-3</v>
          </cell>
          <cell r="G50">
            <v>2.3640906050429399E-3</v>
          </cell>
          <cell r="H50">
            <v>2.4975326096389138E-3</v>
          </cell>
          <cell r="I50">
            <v>2.630958316971457E-3</v>
          </cell>
          <cell r="J50">
            <v>2.7296084697758711E-3</v>
          </cell>
          <cell r="K50">
            <v>2.8282816704899372E-3</v>
          </cell>
          <cell r="L50">
            <v>2.9618097438995098E-3</v>
          </cell>
          <cell r="M50">
            <v>3.09502661667277E-3</v>
          </cell>
          <cell r="N50">
            <v>3.2279126733063702E-3</v>
          </cell>
          <cell r="O50">
            <v>3.3604745253935798E-3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5.1916436416787788E-5</v>
          </cell>
          <cell r="E51">
            <v>0.47539516234263507</v>
          </cell>
          <cell r="F51">
            <v>0.98554560940698754</v>
          </cell>
          <cell r="G51">
            <v>5.5194206636871632</v>
          </cell>
          <cell r="H51">
            <v>7.6874365418466448</v>
          </cell>
          <cell r="I51">
            <v>5.3287918940871082</v>
          </cell>
          <cell r="J51">
            <v>5.1723473272079215</v>
          </cell>
          <cell r="K51">
            <v>1.8918214523782442</v>
          </cell>
          <cell r="L51">
            <v>1.2811706247418042</v>
          </cell>
          <cell r="M51">
            <v>3.3100035954655618E-4</v>
          </cell>
          <cell r="N51">
            <v>2.8627382319072406E-4</v>
          </cell>
          <cell r="O51">
            <v>1.581755477100601E-4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5.1916436416787788E-5</v>
          </cell>
          <cell r="E52">
            <v>0.47539516234263507</v>
          </cell>
          <cell r="F52">
            <v>0.98554560940698754</v>
          </cell>
          <cell r="G52">
            <v>5.5194206636871632</v>
          </cell>
          <cell r="H52">
            <v>7.6874365418466448</v>
          </cell>
          <cell r="I52">
            <v>5.3287918940871082</v>
          </cell>
          <cell r="J52">
            <v>5.1723473272079215</v>
          </cell>
          <cell r="K52">
            <v>1.8918214523782442</v>
          </cell>
          <cell r="L52">
            <v>1.2811706247418042</v>
          </cell>
          <cell r="M52">
            <v>3.3100035954655618E-4</v>
          </cell>
          <cell r="N52">
            <v>2.8627382319072406E-4</v>
          </cell>
          <cell r="O52">
            <v>1.581755477100601E-4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3.3124176158744099E-2</v>
          </cell>
          <cell r="F53">
            <v>3.74472809439058E-2</v>
          </cell>
          <cell r="G53">
            <v>0.33990616349473601</v>
          </cell>
          <cell r="H53">
            <v>0.23929731082458799</v>
          </cell>
          <cell r="J53">
            <v>0.22205648252133001</v>
          </cell>
          <cell r="L53">
            <v>2.1197202560059299E-5</v>
          </cell>
          <cell r="M53">
            <v>4.0914393972669102E-6</v>
          </cell>
          <cell r="N53">
            <v>3.5315550139443498E-6</v>
          </cell>
          <cell r="O53">
            <v>5.1746730714870702E-6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3.2687214397511676E-2</v>
          </cell>
          <cell r="F54">
            <v>6.7765107001444974E-2</v>
          </cell>
          <cell r="G54">
            <v>0.37950128080003614</v>
          </cell>
          <cell r="H54">
            <v>0.52857070014630703</v>
          </cell>
          <cell r="I54">
            <v>0.36639994974082285</v>
          </cell>
          <cell r="J54">
            <v>0.36110067713237998</v>
          </cell>
          <cell r="K54">
            <v>0.18581926809702701</v>
          </cell>
          <cell r="L54">
            <v>0.119192869507706</v>
          </cell>
          <cell r="M54">
            <v>2.5288641957326201E-5</v>
          </cell>
          <cell r="N54">
            <v>2.2087962241091827E-5</v>
          </cell>
          <cell r="O54">
            <v>1.2797667482698301E-5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3.1185549048336602E-3</v>
          </cell>
          <cell r="E55">
            <v>9.2798104960641406E-3</v>
          </cell>
          <cell r="F55">
            <v>9.4308576761812941E-3</v>
          </cell>
          <cell r="G55">
            <v>3.2207818991038306E-2</v>
          </cell>
          <cell r="H55">
            <v>2.2570706636028445E-2</v>
          </cell>
          <cell r="I55">
            <v>1.1838607282353827E-2</v>
          </cell>
          <cell r="J55">
            <v>7.1847727745166972E-3</v>
          </cell>
          <cell r="K55">
            <v>5.8084224919181049E-3</v>
          </cell>
          <cell r="L55">
            <v>0.53530142483131016</v>
          </cell>
          <cell r="M55">
            <v>1.7373069502654042</v>
          </cell>
          <cell r="N55">
            <v>1.6699217901938799</v>
          </cell>
          <cell r="O55">
            <v>1.4215156317949402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3.1185549048336602E-3</v>
          </cell>
          <cell r="E56">
            <v>9.2798104960641406E-3</v>
          </cell>
          <cell r="F56">
            <v>9.4308576761812941E-3</v>
          </cell>
          <cell r="G56">
            <v>3.2207818991038306E-2</v>
          </cell>
          <cell r="H56">
            <v>2.2570706636028445E-2</v>
          </cell>
          <cell r="I56">
            <v>1.1838607282353827E-2</v>
          </cell>
          <cell r="J56">
            <v>7.1847727745166972E-3</v>
          </cell>
          <cell r="K56">
            <v>5.8084224919181049E-3</v>
          </cell>
          <cell r="L56">
            <v>0.53530142483131016</v>
          </cell>
          <cell r="M56">
            <v>1.7373069502654042</v>
          </cell>
          <cell r="N56">
            <v>1.6699217901938799</v>
          </cell>
          <cell r="O56">
            <v>1.4215156317949402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5.30714853732804E-5</v>
          </cell>
          <cell r="F57">
            <v>5.2030349548473799E-5</v>
          </cell>
          <cell r="G57">
            <v>2.0663167759301299E-3</v>
          </cell>
          <cell r="H57">
            <v>5.6262722992323803E-5</v>
          </cell>
          <cell r="J57">
            <v>7.78012536947484E-4</v>
          </cell>
          <cell r="L57">
            <v>5.9533152578059197E-2</v>
          </cell>
          <cell r="M57">
            <v>0.113282211301219</v>
          </cell>
          <cell r="N57">
            <v>1.22804566013924E-2</v>
          </cell>
          <cell r="O57">
            <v>3.4326852124607697E-2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2.5910369584388002E-4</v>
          </cell>
          <cell r="E58">
            <v>7.3243203431821752E-4</v>
          </cell>
          <cell r="F58">
            <v>7.5334777762070602E-4</v>
          </cell>
          <cell r="G58">
            <v>2.5479235546504242E-3</v>
          </cell>
          <cell r="H58">
            <v>1.813741730999388E-3</v>
          </cell>
          <cell r="I58">
            <v>9.9256411639192348E-4</v>
          </cell>
          <cell r="J58">
            <v>7.8130468609822199E-4</v>
          </cell>
          <cell r="K58">
            <v>6.5104931206863396E-4</v>
          </cell>
          <cell r="L58">
            <v>5.9950690737943797E-2</v>
          </cell>
          <cell r="M58">
            <v>0.17281535328786291</v>
          </cell>
          <cell r="N58">
            <v>0.16622246108142069</v>
          </cell>
          <cell r="O58">
            <v>0.15988898485800737</v>
          </cell>
        </row>
        <row r="59">
          <cell r="A59" t="str">
            <v>T-Plg-GSL-mix_S1</v>
          </cell>
          <cell r="B59" t="str">
            <v>VAR_fout</v>
          </cell>
          <cell r="C59" t="str">
            <v>T-PEVmix-ELC_GSL_S1</v>
          </cell>
          <cell r="D59">
            <v>2.1162330469278018E-4</v>
          </cell>
          <cell r="E59">
            <v>3.2627938858055723E-4</v>
          </cell>
          <cell r="F59">
            <v>3.3578793871454489E-4</v>
          </cell>
          <cell r="G59">
            <v>3.2830440274719857E-4</v>
          </cell>
          <cell r="H59">
            <v>2.4824445238380593E-4</v>
          </cell>
          <cell r="I59">
            <v>1.2579206206789448E-4</v>
          </cell>
          <cell r="J59">
            <v>1.1018302550411844E-4</v>
          </cell>
          <cell r="K59">
            <v>4.5172638369950929E-5</v>
          </cell>
          <cell r="L59">
            <v>3.4366300702258528E-4</v>
          </cell>
          <cell r="M59">
            <v>5.6929466697229903E-4</v>
          </cell>
          <cell r="N59">
            <v>7.3021179678172126E-4</v>
          </cell>
          <cell r="O59">
            <v>9.2407467519084647E-4</v>
          </cell>
        </row>
        <row r="60">
          <cell r="A60" t="str">
            <v>T-Plg-GSL-mix_S1</v>
          </cell>
          <cell r="B60" t="str">
            <v>VAR_fout</v>
          </cell>
          <cell r="C60" t="str">
            <v>CO2_T</v>
          </cell>
          <cell r="D60">
            <v>2.1883187058246101E-2</v>
          </cell>
          <cell r="E60">
            <v>3.3739350701114404E-2</v>
          </cell>
          <cell r="F60">
            <v>3.4722594874230614E-2</v>
          </cell>
          <cell r="G60">
            <v>3.3948749963017791E-2</v>
          </cell>
          <cell r="H60">
            <v>2.56700451567612E-2</v>
          </cell>
          <cell r="I60">
            <v>1.2611747594401701E-2</v>
          </cell>
          <cell r="J60">
            <v>1.0452467287545088E-2</v>
          </cell>
          <cell r="K60">
            <v>4.0643038345700398E-3</v>
          </cell>
          <cell r="L60">
            <v>2.9565836621529808E-2</v>
          </cell>
          <cell r="M60">
            <v>4.5433276812960902E-2</v>
          </cell>
          <cell r="N60">
            <v>5.5999169739524499E-2</v>
          </cell>
          <cell r="O60">
            <v>6.8372644987539102E-2</v>
          </cell>
        </row>
        <row r="61">
          <cell r="A61" t="str">
            <v>T-Plg-GSL-mix_S1</v>
          </cell>
          <cell r="B61" t="str">
            <v>VAR_fin</v>
          </cell>
          <cell r="C61" t="str">
            <v>TGSL</v>
          </cell>
          <cell r="D61">
            <v>2.9652014984073372E-4</v>
          </cell>
          <cell r="E61">
            <v>4.5717277372783776E-4</v>
          </cell>
          <cell r="F61">
            <v>4.7049586550448023E-4</v>
          </cell>
          <cell r="G61">
            <v>4.6001016210051249E-4</v>
          </cell>
          <cell r="H61">
            <v>3.4783259020001686E-4</v>
          </cell>
          <cell r="I61">
            <v>1.7089088881303138E-4</v>
          </cell>
          <cell r="J61">
            <v>1.4163234806971675E-4</v>
          </cell>
          <cell r="K61">
            <v>5.5071867677100825E-5</v>
          </cell>
          <cell r="L61">
            <v>4.0062109243265277E-4</v>
          </cell>
          <cell r="M61">
            <v>6.1562705708619113E-4</v>
          </cell>
          <cell r="N61">
            <v>7.5879633793393556E-4</v>
          </cell>
          <cell r="O61">
            <v>9.2645860416719816E-4</v>
          </cell>
        </row>
        <row r="62">
          <cell r="A62" t="str">
            <v>T-Plg-GSL-mix_S2</v>
          </cell>
          <cell r="B62" t="str">
            <v>VAR_fout</v>
          </cell>
          <cell r="C62" t="str">
            <v>CO2_T</v>
          </cell>
          <cell r="D62">
            <v>6.0398757485526602</v>
          </cell>
          <cell r="E62">
            <v>12.36439742183906</v>
          </cell>
          <cell r="F62">
            <v>8.6393845178641904</v>
          </cell>
          <cell r="G62">
            <v>9.7288484595521929</v>
          </cell>
          <cell r="H62">
            <v>0.91468850147227032</v>
          </cell>
          <cell r="I62">
            <v>4.9547129543658523E-2</v>
          </cell>
          <cell r="J62">
            <v>3.9111356790318796E-2</v>
          </cell>
          <cell r="K62">
            <v>2.0003699584106079E-2</v>
          </cell>
          <cell r="L62">
            <v>0.1291613482533748</v>
          </cell>
          <cell r="M62">
            <v>0.11568797029928139</v>
          </cell>
          <cell r="N62">
            <v>9.5538556333112701E-2</v>
          </cell>
          <cell r="O62">
            <v>4.5624493334034601E-2</v>
          </cell>
        </row>
        <row r="63">
          <cell r="A63" t="str">
            <v>T-Plg-GSL-mix_S2</v>
          </cell>
          <cell r="B63" t="str">
            <v>VAR_fout</v>
          </cell>
          <cell r="C63" t="str">
            <v>T-PEVmix-ELC_GSL_S2</v>
          </cell>
          <cell r="D63">
            <v>4.7960225849867699E-2</v>
          </cell>
          <cell r="E63">
            <v>9.8180710586807191E-2</v>
          </cell>
          <cell r="F63">
            <v>6.8601880225749257E-2</v>
          </cell>
          <cell r="G63">
            <v>7.72528755233204E-2</v>
          </cell>
          <cell r="H63">
            <v>7.2631737703212438E-3</v>
          </cell>
          <cell r="I63">
            <v>4.0897508423997356E-4</v>
          </cell>
          <cell r="J63">
            <v>3.4160995063673739E-4</v>
          </cell>
          <cell r="K63">
            <v>1.839574160424104E-4</v>
          </cell>
          <cell r="L63">
            <v>1.2649829004390493E-3</v>
          </cell>
          <cell r="M63">
            <v>1.2063595419820503E-3</v>
          </cell>
          <cell r="N63">
            <v>1.0390565877276788E-3</v>
          </cell>
          <cell r="O63">
            <v>5.1015856709895832E-4</v>
          </cell>
        </row>
        <row r="64">
          <cell r="A64" t="str">
            <v>T-Plg-GSL-mix_S2</v>
          </cell>
          <cell r="B64" t="str">
            <v>VAR_fin</v>
          </cell>
          <cell r="C64" t="str">
            <v>TGSL</v>
          </cell>
          <cell r="D64">
            <v>8.1841134804236576E-2</v>
          </cell>
          <cell r="E64">
            <v>0.16753926045852402</v>
          </cell>
          <cell r="F64">
            <v>0.11706483086536837</v>
          </cell>
          <cell r="G64">
            <v>0.13182721489908109</v>
          </cell>
          <cell r="H64">
            <v>1.2394153136480627E-2</v>
          </cell>
          <cell r="I64">
            <v>6.7137031901976375E-4</v>
          </cell>
          <cell r="J64">
            <v>5.2996418415066245E-4</v>
          </cell>
          <cell r="K64">
            <v>2.7105283989303607E-4</v>
          </cell>
          <cell r="L64">
            <v>1.7501537703709319E-3</v>
          </cell>
          <cell r="M64">
            <v>1.5675876734319977E-3</v>
          </cell>
          <cell r="N64">
            <v>1.2945603839175164E-3</v>
          </cell>
          <cell r="O64">
            <v>6.1821806685683769E-4</v>
          </cell>
        </row>
        <row r="65">
          <cell r="A65" t="str">
            <v>T_B_u-FCLH2O-S3</v>
          </cell>
          <cell r="B65" t="str">
            <v>VAR_cap</v>
          </cell>
          <cell r="C65" t="str">
            <v>-</v>
          </cell>
          <cell r="J65">
            <v>-6.52071276818012E-9</v>
          </cell>
        </row>
        <row r="66">
          <cell r="A66" t="str">
            <v>T-PHEV-STG_S1</v>
          </cell>
          <cell r="B66" t="str">
            <v>VAR_fout</v>
          </cell>
          <cell r="C66" t="str">
            <v>T-ELC-car-PlgSTGAUXout_S1</v>
          </cell>
          <cell r="E66">
            <v>2.9965017427241184E-5</v>
          </cell>
          <cell r="F66">
            <v>4.3456206837920196E-5</v>
          </cell>
          <cell r="G66">
            <v>2.3317984348742441E-4</v>
          </cell>
          <cell r="H66">
            <v>4.1284009264385075E-4</v>
          </cell>
          <cell r="I66">
            <v>3.1897624005303306E-4</v>
          </cell>
          <cell r="J66">
            <v>8.7733470789132316E-4</v>
          </cell>
          <cell r="K66">
            <v>7.8006608343118909E-4</v>
          </cell>
          <cell r="L66">
            <v>3.5651787428552604E-3</v>
          </cell>
          <cell r="M66">
            <v>3.566408613722892E-3</v>
          </cell>
          <cell r="N66">
            <v>3.1690992415445338E-3</v>
          </cell>
          <cell r="O66">
            <v>2.663874036574252E-3</v>
          </cell>
        </row>
        <row r="67">
          <cell r="A67" t="str">
            <v>T-PHEV-STG_S1</v>
          </cell>
          <cell r="B67" t="str">
            <v>VAR_fout</v>
          </cell>
          <cell r="C67" t="str">
            <v>T-ELC-car-PlgSTGOut_S1</v>
          </cell>
          <cell r="E67">
            <v>2.9965017427241181E-5</v>
          </cell>
          <cell r="F67">
            <v>4.345620683792019E-5</v>
          </cell>
          <cell r="G67">
            <v>2.3317984348742441E-4</v>
          </cell>
          <cell r="H67">
            <v>4.1284009264385075E-4</v>
          </cell>
          <cell r="I67">
            <v>3.1897624005303306E-4</v>
          </cell>
          <cell r="J67">
            <v>8.7733470789132283E-4</v>
          </cell>
          <cell r="K67">
            <v>7.8006608343118909E-4</v>
          </cell>
          <cell r="L67">
            <v>3.5651787428552604E-3</v>
          </cell>
          <cell r="M67">
            <v>3.566408613722892E-3</v>
          </cell>
          <cell r="N67">
            <v>3.1690992415445334E-3</v>
          </cell>
          <cell r="O67">
            <v>2.663874036574252E-3</v>
          </cell>
        </row>
        <row r="68">
          <cell r="A68" t="str">
            <v>T-PHEV-STG_S1</v>
          </cell>
          <cell r="B68" t="str">
            <v>VAR_fin</v>
          </cell>
          <cell r="C68" t="str">
            <v>T-ELC-car-PlgSTGAUXin_S1</v>
          </cell>
          <cell r="E68">
            <v>3.0510923728872463E-5</v>
          </cell>
          <cell r="F68">
            <v>4.5156232764006074E-5</v>
          </cell>
          <cell r="G68">
            <v>2.3410320289160325E-4</v>
          </cell>
          <cell r="H68">
            <v>4.1348490553467777E-4</v>
          </cell>
          <cell r="I68">
            <v>3.195959214958842E-4</v>
          </cell>
          <cell r="J68">
            <v>8.7797611849643449E-4</v>
          </cell>
          <cell r="K68">
            <v>7.8069656569004959E-4</v>
          </cell>
          <cell r="L68">
            <v>3.5660810926831082E-3</v>
          </cell>
          <cell r="M68">
            <v>3.5682845982163906E-3</v>
          </cell>
          <cell r="N68">
            <v>3.1702085584448684E-3</v>
          </cell>
          <cell r="O68">
            <v>2.6666385182915805E-3</v>
          </cell>
        </row>
        <row r="69">
          <cell r="A69" t="str">
            <v>T-PHEV-STG_S1</v>
          </cell>
          <cell r="B69" t="str">
            <v>VAR_fin</v>
          </cell>
          <cell r="C69" t="str">
            <v>T-ELC-car-PlgSTGin_S1</v>
          </cell>
          <cell r="E69">
            <v>3.0510923728872463E-5</v>
          </cell>
          <cell r="F69">
            <v>4.5156232764006074E-5</v>
          </cell>
          <cell r="G69">
            <v>2.3410320289160325E-4</v>
          </cell>
          <cell r="H69">
            <v>4.1348490553467777E-4</v>
          </cell>
          <cell r="I69">
            <v>3.195959214958842E-4</v>
          </cell>
          <cell r="J69">
            <v>8.7797611849643449E-4</v>
          </cell>
          <cell r="K69">
            <v>7.8069656569004959E-4</v>
          </cell>
          <cell r="L69">
            <v>3.5660810926831082E-3</v>
          </cell>
          <cell r="M69">
            <v>3.5682845982163906E-3</v>
          </cell>
          <cell r="N69">
            <v>3.1702085584448684E-3</v>
          </cell>
          <cell r="O69">
            <v>2.6666385182915805E-3</v>
          </cell>
        </row>
        <row r="70">
          <cell r="A70" t="str">
            <v>T-PHEV-STG_S1</v>
          </cell>
          <cell r="B70" t="str">
            <v>VAR_ncap</v>
          </cell>
          <cell r="C70" t="str">
            <v>-</v>
          </cell>
          <cell r="E70">
            <v>1.5472796286235299E-3</v>
          </cell>
          <cell r="F70">
            <v>1.57140300934719E-3</v>
          </cell>
          <cell r="G70">
            <v>1.9381680447010401E-3</v>
          </cell>
          <cell r="H70">
            <v>1.8022941040599599E-3</v>
          </cell>
          <cell r="J70">
            <v>5.1745222033472999E-3</v>
          </cell>
          <cell r="L70">
            <v>1.7019871209031E-2</v>
          </cell>
          <cell r="M70">
            <v>3.59808998022782E-3</v>
          </cell>
          <cell r="N70">
            <v>3.10526944255465E-3</v>
          </cell>
          <cell r="O70">
            <v>5.2771871819508598E-3</v>
          </cell>
        </row>
        <row r="71">
          <cell r="A71" t="str">
            <v>T-PHEV-STG_S1</v>
          </cell>
          <cell r="B71" t="str">
            <v>VAR_cap</v>
          </cell>
          <cell r="C71" t="str">
            <v>-</v>
          </cell>
          <cell r="E71">
            <v>1.5472796286235299E-3</v>
          </cell>
          <cell r="F71">
            <v>3.118017957991482E-3</v>
          </cell>
          <cell r="G71">
            <v>5.0546421099408202E-3</v>
          </cell>
          <cell r="H71">
            <v>6.1001641084705007E-3</v>
          </cell>
          <cell r="I71">
            <v>3.6975924371292776E-3</v>
          </cell>
          <cell r="J71">
            <v>6.9738581650544383E-3</v>
          </cell>
          <cell r="K71">
            <v>5.1725538864005258E-3</v>
          </cell>
          <cell r="L71">
            <v>2.1501526250295083E-2</v>
          </cell>
          <cell r="M71">
            <v>2.0611432416635163E-2</v>
          </cell>
          <cell r="N71">
            <v>1.8309236279242733E-2</v>
          </cell>
          <cell r="O71">
            <v>1.1975335421870998E-2</v>
          </cell>
        </row>
        <row r="72">
          <cell r="A72" t="str">
            <v>T-Plg-GSL-mix_S3</v>
          </cell>
          <cell r="B72" t="str">
            <v>VAR_fout</v>
          </cell>
          <cell r="C72" t="str">
            <v>CO2_T</v>
          </cell>
          <cell r="D72">
            <v>6.3623663239237196</v>
          </cell>
          <cell r="E72">
            <v>17.705426145335991</v>
          </cell>
          <cell r="F72">
            <v>131.72086382370054</v>
          </cell>
          <cell r="G72">
            <v>341.86211085779132</v>
          </cell>
          <cell r="H72">
            <v>887.43377673529403</v>
          </cell>
          <cell r="I72">
            <v>562.78890198216891</v>
          </cell>
          <cell r="J72">
            <v>483.34422949508684</v>
          </cell>
          <cell r="K72">
            <v>126.4279290476764</v>
          </cell>
          <cell r="L72">
            <v>83.17108222465292</v>
          </cell>
          <cell r="M72">
            <v>0.17431320864753652</v>
          </cell>
          <cell r="N72">
            <v>0.15527522285786471</v>
          </cell>
          <cell r="O72">
            <v>8.0619113435792297E-2</v>
          </cell>
        </row>
        <row r="73">
          <cell r="A73" t="str">
            <v>T-Plg-GSL-mix_S3</v>
          </cell>
          <cell r="B73" t="str">
            <v>VAR_fout</v>
          </cell>
          <cell r="C73" t="str">
            <v>T-PEVmix-ELC_GSL_S3</v>
          </cell>
          <cell r="D73">
            <v>4.7031210018900718E-2</v>
          </cell>
          <cell r="E73">
            <v>0.13088017462689819</v>
          </cell>
          <cell r="F73">
            <v>0.97369300900973288</v>
          </cell>
          <cell r="G73">
            <v>2.5270768633362737</v>
          </cell>
          <cell r="H73">
            <v>6.5599939089587522</v>
          </cell>
          <cell r="I73">
            <v>4.408450220632318</v>
          </cell>
          <cell r="J73">
            <v>3.9993854718686745</v>
          </cell>
          <cell r="K73">
            <v>1.1094736140614081</v>
          </cell>
          <cell r="L73">
            <v>0.7715458715548249</v>
          </cell>
          <cell r="M73">
            <v>1.6980085546749067E-3</v>
          </cell>
          <cell r="N73">
            <v>1.5841530153914843E-3</v>
          </cell>
          <cell r="O73">
            <v>8.4015958246126622E-4</v>
          </cell>
        </row>
        <row r="74">
          <cell r="A74" t="str">
            <v>T-Plg-GSL-mix_S3</v>
          </cell>
          <cell r="B74" t="str">
            <v>VAR_fin</v>
          </cell>
          <cell r="C74" t="str">
            <v>TGSL</v>
          </cell>
          <cell r="D74">
            <v>8.6210925798424348E-2</v>
          </cell>
          <cell r="E74">
            <v>0.23991092337853637</v>
          </cell>
          <cell r="F74">
            <v>1.7848355531666733</v>
          </cell>
          <cell r="G74">
            <v>4.6322779249023176</v>
          </cell>
          <cell r="H74">
            <v>12.02484792324247</v>
          </cell>
          <cell r="I74">
            <v>7.6258658805171988</v>
          </cell>
          <cell r="J74">
            <v>6.5493798034564472</v>
          </cell>
          <cell r="K74">
            <v>1.713115569751706</v>
          </cell>
          <cell r="L74">
            <v>1.1269794339383858</v>
          </cell>
          <cell r="M74">
            <v>2.3619675968500819E-3</v>
          </cell>
          <cell r="N74">
            <v>2.1040003097271679E-3</v>
          </cell>
          <cell r="O74">
            <v>1.0923999110540952E-3</v>
          </cell>
        </row>
        <row r="75">
          <cell r="A75" t="str">
            <v>T-PHEV-STG_S2</v>
          </cell>
          <cell r="B75" t="str">
            <v>VAR_fout</v>
          </cell>
          <cell r="C75" t="str">
            <v>T-ELC-car-PlgSTGAUXout_S2</v>
          </cell>
          <cell r="D75">
            <v>3.4009128101456578E-4</v>
          </cell>
          <cell r="E75">
            <v>2.6259089839319268E-4</v>
          </cell>
          <cell r="F75">
            <v>5.2061081953385746E-4</v>
          </cell>
          <cell r="G75">
            <v>7.7014992184608116E-4</v>
          </cell>
          <cell r="H75">
            <v>2.0482768762770599E-3</v>
          </cell>
          <cell r="I75">
            <v>1.1214843143747503E-3</v>
          </cell>
          <cell r="J75">
            <v>1.4724575858259057E-3</v>
          </cell>
          <cell r="K75">
            <v>2.1772646941966498E-3</v>
          </cell>
          <cell r="L75">
            <v>2.4936154783888912E-3</v>
          </cell>
          <cell r="M75">
            <v>2.7961685913133593E-3</v>
          </cell>
          <cell r="N75">
            <v>2.7829066054551434E-3</v>
          </cell>
          <cell r="O75">
            <v>3.5503387863402439E-3</v>
          </cell>
        </row>
        <row r="76">
          <cell r="A76" t="str">
            <v>T-PHEV-STG_S2</v>
          </cell>
          <cell r="B76" t="str">
            <v>VAR_fout</v>
          </cell>
          <cell r="C76" t="str">
            <v>T-ELC-car-PlgSTGOut_S2</v>
          </cell>
          <cell r="D76">
            <v>3.4009128101456578E-4</v>
          </cell>
          <cell r="E76">
            <v>2.6259089839319262E-4</v>
          </cell>
          <cell r="F76">
            <v>5.2061081953385735E-4</v>
          </cell>
          <cell r="G76">
            <v>7.7014992184608116E-4</v>
          </cell>
          <cell r="H76">
            <v>2.0482768762770595E-3</v>
          </cell>
          <cell r="I76">
            <v>1.12148431437475E-3</v>
          </cell>
          <cell r="J76">
            <v>1.4724575858259053E-3</v>
          </cell>
          <cell r="K76">
            <v>2.1772646941966493E-3</v>
          </cell>
          <cell r="L76">
            <v>2.4936154783888912E-3</v>
          </cell>
          <cell r="M76">
            <v>2.7961685913133593E-3</v>
          </cell>
          <cell r="N76">
            <v>2.7829066054551434E-3</v>
          </cell>
          <cell r="O76">
            <v>3.5503387863402439E-3</v>
          </cell>
        </row>
        <row r="77">
          <cell r="A77" t="str">
            <v>T-PHEV-STG_S2</v>
          </cell>
          <cell r="B77" t="str">
            <v>VAR_fin</v>
          </cell>
          <cell r="C77" t="str">
            <v>T-ELC-car-PlgSTGAUXin_S2</v>
          </cell>
          <cell r="D77">
            <v>3.4043372854195838E-4</v>
          </cell>
          <cell r="E77">
            <v>2.6335582192613756E-4</v>
          </cell>
          <cell r="F77">
            <v>5.2202737656775863E-4</v>
          </cell>
          <cell r="G77">
            <v>7.7157569116189468E-4</v>
          </cell>
          <cell r="H77">
            <v>2.0499373999129209E-3</v>
          </cell>
          <cell r="I77">
            <v>1.1223994243454189E-3</v>
          </cell>
          <cell r="J77">
            <v>1.4741818827298211E-3</v>
          </cell>
          <cell r="K77">
            <v>2.1782624490918313E-3</v>
          </cell>
          <cell r="L77">
            <v>2.4944001650907431E-3</v>
          </cell>
          <cell r="M77">
            <v>2.7971724658402077E-3</v>
          </cell>
          <cell r="N77">
            <v>2.783360733331948E-3</v>
          </cell>
          <cell r="O77">
            <v>3.5514495736770945E-3</v>
          </cell>
        </row>
        <row r="78">
          <cell r="A78" t="str">
            <v>T-PHEV-STG_S2</v>
          </cell>
          <cell r="B78" t="str">
            <v>VAR_fin</v>
          </cell>
          <cell r="C78" t="str">
            <v>T-ELC-car-PlgSTGin_S2</v>
          </cell>
          <cell r="D78">
            <v>3.4043372854195838E-4</v>
          </cell>
          <cell r="E78">
            <v>2.6335582192613756E-4</v>
          </cell>
          <cell r="F78">
            <v>5.2202737656775863E-4</v>
          </cell>
          <cell r="G78">
            <v>7.7157569116189468E-4</v>
          </cell>
          <cell r="H78">
            <v>2.0499373999129209E-3</v>
          </cell>
          <cell r="I78">
            <v>1.1223994243454189E-3</v>
          </cell>
          <cell r="J78">
            <v>1.4741818827298211E-3</v>
          </cell>
          <cell r="K78">
            <v>2.1782624490918313E-3</v>
          </cell>
          <cell r="L78">
            <v>2.4944001650907431E-3</v>
          </cell>
          <cell r="M78">
            <v>2.7971724658402077E-3</v>
          </cell>
          <cell r="N78">
            <v>2.783360733331948E-3</v>
          </cell>
          <cell r="O78">
            <v>3.5514495736770945E-3</v>
          </cell>
        </row>
        <row r="79">
          <cell r="A79" t="str">
            <v>T-PHEV-STG_S2</v>
          </cell>
          <cell r="B79" t="str">
            <v>VAR_ncap</v>
          </cell>
          <cell r="C79" t="str">
            <v>-</v>
          </cell>
          <cell r="D79">
            <v>6.4982453987872599E-3</v>
          </cell>
          <cell r="E79">
            <v>6.3225859272981301E-3</v>
          </cell>
          <cell r="F79">
            <v>7.7623778764019501E-3</v>
          </cell>
          <cell r="G79">
            <v>6.9799974621576099E-3</v>
          </cell>
          <cell r="H79">
            <v>5.7719213823105697E-3</v>
          </cell>
          <cell r="I79">
            <v>7.1787080480933503E-3</v>
          </cell>
          <cell r="J79">
            <v>6.6827640693591598E-3</v>
          </cell>
          <cell r="K79">
            <v>8.9240858039687492E-3</v>
          </cell>
          <cell r="L79">
            <v>6.89122111378362E-3</v>
          </cell>
          <cell r="M79">
            <v>8.4941622057887398E-3</v>
          </cell>
          <cell r="N79">
            <v>8.4425893304191108E-3</v>
          </cell>
          <cell r="O79">
            <v>1.38934141080137E-2</v>
          </cell>
        </row>
        <row r="80">
          <cell r="A80" t="str">
            <v>T-PHEV-STG_S2</v>
          </cell>
          <cell r="B80" t="str">
            <v>VAR_cap</v>
          </cell>
          <cell r="C80" t="str">
            <v>-</v>
          </cell>
          <cell r="D80">
            <v>6.4982453987872599E-3</v>
          </cell>
          <cell r="E80">
            <v>1.2819519157808065E-2</v>
          </cell>
          <cell r="F80">
            <v>2.0578289229736289E-2</v>
          </cell>
          <cell r="G80">
            <v>2.7551734501134809E-2</v>
          </cell>
          <cell r="H80">
            <v>2.5422047200158233E-2</v>
          </cell>
          <cell r="I80">
            <v>2.0218218181637472E-2</v>
          </cell>
          <cell r="J80">
            <v>1.9622612392305113E-2</v>
          </cell>
          <cell r="K80">
            <v>2.2774993349668725E-2</v>
          </cell>
          <cell r="L80">
            <v>2.2700228282907471E-2</v>
          </cell>
          <cell r="M80">
            <v>2.4296672257587457E-2</v>
          </cell>
          <cell r="N80">
            <v>2.3208871162885277E-2</v>
          </cell>
          <cell r="O80">
            <v>3.0819394954363238E-2</v>
          </cell>
        </row>
        <row r="81">
          <cell r="A81" t="str">
            <v>T-Plg-GSL-mix_S4</v>
          </cell>
          <cell r="B81" t="str">
            <v>VAR_fout</v>
          </cell>
          <cell r="C81" t="str">
            <v>CO2_T</v>
          </cell>
          <cell r="D81">
            <v>12.8991367848667</v>
          </cell>
          <cell r="E81">
            <v>22.487779019355202</v>
          </cell>
          <cell r="F81">
            <v>21.535212675914355</v>
          </cell>
          <cell r="G81">
            <v>16.113409573073689</v>
          </cell>
          <cell r="H81">
            <v>2.45147465083194</v>
          </cell>
          <cell r="I81">
            <v>0.12419880203314961</v>
          </cell>
          <cell r="J81">
            <v>6.7442758018981502E-2</v>
          </cell>
          <cell r="K81">
            <v>2.52650289591165E-2</v>
          </cell>
          <cell r="L81">
            <v>53.071668329241156</v>
          </cell>
          <cell r="M81">
            <v>125.88181560648073</v>
          </cell>
          <cell r="N81">
            <v>115.49168003451327</v>
          </cell>
          <cell r="O81">
            <v>92.812623701928302</v>
          </cell>
        </row>
        <row r="82">
          <cell r="A82" t="str">
            <v>T-Plg-GSL-mix_S4</v>
          </cell>
          <cell r="B82" t="str">
            <v>VAR_fout</v>
          </cell>
          <cell r="C82" t="str">
            <v>T-PEVmix-ELC_GSL_S4</v>
          </cell>
          <cell r="D82">
            <v>9.0845524012604859E-2</v>
          </cell>
          <cell r="E82">
            <v>0.15837602957197297</v>
          </cell>
          <cell r="F82">
            <v>0.1516673334731633</v>
          </cell>
          <cell r="G82">
            <v>0.11348287569234619</v>
          </cell>
          <cell r="H82">
            <v>1.7265147503492066E-2</v>
          </cell>
          <cell r="I82">
            <v>9.1360617865797954E-4</v>
          </cell>
          <cell r="J82">
            <v>5.2183092760040809E-4</v>
          </cell>
          <cell r="K82">
            <v>2.0466232640694836E-4</v>
          </cell>
          <cell r="L82">
            <v>0.46324633013304256</v>
          </cell>
          <cell r="M82">
            <v>1.1619686968974137</v>
          </cell>
          <cell r="N82">
            <v>1.1239671398842799</v>
          </cell>
          <cell r="O82">
            <v>0.90330138803136406</v>
          </cell>
        </row>
        <row r="83">
          <cell r="A83" t="str">
            <v>T-Plg-GSL-mix_S4</v>
          </cell>
          <cell r="B83" t="str">
            <v>VAR_fin</v>
          </cell>
          <cell r="C83" t="str">
            <v>TGSL</v>
          </cell>
          <cell r="D83">
            <v>0.1747850512854571</v>
          </cell>
          <cell r="E83">
            <v>0.30471245283679049</v>
          </cell>
          <cell r="F83">
            <v>0.29180504980913713</v>
          </cell>
          <cell r="G83">
            <v>0.21833888310397945</v>
          </cell>
          <cell r="H83">
            <v>3.3217813696909709E-2</v>
          </cell>
          <cell r="I83">
            <v>1.6829105966551443E-3</v>
          </cell>
          <cell r="J83">
            <v>9.1385850974229712E-4</v>
          </cell>
          <cell r="K83">
            <v>3.423445658416864E-4</v>
          </cell>
          <cell r="L83">
            <v>0.71912829714419024</v>
          </cell>
          <cell r="M83">
            <v>1.7057156586243964</v>
          </cell>
          <cell r="N83">
            <v>1.5649279137467969</v>
          </cell>
          <cell r="O83">
            <v>1.2576236273974029</v>
          </cell>
        </row>
        <row r="84">
          <cell r="A84" t="str">
            <v>T-PHEV-STG_S3</v>
          </cell>
          <cell r="B84" t="str">
            <v>VAR_fout</v>
          </cell>
          <cell r="C84" t="str">
            <v>T-ELC-car-PlgSTGAUXout_S3</v>
          </cell>
          <cell r="E84">
            <v>7.1422208812921509E-2</v>
          </cell>
          <cell r="F84">
            <v>0.29991580857056438</v>
          </cell>
          <cell r="G84">
            <v>1.9999295601732356</v>
          </cell>
          <cell r="H84">
            <v>4.0103998708408106</v>
          </cell>
          <cell r="I84">
            <v>3.4567236820985219</v>
          </cell>
          <cell r="J84">
            <v>3.9040794481432055</v>
          </cell>
          <cell r="K84">
            <v>1.9907163854991492</v>
          </cell>
          <cell r="L84">
            <v>1.2739800460801807</v>
          </cell>
          <cell r="M84">
            <v>4.3938257319739559E-3</v>
          </cell>
          <cell r="N84">
            <v>3.9715782615973305E-3</v>
          </cell>
          <cell r="O84">
            <v>2.2868991795809692E-3</v>
          </cell>
        </row>
        <row r="85">
          <cell r="A85" t="str">
            <v>T-PHEV-STG_S3</v>
          </cell>
          <cell r="B85" t="str">
            <v>VAR_fout</v>
          </cell>
          <cell r="C85" t="str">
            <v>T-ELC-car-PlgSTGOut_S3</v>
          </cell>
          <cell r="E85">
            <v>7.1422208812921509E-2</v>
          </cell>
          <cell r="F85">
            <v>0.29991580857056438</v>
          </cell>
          <cell r="G85">
            <v>1.9999295601732354</v>
          </cell>
          <cell r="H85">
            <v>4.0103998708408097</v>
          </cell>
          <cell r="I85">
            <v>3.4567236820985219</v>
          </cell>
          <cell r="J85">
            <v>3.9040794481432055</v>
          </cell>
          <cell r="K85">
            <v>1.9907163854991492</v>
          </cell>
          <cell r="L85">
            <v>1.2739800460801807</v>
          </cell>
          <cell r="M85">
            <v>4.3938257319739542E-3</v>
          </cell>
          <cell r="N85">
            <v>3.9715782615973305E-3</v>
          </cell>
          <cell r="O85">
            <v>2.2868991795809688E-3</v>
          </cell>
        </row>
        <row r="86">
          <cell r="A86" t="str">
            <v>T-PHEV-STG_S3</v>
          </cell>
          <cell r="B86" t="str">
            <v>VAR_fin</v>
          </cell>
          <cell r="C86" t="str">
            <v>T-ELC-car-PlgSTGAUXin_S3</v>
          </cell>
          <cell r="E86">
            <v>7.1429719958072777E-2</v>
          </cell>
          <cell r="F86">
            <v>0.29994723586616001</v>
          </cell>
          <cell r="G86">
            <v>2.0001304862910656</v>
          </cell>
          <cell r="H86">
            <v>4.0108015164025721</v>
          </cell>
          <cell r="I86">
            <v>3.4570698191745386</v>
          </cell>
          <cell r="J86">
            <v>3.9044704461776485</v>
          </cell>
          <cell r="K86">
            <v>1.9909158129323006</v>
          </cell>
          <cell r="L86">
            <v>1.2741077848222107</v>
          </cell>
          <cell r="M86">
            <v>4.3953194308761151E-3</v>
          </cell>
          <cell r="N86">
            <v>3.9720856680109913E-3</v>
          </cell>
          <cell r="O86">
            <v>2.2887547851819889E-3</v>
          </cell>
        </row>
        <row r="87">
          <cell r="A87" t="str">
            <v>T-PHEV-STG_S3</v>
          </cell>
          <cell r="B87" t="str">
            <v>VAR_fin</v>
          </cell>
          <cell r="C87" t="str">
            <v>T-ELC-car-PlgSTGin_S3</v>
          </cell>
          <cell r="E87">
            <v>7.1429719958072777E-2</v>
          </cell>
          <cell r="F87">
            <v>0.29994723586616001</v>
          </cell>
          <cell r="G87">
            <v>2.0001304862910656</v>
          </cell>
          <cell r="H87">
            <v>4.0108015164025721</v>
          </cell>
          <cell r="I87">
            <v>3.4570698191745386</v>
          </cell>
          <cell r="J87">
            <v>3.9044704461776485</v>
          </cell>
          <cell r="K87">
            <v>1.9909158129323006</v>
          </cell>
          <cell r="L87">
            <v>1.2741077848222107</v>
          </cell>
          <cell r="M87">
            <v>4.3953194308761151E-3</v>
          </cell>
          <cell r="N87">
            <v>3.9720856680109913E-3</v>
          </cell>
          <cell r="O87">
            <v>2.2887547851819889E-3</v>
          </cell>
        </row>
        <row r="88">
          <cell r="A88" t="str">
            <v>T-PHEV-STG_S3</v>
          </cell>
          <cell r="B88" t="str">
            <v>VAR_ncap</v>
          </cell>
          <cell r="C88" t="str">
            <v>-</v>
          </cell>
          <cell r="E88">
            <v>2.9513577644009898</v>
          </cell>
          <cell r="F88">
            <v>9.7413345710605093</v>
          </cell>
          <cell r="G88">
            <v>44.886310182772498</v>
          </cell>
          <cell r="H88">
            <v>60.1165024547591</v>
          </cell>
          <cell r="J88">
            <v>35.669399794983804</v>
          </cell>
          <cell r="L88">
            <v>2.7177385647792499E-2</v>
          </cell>
          <cell r="M88">
            <v>6.44779849150421E-3</v>
          </cell>
          <cell r="N88">
            <v>5.3950296394523096E-3</v>
          </cell>
          <cell r="O88">
            <v>5.0731518115405003E-3</v>
          </cell>
        </row>
        <row r="89">
          <cell r="A89" t="str">
            <v>T-PHEV-STG_S3</v>
          </cell>
          <cell r="B89" t="str">
            <v>VAR_cap</v>
          </cell>
          <cell r="C89" t="str">
            <v>-</v>
          </cell>
          <cell r="E89">
            <v>2.9513577644009898</v>
          </cell>
          <cell r="F89">
            <v>12.691208801081292</v>
          </cell>
          <cell r="G89">
            <v>57.567562610874077</v>
          </cell>
          <cell r="H89">
            <v>104.9914440489528</v>
          </cell>
          <cell r="I89">
            <v>61.207673005271005</v>
          </cell>
          <cell r="J89">
            <v>61.077682472447101</v>
          </cell>
          <cell r="K89">
            <v>29.103294202731544</v>
          </cell>
          <cell r="L89">
            <v>23.235856037863162</v>
          </cell>
          <cell r="M89">
            <v>3.3615125229796788E-2</v>
          </cell>
          <cell r="N89">
            <v>3.0376047686472223E-2</v>
          </cell>
          <cell r="O89">
            <v>1.6908647228416354E-2</v>
          </cell>
        </row>
        <row r="90">
          <cell r="A90" t="str">
            <v>TFLGV-HYBDSL</v>
          </cell>
          <cell r="B90" t="str">
            <v>VAR_fout</v>
          </cell>
          <cell r="C90" t="str">
            <v>CO2_T</v>
          </cell>
          <cell r="E90">
            <v>31.682002955032601</v>
          </cell>
          <cell r="F90">
            <v>144.08836947150769</v>
          </cell>
          <cell r="G90">
            <v>234.55755378317701</v>
          </cell>
          <cell r="H90">
            <v>203.28293883970511</v>
          </cell>
          <cell r="I90">
            <v>2.9119390050697598E-3</v>
          </cell>
        </row>
        <row r="91">
          <cell r="A91" t="str">
            <v>TFLGV-HYBDSL</v>
          </cell>
          <cell r="B91" t="str">
            <v>VAR_fout</v>
          </cell>
          <cell r="C91" t="str">
            <v>TFLGV</v>
          </cell>
          <cell r="E91">
            <v>0.19915470984733871</v>
          </cell>
          <cell r="F91">
            <v>0.90574694583556692</v>
          </cell>
          <cell r="G91">
            <v>1.4744409194233055</v>
          </cell>
          <cell r="H91">
            <v>1.2778470716954733</v>
          </cell>
          <cell r="I91">
            <v>1.830459925374435E-5</v>
          </cell>
        </row>
        <row r="92">
          <cell r="A92" t="str">
            <v>TFLGV-HYBDSL</v>
          </cell>
          <cell r="B92" t="str">
            <v>VAR_fin</v>
          </cell>
          <cell r="C92" t="str">
            <v>TDSL</v>
          </cell>
          <cell r="E92">
            <v>0.4322237783769794</v>
          </cell>
          <cell r="F92">
            <v>1.9657349177558978</v>
          </cell>
          <cell r="G92">
            <v>3.1999666273284708</v>
          </cell>
          <cell r="H92">
            <v>2.7733006662988409</v>
          </cell>
          <cell r="I92">
            <v>3.9726316576667969E-5</v>
          </cell>
        </row>
        <row r="93">
          <cell r="A93" t="str">
            <v>TFLGV-HYBDSL</v>
          </cell>
          <cell r="B93" t="str">
            <v>VAR_ncap</v>
          </cell>
          <cell r="C93" t="str">
            <v>-</v>
          </cell>
          <cell r="E93">
            <v>1.3881897696897299E-2</v>
          </cell>
          <cell r="F93">
            <v>4.9258074689066601E-2</v>
          </cell>
          <cell r="G93">
            <v>6.7047976680900304E-2</v>
          </cell>
        </row>
        <row r="94">
          <cell r="A94" t="str">
            <v>TFLGV-HYBDSL</v>
          </cell>
          <cell r="B94" t="str">
            <v>VAR_cap</v>
          </cell>
          <cell r="C94" t="str">
            <v>-</v>
          </cell>
          <cell r="E94">
            <v>1.3881897696897299E-2</v>
          </cell>
          <cell r="F94">
            <v>6.3139972385963902E-2</v>
          </cell>
          <cell r="G94">
            <v>0.128348661082997</v>
          </cell>
          <cell r="H94">
            <v>9.2285045790706205E-2</v>
          </cell>
          <cell r="I94">
            <v>1.4435201080003485E-6</v>
          </cell>
        </row>
        <row r="95">
          <cell r="A95" t="str">
            <v>TFHGV-FCLH2O</v>
          </cell>
          <cell r="B95" t="str">
            <v>VAR_fout</v>
          </cell>
          <cell r="C95" t="str">
            <v>TFHGV</v>
          </cell>
          <cell r="D95">
            <v>4.4071846157201763E-4</v>
          </cell>
          <cell r="E95">
            <v>1.380062544112591E-4</v>
          </cell>
          <cell r="F95">
            <v>1.3746926826445046E-4</v>
          </cell>
          <cell r="G95">
            <v>4.3644898610543548E-6</v>
          </cell>
          <cell r="H95">
            <v>5.5463040562360105E-6</v>
          </cell>
          <cell r="I95">
            <v>5.0046752313488778E-6</v>
          </cell>
          <cell r="J95">
            <v>4.6874614998753753E-6</v>
          </cell>
          <cell r="K95">
            <v>4.3246616220045394E-6</v>
          </cell>
          <cell r="L95">
            <v>4.0711353863251498E-6</v>
          </cell>
          <cell r="M95">
            <v>3.298795251550714E-6</v>
          </cell>
          <cell r="N95">
            <v>3.9911971700900698E-6</v>
          </cell>
          <cell r="O95">
            <v>5.9418980686928374E-6</v>
          </cell>
        </row>
        <row r="96">
          <cell r="A96" t="str">
            <v>TFHGV-FCLH2O</v>
          </cell>
          <cell r="B96" t="str">
            <v>VAR_fin</v>
          </cell>
          <cell r="C96" t="str">
            <v>TH2O</v>
          </cell>
          <cell r="D96">
            <v>2.526204669792051E-3</v>
          </cell>
          <cell r="E96">
            <v>7.8762177993843693E-4</v>
          </cell>
          <cell r="F96">
            <v>7.8431507475555304E-4</v>
          </cell>
          <cell r="G96">
            <v>2.4284368084118991E-5</v>
          </cell>
          <cell r="H96">
            <v>2.8467016312362458E-5</v>
          </cell>
          <cell r="I96">
            <v>2.5096554862296434E-5</v>
          </cell>
          <cell r="J96">
            <v>2.2452438270123221E-5</v>
          </cell>
          <cell r="K96">
            <v>2.0117708711621521E-5</v>
          </cell>
          <cell r="L96">
            <v>1.8597318079258233E-5</v>
          </cell>
          <cell r="M96">
            <v>1.5069197840362757E-5</v>
          </cell>
          <cell r="N96">
            <v>1.8232153010318053E-5</v>
          </cell>
          <cell r="O96">
            <v>2.7143132785313212E-5</v>
          </cell>
        </row>
        <row r="97">
          <cell r="A97" t="str">
            <v>TFHGV-FCLH2O</v>
          </cell>
          <cell r="B97" t="str">
            <v>VAR_ncap</v>
          </cell>
          <cell r="C97" t="str">
            <v>-</v>
          </cell>
          <cell r="E97">
            <v>5.1844595670990998E-8</v>
          </cell>
          <cell r="F97">
            <v>3.5399589478186697E-8</v>
          </cell>
          <cell r="G97">
            <v>3.5568304555387303E-8</v>
          </cell>
          <cell r="H97">
            <v>1.15370376973253E-7</v>
          </cell>
          <cell r="I97">
            <v>6.7545624951853196E-8</v>
          </cell>
          <cell r="J97">
            <v>8.1978335263929106E-8</v>
          </cell>
          <cell r="K97">
            <v>5.5748373584677701E-8</v>
          </cell>
          <cell r="L97">
            <v>6.4016759127181E-8</v>
          </cell>
          <cell r="M97">
            <v>8.4365182045818606E-8</v>
          </cell>
          <cell r="N97">
            <v>5.8403796693848798E-8</v>
          </cell>
          <cell r="O97">
            <v>9.2893671253129294E-8</v>
          </cell>
        </row>
        <row r="98">
          <cell r="A98" t="str">
            <v>TFHGV-FCLH2O</v>
          </cell>
          <cell r="B98" t="str">
            <v>VAR_cap</v>
          </cell>
          <cell r="C98" t="str">
            <v>-</v>
          </cell>
          <cell r="D98">
            <v>1.0190822432242991E-5</v>
          </cell>
          <cell r="E98">
            <v>2.7050198260026919E-6</v>
          </cell>
          <cell r="F98">
            <v>2.7383115532452791E-6</v>
          </cell>
          <cell r="G98">
            <v>1.2716082095004146E-7</v>
          </cell>
          <cell r="H98">
            <v>1.2459446600096099E-7</v>
          </cell>
          <cell r="I98">
            <v>1.1946549408474049E-7</v>
          </cell>
          <cell r="J98">
            <v>1.17001484536843E-7</v>
          </cell>
          <cell r="K98">
            <v>1.1107250532331E-7</v>
          </cell>
          <cell r="L98">
            <v>1.0480766322736E-7</v>
          </cell>
          <cell r="M98">
            <v>1.0096693725557101E-7</v>
          </cell>
          <cell r="N98">
            <v>1.019678002582507E-7</v>
          </cell>
          <cell r="O98">
            <v>1.3230822306031299E-7</v>
          </cell>
        </row>
        <row r="99">
          <cell r="A99" t="str">
            <v>T-PHEV-STG_S4</v>
          </cell>
          <cell r="B99" t="str">
            <v>VAR_fout</v>
          </cell>
          <cell r="C99" t="str">
            <v>T-ELC-car-PlgSTGAUXout_S4</v>
          </cell>
          <cell r="E99">
            <v>2.0027986231081535E-4</v>
          </cell>
          <cell r="F99">
            <v>5.8611506125792799E-4</v>
          </cell>
          <cell r="G99">
            <v>9.2884515375356285E-3</v>
          </cell>
          <cell r="H99">
            <v>1.037475178059398E-2</v>
          </cell>
          <cell r="I99">
            <v>7.7793925778060751E-3</v>
          </cell>
          <cell r="J99">
            <v>7.5487550575812842E-3</v>
          </cell>
          <cell r="K99">
            <v>6.9371466833597507E-3</v>
          </cell>
          <cell r="L99">
            <v>1.0431381525074324</v>
          </cell>
          <cell r="M99">
            <v>1.8459809478907352</v>
          </cell>
          <cell r="N99">
            <v>1.7994742053100197</v>
          </cell>
          <cell r="O99">
            <v>1.7755726080809853</v>
          </cell>
        </row>
        <row r="100">
          <cell r="A100" t="str">
            <v>T-PHEV-STG_S4</v>
          </cell>
          <cell r="B100" t="str">
            <v>VAR_fout</v>
          </cell>
          <cell r="C100" t="str">
            <v>T-ELC-car-PlgSTGOut_S4</v>
          </cell>
          <cell r="E100">
            <v>2.0027986231081535E-4</v>
          </cell>
          <cell r="F100">
            <v>5.8611506125792788E-4</v>
          </cell>
          <cell r="G100">
            <v>9.2884515375356285E-3</v>
          </cell>
          <cell r="H100">
            <v>1.0374751780593978E-2</v>
          </cell>
          <cell r="I100">
            <v>7.7793925778060742E-3</v>
          </cell>
          <cell r="J100">
            <v>7.5487550575812842E-3</v>
          </cell>
          <cell r="K100">
            <v>6.9371466833597489E-3</v>
          </cell>
          <cell r="L100">
            <v>1.0431381525074321</v>
          </cell>
          <cell r="M100">
            <v>1.8459809478907352</v>
          </cell>
          <cell r="N100">
            <v>1.7994742053100197</v>
          </cell>
          <cell r="O100">
            <v>1.7755726080809853</v>
          </cell>
        </row>
        <row r="101">
          <cell r="A101" t="str">
            <v>T-PHEV-STG_S4</v>
          </cell>
          <cell r="B101" t="str">
            <v>VAR_fin</v>
          </cell>
          <cell r="C101" t="str">
            <v>T-ELC-car-PlgSTGAUXin_S4</v>
          </cell>
          <cell r="E101">
            <v>2.0066197007417369E-4</v>
          </cell>
          <cell r="F101">
            <v>5.8765231427003646E-4</v>
          </cell>
          <cell r="G101">
            <v>9.2902962587951051E-3</v>
          </cell>
          <cell r="H101">
            <v>1.0376356148000166E-2</v>
          </cell>
          <cell r="I101">
            <v>7.7806476760564651E-3</v>
          </cell>
          <cell r="J101">
            <v>7.5500558048827993E-3</v>
          </cell>
          <cell r="K101">
            <v>6.938252423239792E-3</v>
          </cell>
          <cell r="L101">
            <v>1.0432428126205295</v>
          </cell>
          <cell r="M101">
            <v>1.8461666927769327</v>
          </cell>
          <cell r="N101">
            <v>1.7996542835635105</v>
          </cell>
          <cell r="O101">
            <v>1.7757518414795872</v>
          </cell>
        </row>
        <row r="102">
          <cell r="A102" t="str">
            <v>T-PHEV-STG_S4</v>
          </cell>
          <cell r="B102" t="str">
            <v>VAR_fin</v>
          </cell>
          <cell r="C102" t="str">
            <v>T-ELC-car-PlgSTGin_S4</v>
          </cell>
          <cell r="E102">
            <v>2.0066197007417369E-4</v>
          </cell>
          <cell r="F102">
            <v>5.8765231427003646E-4</v>
          </cell>
          <cell r="G102">
            <v>9.2902962587951051E-3</v>
          </cell>
          <cell r="H102">
            <v>1.0376356148000166E-2</v>
          </cell>
          <cell r="I102">
            <v>7.7806476760564651E-3</v>
          </cell>
          <cell r="J102">
            <v>7.5500558048827993E-3</v>
          </cell>
          <cell r="K102">
            <v>6.938252423239792E-3</v>
          </cell>
          <cell r="L102">
            <v>1.0432428126205295</v>
          </cell>
          <cell r="M102">
            <v>1.8461666927769327</v>
          </cell>
          <cell r="N102">
            <v>1.7996542835635105</v>
          </cell>
          <cell r="O102">
            <v>1.7757518414795872</v>
          </cell>
        </row>
        <row r="103">
          <cell r="A103" t="str">
            <v>T-PHEV-STG_S4</v>
          </cell>
          <cell r="B103" t="str">
            <v>VAR_ncap</v>
          </cell>
          <cell r="C103" t="str">
            <v>-</v>
          </cell>
          <cell r="E103">
            <v>7.5896083287686896E-3</v>
          </cell>
          <cell r="F103">
            <v>8.7731256285890503E-3</v>
          </cell>
          <cell r="G103">
            <v>0.19126546863341101</v>
          </cell>
          <cell r="H103">
            <v>9.6538374711424204E-3</v>
          </cell>
          <cell r="J103">
            <v>6.6926299879334503E-2</v>
          </cell>
          <cell r="L103">
            <v>13.179489384899499</v>
          </cell>
          <cell r="M103">
            <v>22.5071964769521</v>
          </cell>
          <cell r="N103">
            <v>2.80358583489752</v>
          </cell>
          <cell r="O103">
            <v>5.3596456510526096</v>
          </cell>
        </row>
        <row r="104">
          <cell r="A104" t="str">
            <v>T-PHEV-STG_S4</v>
          </cell>
          <cell r="B104" t="str">
            <v>VAR_cap</v>
          </cell>
          <cell r="C104" t="str">
            <v>-</v>
          </cell>
          <cell r="E104">
            <v>7.5896083287686896E-3</v>
          </cell>
          <cell r="F104">
            <v>1.6361396592885751E-2</v>
          </cell>
          <cell r="G104">
            <v>0.20762285741744252</v>
          </cell>
          <cell r="H104">
            <v>0.2135611825115328</v>
          </cell>
          <cell r="I104">
            <v>0.16617237293458592</v>
          </cell>
          <cell r="J104">
            <v>7.6560646956300771E-2</v>
          </cell>
          <cell r="K104">
            <v>6.6898626731547617E-2</v>
          </cell>
          <cell r="L104">
            <v>13.237441741721925</v>
          </cell>
          <cell r="M104">
            <v>35.658842586332007</v>
          </cell>
          <cell r="N104">
            <v>34.255315294101344</v>
          </cell>
          <cell r="O104">
            <v>30.670388661777221</v>
          </cell>
        </row>
        <row r="105">
          <cell r="A105" t="str">
            <v>TFLGV-ICEGSLExt</v>
          </cell>
          <cell r="B105" t="str">
            <v>VAR_fout</v>
          </cell>
          <cell r="C105" t="str">
            <v>CO2_T</v>
          </cell>
          <cell r="D105">
            <v>53.197407546358697</v>
          </cell>
          <cell r="E105">
            <v>106.671796010381</v>
          </cell>
          <cell r="F105">
            <v>39.988472790051503</v>
          </cell>
          <cell r="G105">
            <v>19.988373294091598</v>
          </cell>
        </row>
        <row r="106">
          <cell r="A106" t="str">
            <v>TFLGV-ICEGSLExt</v>
          </cell>
          <cell r="B106" t="str">
            <v>VAR_fout</v>
          </cell>
          <cell r="C106" t="str">
            <v>TFLGV</v>
          </cell>
          <cell r="D106">
            <v>0.20009091605359283</v>
          </cell>
          <cell r="E106">
            <v>0.40496305435854452</v>
          </cell>
          <cell r="F106">
            <v>0.15391279631758553</v>
          </cell>
          <cell r="G106">
            <v>7.6933831499030617E-2</v>
          </cell>
        </row>
        <row r="107">
          <cell r="A107" t="str">
            <v>TFLGV-ICEGSLExt</v>
          </cell>
          <cell r="B107" t="str">
            <v>VAR_fin</v>
          </cell>
          <cell r="C107" t="str">
            <v>TGSL</v>
          </cell>
          <cell r="D107">
            <v>0.72083208057396553</v>
          </cell>
          <cell r="E107">
            <v>1.4454172901135676</v>
          </cell>
          <cell r="F107">
            <v>0.54184922479744557</v>
          </cell>
          <cell r="G107">
            <v>0.2708451665866074</v>
          </cell>
        </row>
        <row r="108">
          <cell r="A108" t="str">
            <v>TFLGV-ICEGSLExt</v>
          </cell>
          <cell r="B108" t="str">
            <v>VAR_cap</v>
          </cell>
          <cell r="C108" t="str">
            <v>-</v>
          </cell>
          <cell r="D108">
            <v>3.9825538884219622E-2</v>
          </cell>
          <cell r="E108">
            <v>3.98250666666667E-2</v>
          </cell>
          <cell r="F108">
            <v>3.0634666666666699E-2</v>
          </cell>
          <cell r="G108">
            <v>1.5317333333333299E-2</v>
          </cell>
        </row>
        <row r="109">
          <cell r="A109" t="str">
            <v>TFRLFELCEXT</v>
          </cell>
          <cell r="B109" t="str">
            <v>VAR_fout</v>
          </cell>
          <cell r="C109" t="str">
            <v>TFRLF</v>
          </cell>
          <cell r="D109">
            <v>2.509461226162911E-2</v>
          </cell>
          <cell r="E109">
            <v>2.7688369219048388E-2</v>
          </cell>
          <cell r="F109">
            <v>2.9171983013467816E-2</v>
          </cell>
          <cell r="G109">
            <v>3.164471830334286E-2</v>
          </cell>
          <cell r="H109">
            <v>3.3098689915058863E-2</v>
          </cell>
          <cell r="I109">
            <v>3.3880266956451306E-2</v>
          </cell>
          <cell r="J109">
            <v>3.5151455445398397E-2</v>
          </cell>
          <cell r="K109">
            <v>3.6422594066540706E-2</v>
          </cell>
          <cell r="L109">
            <v>3.7000172313213599E-2</v>
          </cell>
          <cell r="M109">
            <v>3.7874398222476832E-2</v>
          </cell>
          <cell r="N109">
            <v>3.8123682020402144E-2</v>
          </cell>
          <cell r="O109">
            <v>3.8616480746538381E-2</v>
          </cell>
        </row>
        <row r="110">
          <cell r="A110" t="str">
            <v>TFRLFELCEXT</v>
          </cell>
          <cell r="B110" t="str">
            <v>VAR_fin</v>
          </cell>
          <cell r="C110" t="str">
            <v>TELC</v>
          </cell>
          <cell r="D110">
            <v>1.502308660090008</v>
          </cell>
          <cell r="E110">
            <v>1.6575859562153534</v>
          </cell>
          <cell r="F110">
            <v>1.7464036605236748</v>
          </cell>
          <cell r="G110">
            <v>1.894435899530196</v>
          </cell>
          <cell r="H110">
            <v>1.9814790513044853</v>
          </cell>
          <cell r="I110">
            <v>2.0282687743561851</v>
          </cell>
          <cell r="J110">
            <v>2.1043694710173577</v>
          </cell>
          <cell r="K110">
            <v>2.1804671823032526</v>
          </cell>
          <cell r="L110">
            <v>2.2150443573880825</v>
          </cell>
          <cell r="M110">
            <v>2.2673805776360214</v>
          </cell>
          <cell r="N110">
            <v>2.2823041478645179</v>
          </cell>
          <cell r="O110">
            <v>2.3118059304080103</v>
          </cell>
        </row>
        <row r="111">
          <cell r="A111" t="str">
            <v>TFRLFELCEXT</v>
          </cell>
          <cell r="B111" t="str">
            <v>VAR_ncap</v>
          </cell>
          <cell r="C111" t="str">
            <v>-</v>
          </cell>
          <cell r="D111">
            <v>3.82326465773025E-8</v>
          </cell>
          <cell r="E111">
            <v>2.3942300971162601E-4</v>
          </cell>
          <cell r="F111">
            <v>1.3696356186620001E-4</v>
          </cell>
          <cell r="G111">
            <v>2.2826915820260701E-4</v>
          </cell>
          <cell r="H111">
            <v>1.34233177062525E-4</v>
          </cell>
          <cell r="I111">
            <v>7.2151948471080803E-5</v>
          </cell>
          <cell r="J111">
            <v>1.17351545643709E-4</v>
          </cell>
          <cell r="K111">
            <v>1.7205323331204901E-3</v>
          </cell>
          <cell r="L111">
            <v>1.1628973086747799E-3</v>
          </cell>
          <cell r="M111">
            <v>2.8931767848412601E-4</v>
          </cell>
          <cell r="N111">
            <v>1.44761312618202E-4</v>
          </cell>
          <cell r="O111">
            <v>1.30147938852529E-4</v>
          </cell>
        </row>
        <row r="112">
          <cell r="A112" t="str">
            <v>TFRLFELCEXT</v>
          </cell>
          <cell r="B112" t="str">
            <v>VAR_cap</v>
          </cell>
          <cell r="C112" t="str">
            <v>-</v>
          </cell>
          <cell r="D112">
            <v>2.3167027203297571E-3</v>
          </cell>
          <cell r="E112">
            <v>2.5561257300413826E-3</v>
          </cell>
          <cell r="F112">
            <v>2.6930892919075828E-3</v>
          </cell>
          <cell r="G112">
            <v>2.9213584501101898E-3</v>
          </cell>
          <cell r="H112">
            <v>3.0555916271727147E-3</v>
          </cell>
          <cell r="I112">
            <v>3.1277435756437958E-3</v>
          </cell>
          <cell r="J112">
            <v>3.2450951212875047E-3</v>
          </cell>
          <cell r="K112">
            <v>3.3624586646605471E-3</v>
          </cell>
          <cell r="L112">
            <v>3.4157668421954399E-3</v>
          </cell>
          <cell r="M112">
            <v>3.4964839914567E-3</v>
          </cell>
          <cell r="N112">
            <v>3.5194923801480302E-3</v>
          </cell>
          <cell r="O112">
            <v>3.5650081173938301E-3</v>
          </cell>
        </row>
        <row r="113">
          <cell r="A113" t="str">
            <v>TFLGV-ICEDSLExt</v>
          </cell>
          <cell r="B113" t="str">
            <v>VAR_fout</v>
          </cell>
          <cell r="C113" t="str">
            <v>CO2_T</v>
          </cell>
          <cell r="D113">
            <v>812.12411818402302</v>
          </cell>
          <cell r="E113">
            <v>569.81704880128996</v>
          </cell>
          <cell r="F113">
            <v>399.54656503085499</v>
          </cell>
          <cell r="G113">
            <v>199.76435692723501</v>
          </cell>
        </row>
        <row r="114">
          <cell r="A114" t="str">
            <v>TFLGV-ICEDSLExt</v>
          </cell>
          <cell r="B114" t="str">
            <v>VAR_fout</v>
          </cell>
          <cell r="C114" t="str">
            <v>TFLGV</v>
          </cell>
          <cell r="D114">
            <v>2.8699849904424122</v>
          </cell>
          <cell r="E114">
            <v>2.0828831419152767</v>
          </cell>
          <cell r="F114">
            <v>1.5332596846709128</v>
          </cell>
          <cell r="G114">
            <v>0.76659559039654457</v>
          </cell>
        </row>
        <row r="115">
          <cell r="A115" t="str">
            <v>TFLGV-ICEDSLExt</v>
          </cell>
          <cell r="B115" t="str">
            <v>VAR_fin</v>
          </cell>
          <cell r="C115" t="str">
            <v>TDSL</v>
          </cell>
          <cell r="D115">
            <v>11.079455909741098</v>
          </cell>
          <cell r="E115">
            <v>7.7737660136601736</v>
          </cell>
          <cell r="F115">
            <v>5.4508399049229874</v>
          </cell>
          <cell r="G115">
            <v>2.7252981845461806</v>
          </cell>
        </row>
        <row r="116">
          <cell r="A116" t="str">
            <v>TFLGV-ICEDSLExt</v>
          </cell>
          <cell r="B116" t="str">
            <v>VAR_cap</v>
          </cell>
          <cell r="C116" t="str">
            <v>-</v>
          </cell>
          <cell r="D116">
            <v>0.22869336234421211</v>
          </cell>
          <cell r="E116">
            <v>0.19846059999999999</v>
          </cell>
          <cell r="F116">
            <v>0.15266199999999999</v>
          </cell>
          <cell r="G116">
            <v>7.6330999999999996E-2</v>
          </cell>
        </row>
        <row r="117">
          <cell r="A117" t="str">
            <v>T_C-ICE-NGA-S1</v>
          </cell>
          <cell r="B117" t="str">
            <v>VAR_fout</v>
          </cell>
          <cell r="C117" t="str">
            <v>CO2_T</v>
          </cell>
          <cell r="D117">
            <v>0.2098006230723348</v>
          </cell>
          <cell r="E117">
            <v>0.10101827738746845</v>
          </cell>
          <cell r="F117">
            <v>9.8035825381804775E-2</v>
          </cell>
          <cell r="G117">
            <v>6.22819996647827E-3</v>
          </cell>
          <cell r="H117">
            <v>1.15549704097627E-3</v>
          </cell>
        </row>
        <row r="118">
          <cell r="A118" t="str">
            <v>T_C-ICE-NGA-S1</v>
          </cell>
          <cell r="B118" t="str">
            <v>VAR_fout</v>
          </cell>
          <cell r="C118" t="str">
            <v>TPCAR</v>
          </cell>
          <cell r="D118">
            <v>2.2893666085649872E-3</v>
          </cell>
          <cell r="E118">
            <v>1.1592368320974273E-3</v>
          </cell>
          <cell r="F118">
            <v>1.1236530961225627E-3</v>
          </cell>
          <cell r="G118">
            <v>7.006724962288049E-5</v>
          </cell>
          <cell r="H118">
            <v>1.2999341710982978E-5</v>
          </cell>
        </row>
        <row r="119">
          <cell r="A119" t="str">
            <v>T_C-ICE-NGA-S1</v>
          </cell>
          <cell r="B119" t="str">
            <v>VAR_fin</v>
          </cell>
          <cell r="C119" t="str">
            <v>TNGA</v>
          </cell>
          <cell r="D119">
            <v>3.7198692034102047E-3</v>
          </cell>
          <cell r="E119">
            <v>1.7911042089976687E-3</v>
          </cell>
          <cell r="F119">
            <v>1.7382238542873189E-3</v>
          </cell>
          <cell r="G119">
            <v>1.1042907741982739E-4</v>
          </cell>
          <cell r="H119">
            <v>2.0487536187522427E-5</v>
          </cell>
        </row>
        <row r="120">
          <cell r="A120" t="str">
            <v>T_C-ICE-NGA-S1</v>
          </cell>
          <cell r="B120" t="str">
            <v>VAR_ncap</v>
          </cell>
          <cell r="C120" t="str">
            <v>-</v>
          </cell>
          <cell r="E120">
            <v>9.8388092392472297E-7</v>
          </cell>
          <cell r="F120">
            <v>9.4127785833734202E-7</v>
          </cell>
        </row>
        <row r="121">
          <cell r="A121" t="str">
            <v>T_C-ICE-NGA-S1</v>
          </cell>
          <cell r="B121" t="str">
            <v>VAR_cap</v>
          </cell>
          <cell r="C121" t="str">
            <v>-</v>
          </cell>
          <cell r="D121">
            <v>2.5629355550414398E-4</v>
          </cell>
          <cell r="E121">
            <v>1.6796434328105711E-4</v>
          </cell>
          <cell r="F121">
            <v>1.6784231425338278E-4</v>
          </cell>
          <cell r="G121">
            <v>1.0388957687814505E-5</v>
          </cell>
          <cell r="H121">
            <v>1.8378297610052112E-6</v>
          </cell>
          <cell r="I121">
            <v>8.1214847126967966E-9</v>
          </cell>
        </row>
        <row r="122">
          <cell r="A122" t="str">
            <v>D-T-ELC-car</v>
          </cell>
          <cell r="B122" t="str">
            <v>VAR_fout</v>
          </cell>
          <cell r="C122" t="str">
            <v>T-ELC-car</v>
          </cell>
          <cell r="D122">
            <v>0.73753575260030968</v>
          </cell>
          <cell r="E122">
            <v>1.6382307581879743</v>
          </cell>
          <cell r="F122">
            <v>4.316131917709976</v>
          </cell>
          <cell r="G122">
            <v>18.475559866029489</v>
          </cell>
          <cell r="H122">
            <v>33.191740902641826</v>
          </cell>
          <cell r="I122">
            <v>37.893325054124915</v>
          </cell>
          <cell r="J122">
            <v>37.865279873749969</v>
          </cell>
          <cell r="K122">
            <v>38.752053175621548</v>
          </cell>
          <cell r="L122">
            <v>37.483382110427009</v>
          </cell>
          <cell r="M122">
            <v>35.244263161751562</v>
          </cell>
          <cell r="N122">
            <v>33.980763445417629</v>
          </cell>
          <cell r="O122">
            <v>34.108604763522472</v>
          </cell>
        </row>
        <row r="123">
          <cell r="A123" t="str">
            <v>D-T-ELC-car</v>
          </cell>
          <cell r="B123" t="str">
            <v>VAR_fin</v>
          </cell>
          <cell r="C123" t="str">
            <v>TELC</v>
          </cell>
          <cell r="D123">
            <v>0.73753575260030968</v>
          </cell>
          <cell r="E123">
            <v>1.6382307581879743</v>
          </cell>
          <cell r="F123">
            <v>4.316131917709976</v>
          </cell>
          <cell r="G123">
            <v>18.475559866029489</v>
          </cell>
          <cell r="H123">
            <v>33.191740902641826</v>
          </cell>
          <cell r="I123">
            <v>37.893325054124915</v>
          </cell>
          <cell r="J123">
            <v>37.865279873749969</v>
          </cell>
          <cell r="K123">
            <v>38.752053175621548</v>
          </cell>
          <cell r="L123">
            <v>37.483382110427009</v>
          </cell>
          <cell r="M123">
            <v>35.244263161751562</v>
          </cell>
          <cell r="N123">
            <v>33.980763445417629</v>
          </cell>
          <cell r="O123">
            <v>34.108604763522472</v>
          </cell>
        </row>
        <row r="124">
          <cell r="A124" t="str">
            <v>D-T-ELC-car</v>
          </cell>
          <cell r="B124" t="str">
            <v>VAR_ncap</v>
          </cell>
          <cell r="C124" t="str">
            <v>-</v>
          </cell>
          <cell r="D124">
            <v>8.1061832940818395E-8</v>
          </cell>
          <cell r="E124">
            <v>7.4828384710727601E-8</v>
          </cell>
          <cell r="F124">
            <v>0.98158395300411105</v>
          </cell>
          <cell r="G124">
            <v>9.1361601927447005</v>
          </cell>
          <cell r="H124">
            <v>14.622131476426</v>
          </cell>
          <cell r="I124">
            <v>10.8330190521463</v>
          </cell>
          <cell r="J124">
            <v>9.0722845639093599</v>
          </cell>
          <cell r="K124">
            <v>19.969228078817402</v>
          </cell>
          <cell r="L124">
            <v>12.4396419433677</v>
          </cell>
          <cell r="M124">
            <v>10.5243702093448</v>
          </cell>
          <cell r="N124">
            <v>22.466343388487001</v>
          </cell>
          <cell r="O124">
            <v>13.328762500068301</v>
          </cell>
        </row>
        <row r="125">
          <cell r="A125" t="str">
            <v>D-T-ELC-car</v>
          </cell>
          <cell r="B125" t="str">
            <v>VAR_cap</v>
          </cell>
          <cell r="C125" t="str">
            <v>-</v>
          </cell>
          <cell r="D125">
            <v>1.2762580381198829</v>
          </cell>
          <cell r="E125">
            <v>1.2762581129482675</v>
          </cell>
          <cell r="F125">
            <v>2.2578420659523779</v>
          </cell>
          <cell r="G125">
            <v>11.39400225869705</v>
          </cell>
          <cell r="H125">
            <v>25.070853420434108</v>
          </cell>
          <cell r="I125">
            <v>33.059314562183403</v>
          </cell>
          <cell r="J125">
            <v>34.527435092481603</v>
          </cell>
          <cell r="K125">
            <v>39.874531694872999</v>
          </cell>
          <cell r="L125">
            <v>41.943655908604597</v>
          </cell>
          <cell r="M125">
            <v>42.933240231529901</v>
          </cell>
          <cell r="N125">
            <v>45.023806825530798</v>
          </cell>
          <cell r="O125">
            <v>46.3194760979001</v>
          </cell>
        </row>
        <row r="126">
          <cell r="A126" t="str">
            <v>T_C-ICE-NGA-S2</v>
          </cell>
          <cell r="B126" t="str">
            <v>VAR_fout</v>
          </cell>
          <cell r="C126" t="str">
            <v>CO2_T</v>
          </cell>
          <cell r="D126">
            <v>3.1636823815109265</v>
          </cell>
          <cell r="E126">
            <v>3.031879859826013</v>
          </cell>
          <cell r="F126">
            <v>3.3747035700189834</v>
          </cell>
        </row>
        <row r="127">
          <cell r="A127" t="str">
            <v>T_C-ICE-NGA-S2</v>
          </cell>
          <cell r="B127" t="str">
            <v>VAR_fout</v>
          </cell>
          <cell r="C127" t="str">
            <v>TPCAR</v>
          </cell>
          <cell r="D127">
            <v>3.5417270135169251E-2</v>
          </cell>
          <cell r="E127">
            <v>3.3875862052514125E-2</v>
          </cell>
          <cell r="F127">
            <v>3.695518429674774E-2</v>
          </cell>
        </row>
        <row r="128">
          <cell r="A128" t="str">
            <v>T_C-ICE-NGA-S2</v>
          </cell>
          <cell r="B128" t="str">
            <v>VAR_fin</v>
          </cell>
          <cell r="C128" t="str">
            <v>TNGA</v>
          </cell>
          <cell r="D128">
            <v>5.6093659246647755E-2</v>
          </cell>
          <cell r="E128">
            <v>5.3756735103298037E-2</v>
          </cell>
          <cell r="F128">
            <v>5.98351696811876E-2</v>
          </cell>
        </row>
        <row r="129">
          <cell r="A129" t="str">
            <v>T_C-ICE-NGA-S2</v>
          </cell>
          <cell r="B129" t="str">
            <v>VAR_ncap</v>
          </cell>
          <cell r="C129" t="str">
            <v>-</v>
          </cell>
          <cell r="E129">
            <v>5.1997535246370898E-7</v>
          </cell>
          <cell r="F129">
            <v>4.2771911031764299E-7</v>
          </cell>
        </row>
        <row r="130">
          <cell r="A130" t="str">
            <v>T_C-ICE-NGA-S2</v>
          </cell>
          <cell r="B130" t="str">
            <v>VAR_cap</v>
          </cell>
          <cell r="C130" t="str">
            <v>-</v>
          </cell>
          <cell r="D130">
            <v>2.6902364593150698E-3</v>
          </cell>
          <cell r="E130">
            <v>2.8438585115191793E-3</v>
          </cell>
          <cell r="F130">
            <v>2.8053165886774288E-3</v>
          </cell>
          <cell r="G130">
            <v>2.5796324924255709E-9</v>
          </cell>
          <cell r="H130">
            <v>2.5621534678637497E-9</v>
          </cell>
          <cell r="I130">
            <v>1.4403439494989912E-10</v>
          </cell>
        </row>
        <row r="131">
          <cell r="A131" t="str">
            <v>TFLGV-ICEDSL</v>
          </cell>
          <cell r="B131" t="str">
            <v>VAR_fout</v>
          </cell>
          <cell r="C131" t="str">
            <v>CO2_T</v>
          </cell>
          <cell r="D131">
            <v>326.19156816115782</v>
          </cell>
          <cell r="E131">
            <v>384.71554910080232</v>
          </cell>
          <cell r="F131">
            <v>374.026873483815</v>
          </cell>
          <cell r="G131">
            <v>152.58718247050035</v>
          </cell>
          <cell r="H131">
            <v>7.5115248802969395E-2</v>
          </cell>
          <cell r="I131">
            <v>3.46622452514139E-3</v>
          </cell>
        </row>
        <row r="132">
          <cell r="A132" t="str">
            <v>TFLGV-ICEDSL</v>
          </cell>
          <cell r="B132" t="str">
            <v>VAR_fout</v>
          </cell>
          <cell r="C132" t="str">
            <v>TFLGV</v>
          </cell>
          <cell r="D132">
            <v>1.5224402404764401</v>
          </cell>
          <cell r="E132">
            <v>1.7955903532082627</v>
          </cell>
          <cell r="F132">
            <v>1.7457028899349618</v>
          </cell>
          <cell r="G132">
            <v>0.71217311987426413</v>
          </cell>
          <cell r="H132">
            <v>3.5058685942041391E-4</v>
          </cell>
          <cell r="I132">
            <v>1.6177977037696981E-5</v>
          </cell>
        </row>
        <row r="133">
          <cell r="A133" t="str">
            <v>TFLGV-ICEDSL</v>
          </cell>
          <cell r="B133" t="str">
            <v>VAR_fin</v>
          </cell>
          <cell r="C133" t="str">
            <v>TDSL</v>
          </cell>
          <cell r="D133">
            <v>4.450089606564223</v>
          </cell>
          <cell r="E133">
            <v>5.2485068090150406</v>
          </cell>
          <cell r="F133">
            <v>5.1026858592607631</v>
          </cell>
          <cell r="G133">
            <v>2.0816805248362851</v>
          </cell>
          <cell r="H133">
            <v>1.0247646494265942E-3</v>
          </cell>
          <cell r="I133">
            <v>4.7288192703156721E-5</v>
          </cell>
        </row>
        <row r="134">
          <cell r="A134" t="str">
            <v>TFLGV-ICEDSL</v>
          </cell>
          <cell r="B134" t="str">
            <v>VAR_ncap</v>
          </cell>
          <cell r="C134" t="str">
            <v>-</v>
          </cell>
          <cell r="E134">
            <v>4.6844704826511897E-6</v>
          </cell>
          <cell r="F134">
            <v>3.0985380252450603E-5</v>
          </cell>
          <cell r="G134">
            <v>1.46044628429482E-5</v>
          </cell>
        </row>
        <row r="135">
          <cell r="A135" t="str">
            <v>TFLGV-ICEDSL</v>
          </cell>
          <cell r="B135" t="str">
            <v>VAR_cap</v>
          </cell>
          <cell r="C135" t="str">
            <v>-</v>
          </cell>
          <cell r="D135">
            <v>0.106169</v>
          </cell>
          <cell r="E135">
            <v>0.12516068447048265</v>
          </cell>
          <cell r="F135">
            <v>0.1251916698507351</v>
          </cell>
          <cell r="G135">
            <v>7.0892556637623685E-2</v>
          </cell>
          <cell r="H135">
            <v>3.0479630270031601E-5</v>
          </cell>
          <cell r="I135">
            <v>1.304654818488E-6</v>
          </cell>
        </row>
        <row r="136">
          <cell r="A136" t="str">
            <v>T_C-ICE-NGA-S3</v>
          </cell>
          <cell r="B136" t="str">
            <v>VAR_fout</v>
          </cell>
          <cell r="C136" t="str">
            <v>CO2_T</v>
          </cell>
          <cell r="D136">
            <v>0.251614192689607</v>
          </cell>
          <cell r="E136">
            <v>0.22682140421611982</v>
          </cell>
          <cell r="F136">
            <v>0.27132015766115725</v>
          </cell>
          <cell r="G136">
            <v>2.11540859168084E-2</v>
          </cell>
          <cell r="H136">
            <v>3.4686469263830902E-3</v>
          </cell>
        </row>
        <row r="137">
          <cell r="A137" t="str">
            <v>T_C-ICE-NGA-S3</v>
          </cell>
          <cell r="B137" t="str">
            <v>VAR_fout</v>
          </cell>
          <cell r="C137" t="str">
            <v>TPCAR</v>
          </cell>
          <cell r="D137">
            <v>2.0871084133319132E-3</v>
          </cell>
          <cell r="E137">
            <v>1.9098433297030553E-3</v>
          </cell>
          <cell r="F137">
            <v>2.2684685396379633E-3</v>
          </cell>
          <cell r="G137">
            <v>1.8250583928226894E-4</v>
          </cell>
          <cell r="H137">
            <v>2.9925581325658017E-5</v>
          </cell>
        </row>
        <row r="138">
          <cell r="A138" t="str">
            <v>T_C-ICE-NGA-S3</v>
          </cell>
          <cell r="B138" t="str">
            <v>VAR_fin</v>
          </cell>
          <cell r="C138" t="str">
            <v>TNGA</v>
          </cell>
          <cell r="D138">
            <v>4.4612445512341734E-3</v>
          </cell>
          <cell r="E138">
            <v>4.0216561031226868E-3</v>
          </cell>
          <cell r="F138">
            <v>4.8106410932829344E-3</v>
          </cell>
          <cell r="G138">
            <v>3.7507244533348277E-4</v>
          </cell>
          <cell r="H138">
            <v>6.1500832028068924E-5</v>
          </cell>
        </row>
        <row r="139">
          <cell r="A139" t="str">
            <v>T_C-ICE-NGA-S3</v>
          </cell>
          <cell r="B139" t="str">
            <v>VAR_ncap</v>
          </cell>
          <cell r="C139" t="str">
            <v>-</v>
          </cell>
          <cell r="E139">
            <v>6.3164382474056002E-7</v>
          </cell>
          <cell r="F139">
            <v>3.7155198541837098E-7</v>
          </cell>
        </row>
        <row r="140">
          <cell r="A140" t="str">
            <v>T_C-ICE-NGA-S3</v>
          </cell>
          <cell r="B140" t="str">
            <v>VAR_cap</v>
          </cell>
          <cell r="C140" t="str">
            <v>-</v>
          </cell>
          <cell r="D140">
            <v>1.5112174236928E-4</v>
          </cell>
          <cell r="E140">
            <v>1.5903074918264146E-4</v>
          </cell>
          <cell r="F140">
            <v>1.5780141691261609E-4</v>
          </cell>
          <cell r="G140">
            <v>1.269054102010956E-5</v>
          </cell>
          <cell r="H140">
            <v>2.2236755512667793E-6</v>
          </cell>
          <cell r="I140">
            <v>-3.7925121339939977E-10</v>
          </cell>
        </row>
        <row r="141">
          <cell r="A141" t="str">
            <v>T_C-ICE-NGA-S4</v>
          </cell>
          <cell r="B141" t="str">
            <v>VAR_fout</v>
          </cell>
          <cell r="C141" t="str">
            <v>CO2_T</v>
          </cell>
          <cell r="D141">
            <v>2.7306215254697705</v>
          </cell>
          <cell r="E141">
            <v>2.6587672451609285</v>
          </cell>
          <cell r="F141">
            <v>2.4737873957439391</v>
          </cell>
        </row>
        <row r="142">
          <cell r="A142" t="str">
            <v>T_C-ICE-NGA-S4</v>
          </cell>
          <cell r="B142" t="str">
            <v>VAR_fout</v>
          </cell>
          <cell r="C142" t="str">
            <v>TPCAR</v>
          </cell>
          <cell r="D142">
            <v>3.3052477212928269E-2</v>
          </cell>
          <cell r="E142">
            <v>3.2172572781790053E-2</v>
          </cell>
          <cell r="F142">
            <v>2.9931050933705825E-2</v>
          </cell>
        </row>
        <row r="143">
          <cell r="A143" t="str">
            <v>T_C-ICE-NGA-S4</v>
          </cell>
          <cell r="B143" t="str">
            <v>VAR_fin</v>
          </cell>
          <cell r="C143" t="str">
            <v>TNGA</v>
          </cell>
          <cell r="D143">
            <v>4.8415275274286719E-2</v>
          </cell>
          <cell r="E143">
            <v>4.7141263212073202E-2</v>
          </cell>
          <cell r="F143">
            <v>4.3861478647942209E-2</v>
          </cell>
        </row>
        <row r="144">
          <cell r="A144" t="str">
            <v>T_C-ICE-NGA-S4</v>
          </cell>
          <cell r="B144" t="str">
            <v>VAR_ncap</v>
          </cell>
          <cell r="C144" t="str">
            <v>-</v>
          </cell>
          <cell r="E144">
            <v>6.5145438503329501E-7</v>
          </cell>
          <cell r="F144">
            <v>4.6330435295394898E-7</v>
          </cell>
        </row>
        <row r="145">
          <cell r="A145" t="str">
            <v>T_C-ICE-NGA-S4</v>
          </cell>
          <cell r="B145" t="str">
            <v>VAR_cap</v>
          </cell>
          <cell r="C145" t="str">
            <v>-</v>
          </cell>
          <cell r="D145">
            <v>2.6074482428115001E-3</v>
          </cell>
          <cell r="E145">
            <v>2.5342644985991403E-3</v>
          </cell>
          <cell r="F145">
            <v>2.3587707198859833E-3</v>
          </cell>
          <cell r="G145">
            <v>-3.7868764023001045E-9</v>
          </cell>
          <cell r="H145">
            <v>1.8762737731764859E-9</v>
          </cell>
          <cell r="I145">
            <v>1.8603044530359911E-10</v>
          </cell>
        </row>
        <row r="146">
          <cell r="A146" t="str">
            <v>T_C-MHY-GSL-S1</v>
          </cell>
          <cell r="B146" t="str">
            <v>VAR_fout</v>
          </cell>
          <cell r="C146" t="str">
            <v>CO2_T</v>
          </cell>
          <cell r="E146">
            <v>9.1784586735271598E-3</v>
          </cell>
          <cell r="F146">
            <v>3.4855633883076859E-2</v>
          </cell>
          <cell r="G146">
            <v>4.2915909681478091E-2</v>
          </cell>
          <cell r="H146">
            <v>3.0310084242211759E-2</v>
          </cell>
          <cell r="I146">
            <v>9.4077786270011596E-3</v>
          </cell>
        </row>
        <row r="147">
          <cell r="A147" t="str">
            <v>T_C-MHY-GSL-S1</v>
          </cell>
          <cell r="B147" t="str">
            <v>VAR_fout</v>
          </cell>
          <cell r="C147" t="str">
            <v>TPCAR</v>
          </cell>
          <cell r="E147">
            <v>6.4470125053477594E-5</v>
          </cell>
          <cell r="F147">
            <v>2.5765550744000264E-4</v>
          </cell>
          <cell r="G147">
            <v>3.2876574314513756E-4</v>
          </cell>
          <cell r="H147">
            <v>2.3430838827416425E-4</v>
          </cell>
          <cell r="I147">
            <v>7.5401946148293683E-5</v>
          </cell>
        </row>
        <row r="148">
          <cell r="A148" t="str">
            <v>T_C-MHY-GSL-S1</v>
          </cell>
          <cell r="B148" t="str">
            <v>VAR_fin</v>
          </cell>
          <cell r="C148" t="str">
            <v>TGSL</v>
          </cell>
          <cell r="E148">
            <v>1.2436935871988023E-4</v>
          </cell>
          <cell r="F148">
            <v>4.7229856210131234E-4</v>
          </cell>
          <cell r="G148">
            <v>5.8151639134794192E-4</v>
          </cell>
          <cell r="H148">
            <v>4.1070574853945452E-4</v>
          </cell>
          <cell r="I148">
            <v>1.2747667516261742E-4</v>
          </cell>
        </row>
        <row r="149">
          <cell r="A149" t="str">
            <v>T_C-MHY-GSL-S1</v>
          </cell>
          <cell r="B149" t="str">
            <v>VAR_ncap</v>
          </cell>
          <cell r="C149" t="str">
            <v>-</v>
          </cell>
          <cell r="E149">
            <v>7.7218569997203406E-6</v>
          </cell>
          <cell r="F149">
            <v>3.13422320184691E-5</v>
          </cell>
          <cell r="G149">
            <v>1.6927269472460699E-5</v>
          </cell>
        </row>
        <row r="150">
          <cell r="A150" t="str">
            <v>T_C-MHY-GSL-S1</v>
          </cell>
          <cell r="B150" t="str">
            <v>VAR_cap</v>
          </cell>
          <cell r="C150" t="str">
            <v>-</v>
          </cell>
          <cell r="E150">
            <v>7.6190547521160196E-6</v>
          </cell>
          <cell r="F150">
            <v>3.8107918250391197E-5</v>
          </cell>
          <cell r="G150">
            <v>4.9003714898041398E-5</v>
          </cell>
          <cell r="H150">
            <v>3.4438338622742203E-5</v>
          </cell>
          <cell r="I150">
            <v>1.07896761407707E-5</v>
          </cell>
        </row>
        <row r="151">
          <cell r="A151" t="str">
            <v>T_TRLY_ELC</v>
          </cell>
          <cell r="B151" t="str">
            <v>VAR_fout</v>
          </cell>
          <cell r="C151" t="str">
            <v>TPTRLY</v>
          </cell>
          <cell r="D151">
            <v>2.7120999999999972E-2</v>
          </cell>
          <cell r="E151">
            <v>2.7782165745480814E-2</v>
          </cell>
          <cell r="F151">
            <v>2.8773914363701983E-2</v>
          </cell>
          <cell r="G151">
            <v>3.042682872740389E-2</v>
          </cell>
          <cell r="H151">
            <v>3.1023641718362919E-2</v>
          </cell>
          <cell r="I151">
            <v>3.1892522889951397E-2</v>
          </cell>
          <cell r="J151">
            <v>3.2426583620297177E-2</v>
          </cell>
          <cell r="K151">
            <v>3.2960644350642984E-2</v>
          </cell>
          <cell r="L151">
            <v>3.5939564798539693E-2</v>
          </cell>
          <cell r="M151">
            <v>3.8019840657423198E-2</v>
          </cell>
          <cell r="N151">
            <v>4.0091477970173192E-2</v>
          </cell>
          <cell r="O151">
            <v>4.2130119148439206E-2</v>
          </cell>
        </row>
        <row r="152">
          <cell r="A152" t="str">
            <v>T_TRLY_ELC</v>
          </cell>
          <cell r="B152" t="str">
            <v>VAR_fin</v>
          </cell>
          <cell r="C152" t="str">
            <v>TELC</v>
          </cell>
          <cell r="D152">
            <v>0.2816422643485601</v>
          </cell>
          <cell r="E152">
            <v>0.30668648626079364</v>
          </cell>
          <cell r="F152">
            <v>0.35078787907941233</v>
          </cell>
          <cell r="G152">
            <v>0.44905706465165934</v>
          </cell>
          <cell r="H152">
            <v>0.45786518239100965</v>
          </cell>
          <cell r="I152">
            <v>0.4706886426319784</v>
          </cell>
          <cell r="J152">
            <v>0.47857062553803131</v>
          </cell>
          <cell r="K152">
            <v>0.48645260844408511</v>
          </cell>
          <cell r="L152">
            <v>0.5304172714770905</v>
          </cell>
          <cell r="M152">
            <v>0.5611192082193377</v>
          </cell>
          <cell r="N152">
            <v>0.59169365220825365</v>
          </cell>
          <cell r="O152">
            <v>0.62178111980442863</v>
          </cell>
        </row>
        <row r="153">
          <cell r="A153" t="str">
            <v>T_C-MHY-GSL-S2</v>
          </cell>
          <cell r="B153" t="str">
            <v>VAR_fout</v>
          </cell>
          <cell r="C153" t="str">
            <v>CO2_T</v>
          </cell>
          <cell r="E153">
            <v>8.4669120120531797E-3</v>
          </cell>
          <cell r="F153">
            <v>3.4611445997581466E-2</v>
          </cell>
          <cell r="G153">
            <v>4.7704351380076296E-2</v>
          </cell>
          <cell r="H153">
            <v>3.2458571636468307E-2</v>
          </cell>
          <cell r="I153">
            <v>1.0939401893323141E-2</v>
          </cell>
        </row>
        <row r="154">
          <cell r="A154" t="str">
            <v>T_C-MHY-GSL-S2</v>
          </cell>
          <cell r="B154" t="str">
            <v>VAR_fout</v>
          </cell>
          <cell r="C154" t="str">
            <v>TPCAR</v>
          </cell>
          <cell r="E154">
            <v>4.7880170849066024E-5</v>
          </cell>
          <cell r="F154">
            <v>2.063339513174718E-4</v>
          </cell>
          <cell r="G154">
            <v>2.9756610269718022E-4</v>
          </cell>
          <cell r="H154">
            <v>2.0441097028119608E-4</v>
          </cell>
          <cell r="I154">
            <v>7.1463715741378725E-5</v>
          </cell>
        </row>
        <row r="155">
          <cell r="A155" t="str">
            <v>T_C-MHY-GSL-S2</v>
          </cell>
          <cell r="B155" t="str">
            <v>VAR_fin</v>
          </cell>
          <cell r="C155" t="str">
            <v>TGSL</v>
          </cell>
          <cell r="E155">
            <v>1.147278050413709E-4</v>
          </cell>
          <cell r="F155">
            <v>4.6898978316505999E-4</v>
          </cell>
          <cell r="G155">
            <v>6.4640042520428605E-4</v>
          </cell>
          <cell r="H155">
            <v>4.3981804385458389E-4</v>
          </cell>
          <cell r="I155">
            <v>1.482303779583083E-4</v>
          </cell>
        </row>
        <row r="156">
          <cell r="A156" t="str">
            <v>T_C-MHY-GSL-S2</v>
          </cell>
          <cell r="B156" t="str">
            <v>VAR_ncap</v>
          </cell>
          <cell r="C156" t="str">
            <v>-</v>
          </cell>
          <cell r="E156">
            <v>4.0328748966314304E-6</v>
          </cell>
          <cell r="F156">
            <v>1.5217155857714999E-5</v>
          </cell>
          <cell r="G156">
            <v>1.09042453106547E-5</v>
          </cell>
        </row>
        <row r="157">
          <cell r="A157" t="str">
            <v>T_C-MHY-GSL-S2</v>
          </cell>
          <cell r="B157" t="str">
            <v>VAR_cap</v>
          </cell>
          <cell r="C157" t="str">
            <v>-</v>
          </cell>
          <cell r="E157">
            <v>3.9791846244992498E-6</v>
          </cell>
          <cell r="F157">
            <v>1.8765988904763101E-5</v>
          </cell>
          <cell r="G157">
            <v>2.6550517313511799E-5</v>
          </cell>
          <cell r="H157">
            <v>1.8869156153370201E-5</v>
          </cell>
          <cell r="I157">
            <v>6.4583331617194596E-6</v>
          </cell>
        </row>
        <row r="158">
          <cell r="A158" t="str">
            <v>T_C-MHY-DSL-S1</v>
          </cell>
          <cell r="B158" t="str">
            <v>VAR_fout</v>
          </cell>
          <cell r="C158" t="str">
            <v>CO2_T</v>
          </cell>
          <cell r="E158">
            <v>8.4153609574371905E-3</v>
          </cell>
          <cell r="F158">
            <v>2.7387413994877739E-2</v>
          </cell>
          <cell r="G158">
            <v>3.7307346737887825E-2</v>
          </cell>
          <cell r="H158">
            <v>2.6599083846925636E-2</v>
          </cell>
          <cell r="I158">
            <v>9.1177534493844491E-3</v>
          </cell>
        </row>
        <row r="159">
          <cell r="A159" t="str">
            <v>T_C-MHY-DSL-S1</v>
          </cell>
          <cell r="B159" t="str">
            <v>VAR_fout</v>
          </cell>
          <cell r="C159" t="str">
            <v>TPCAR</v>
          </cell>
          <cell r="E159">
            <v>6.4525663867197891E-5</v>
          </cell>
          <cell r="F159">
            <v>2.1867269481733504E-4</v>
          </cell>
          <cell r="G159">
            <v>3.0909183079296106E-4</v>
          </cell>
          <cell r="H159">
            <v>2.2220920669204294E-4</v>
          </cell>
          <cell r="I159">
            <v>7.844715818312223E-5</v>
          </cell>
        </row>
        <row r="160">
          <cell r="A160" t="str">
            <v>T_C-MHY-DSL-S1</v>
          </cell>
          <cell r="B160" t="str">
            <v>VAR_fin</v>
          </cell>
          <cell r="C160" t="str">
            <v>TDSL</v>
          </cell>
          <cell r="E160">
            <v>1.1480710719559595E-4</v>
          </cell>
          <cell r="F160">
            <v>3.7363457018932801E-4</v>
          </cell>
          <cell r="G160">
            <v>5.0896789546913887E-4</v>
          </cell>
          <cell r="H160">
            <v>3.6287972506037777E-4</v>
          </cell>
          <cell r="I160">
            <v>1.2438954228355308E-4</v>
          </cell>
        </row>
        <row r="161">
          <cell r="A161" t="str">
            <v>T_C-MHY-DSL-S1</v>
          </cell>
          <cell r="B161" t="str">
            <v>VAR_ncap</v>
          </cell>
          <cell r="C161" t="str">
            <v>-</v>
          </cell>
          <cell r="E161">
            <v>7.5902420504497097E-6</v>
          </cell>
          <cell r="F161">
            <v>2.53768639190744E-5</v>
          </cell>
          <cell r="G161">
            <v>1.9294279695704801E-5</v>
          </cell>
        </row>
        <row r="162">
          <cell r="A162" t="str">
            <v>T_C-MHY-DSL-S1</v>
          </cell>
          <cell r="B162" t="str">
            <v>VAR_cap</v>
          </cell>
          <cell r="C162" t="str">
            <v>-</v>
          </cell>
          <cell r="E162">
            <v>7.4891920125280899E-6</v>
          </cell>
          <cell r="F162">
            <v>3.2099538429305399E-5</v>
          </cell>
          <cell r="G162">
            <v>4.5975052179545E-5</v>
          </cell>
          <cell r="H162">
            <v>3.2546961454030502E-5</v>
          </cell>
          <cell r="I162">
            <v>1.1274268857342801E-5</v>
          </cell>
        </row>
        <row r="163">
          <cell r="A163" t="str">
            <v>T_C-MHY-GSL-S3</v>
          </cell>
          <cell r="B163" t="str">
            <v>VAR_fout</v>
          </cell>
          <cell r="C163" t="str">
            <v>CO2_T</v>
          </cell>
          <cell r="E163">
            <v>1.19699539958139E-2</v>
          </cell>
          <cell r="F163">
            <v>4.0977401641332296E-2</v>
          </cell>
          <cell r="G163">
            <v>5.1277574933263542E-2</v>
          </cell>
          <cell r="H163">
            <v>3.3689527484636494E-2</v>
          </cell>
          <cell r="I163">
            <v>1.00688678636518E-2</v>
          </cell>
        </row>
        <row r="164">
          <cell r="A164" t="str">
            <v>T_C-MHY-GSL-S3</v>
          </cell>
          <cell r="B164" t="str">
            <v>VAR_fout</v>
          </cell>
          <cell r="C164" t="str">
            <v>TPCAR</v>
          </cell>
          <cell r="E164">
            <v>6.2926585012548197E-5</v>
          </cell>
          <cell r="F164">
            <v>2.2647435359398146E-4</v>
          </cell>
          <cell r="G164">
            <v>2.951024138968667E-4</v>
          </cell>
          <cell r="H164">
            <v>1.9624338675851874E-4</v>
          </cell>
          <cell r="I164">
            <v>6.11221280384416E-5</v>
          </cell>
        </row>
        <row r="165">
          <cell r="A165" t="str">
            <v>T_C-MHY-GSL-S3</v>
          </cell>
          <cell r="B165" t="str">
            <v>VAR_fin</v>
          </cell>
          <cell r="C165" t="str">
            <v>TGSL</v>
          </cell>
          <cell r="E165">
            <v>1.6219449858826472E-4</v>
          </cell>
          <cell r="F165">
            <v>5.5524934473349865E-4</v>
          </cell>
          <cell r="G165">
            <v>6.9481808852660677E-4</v>
          </cell>
          <cell r="H165">
            <v>4.5649766239344835E-4</v>
          </cell>
          <cell r="I165">
            <v>1.3643452389772078E-4</v>
          </cell>
        </row>
        <row r="166">
          <cell r="A166" t="str">
            <v>T_C-MHY-GSL-S3</v>
          </cell>
          <cell r="B166" t="str">
            <v>VAR_ncap</v>
          </cell>
          <cell r="C166" t="str">
            <v>-</v>
          </cell>
          <cell r="E166">
            <v>4.6529539395878604E-6</v>
          </cell>
          <cell r="F166">
            <v>1.24560664954448E-5</v>
          </cell>
          <cell r="G166">
            <v>7.78485798996862E-6</v>
          </cell>
        </row>
        <row r="167">
          <cell r="A167" t="str">
            <v>T_C-MHY-GSL-S3</v>
          </cell>
          <cell r="B167" t="str">
            <v>VAR_cap</v>
          </cell>
          <cell r="C167" t="str">
            <v>-</v>
          </cell>
          <cell r="E167">
            <v>4.5910084615757197E-6</v>
          </cell>
          <cell r="F167">
            <v>1.6618462188645499E-5</v>
          </cell>
          <cell r="G167">
            <v>2.1660892346390101E-5</v>
          </cell>
          <cell r="H167">
            <v>1.49106563253687E-5</v>
          </cell>
          <cell r="I167">
            <v>4.7683652030938699E-6</v>
          </cell>
        </row>
        <row r="168">
          <cell r="A168" t="str">
            <v>T_C-MHY-DSL-S2</v>
          </cell>
          <cell r="B168" t="str">
            <v>VAR_fout</v>
          </cell>
          <cell r="C168" t="str">
            <v>CO2_T</v>
          </cell>
          <cell r="E168">
            <v>7.7272427644642901E-3</v>
          </cell>
          <cell r="F168">
            <v>2.8595053411627089E-2</v>
          </cell>
          <cell r="G168">
            <v>3.9208985877906451E-2</v>
          </cell>
          <cell r="H168">
            <v>2.5870377915724357E-2</v>
          </cell>
          <cell r="I168">
            <v>8.6011297708522491E-3</v>
          </cell>
        </row>
        <row r="169">
          <cell r="A169" t="str">
            <v>T_C-MHY-DSL-S2</v>
          </cell>
          <cell r="B169" t="str">
            <v>VAR_fout</v>
          </cell>
          <cell r="C169" t="str">
            <v>TPCAR</v>
          </cell>
          <cell r="E169">
            <v>4.7660268997663622E-5</v>
          </cell>
          <cell r="F169">
            <v>1.8404936249298933E-4</v>
          </cell>
          <cell r="G169">
            <v>2.6252750308046366E-4</v>
          </cell>
          <cell r="H169">
            <v>1.7478679196284989E-4</v>
          </cell>
          <cell r="I169">
            <v>5.997186641631206E-5</v>
          </cell>
        </row>
        <row r="170">
          <cell r="A170" t="str">
            <v>T_C-MHY-DSL-S2</v>
          </cell>
          <cell r="B170" t="str">
            <v>VAR_fin</v>
          </cell>
          <cell r="C170" t="str">
            <v>TDSL</v>
          </cell>
          <cell r="E170">
            <v>1.0541941015640232E-4</v>
          </cell>
          <cell r="F170">
            <v>3.9010986919000109E-4</v>
          </cell>
          <cell r="G170">
            <v>5.3491113066720926E-4</v>
          </cell>
          <cell r="H170">
            <v>3.5293830717222891E-4</v>
          </cell>
          <cell r="I170">
            <v>1.1734147027083562E-4</v>
          </cell>
        </row>
        <row r="171">
          <cell r="A171" t="str">
            <v>T_C-MHY-DSL-S2</v>
          </cell>
          <cell r="B171" t="str">
            <v>VAR_ncap</v>
          </cell>
          <cell r="C171" t="str">
            <v>-</v>
          </cell>
          <cell r="E171">
            <v>3.9225713306240002E-6</v>
          </cell>
          <cell r="F171">
            <v>1.19779960546128E-5</v>
          </cell>
          <cell r="G171">
            <v>9.2701598897440205E-6</v>
          </cell>
        </row>
        <row r="172">
          <cell r="A172" t="str">
            <v>T_C-MHY-DSL-S2</v>
          </cell>
          <cell r="B172" t="str">
            <v>VAR_cap</v>
          </cell>
          <cell r="C172" t="str">
            <v>-</v>
          </cell>
          <cell r="E172">
            <v>3.87034954651287E-6</v>
          </cell>
          <cell r="F172">
            <v>1.54673470234446E-5</v>
          </cell>
          <cell r="G172">
            <v>2.2109013524810599E-5</v>
          </cell>
          <cell r="H172">
            <v>1.55757052002211E-5</v>
          </cell>
          <cell r="I172">
            <v>5.3956123013271098E-6</v>
          </cell>
        </row>
        <row r="173">
          <cell r="A173" t="str">
            <v>T_C-MHY-GSL-S4</v>
          </cell>
          <cell r="B173" t="str">
            <v>VAR_fout</v>
          </cell>
          <cell r="C173" t="str">
            <v>CO2_T</v>
          </cell>
          <cell r="E173">
            <v>1.42339753573309E-2</v>
          </cell>
          <cell r="F173">
            <v>5.2552135995473995E-2</v>
          </cell>
          <cell r="G173">
            <v>7.4515789015201797E-2</v>
          </cell>
          <cell r="H173">
            <v>4.8433678057418564E-2</v>
          </cell>
          <cell r="I173">
            <v>1.6074442268354871E-2</v>
          </cell>
        </row>
        <row r="174">
          <cell r="A174" t="str">
            <v>T_C-MHY-GSL-S4</v>
          </cell>
          <cell r="B174" t="str">
            <v>VAR_fout</v>
          </cell>
          <cell r="C174" t="str">
            <v>TPCAR</v>
          </cell>
          <cell r="E174">
            <v>7.58614157937883E-5</v>
          </cell>
          <cell r="F174">
            <v>2.9461122766784721E-4</v>
          </cell>
          <cell r="G174">
            <v>4.3697617836183452E-4</v>
          </cell>
          <cell r="H174">
            <v>2.8697946695206965E-4</v>
          </cell>
          <cell r="I174">
            <v>9.8794509931648857E-5</v>
          </cell>
        </row>
        <row r="175">
          <cell r="A175" t="str">
            <v>T_C-MHY-GSL-S4</v>
          </cell>
          <cell r="B175" t="str">
            <v>VAR_fin</v>
          </cell>
          <cell r="C175" t="str">
            <v>TGSL</v>
          </cell>
          <cell r="E175">
            <v>1.9287229481478163E-4</v>
          </cell>
          <cell r="F175">
            <v>7.1208856362431024E-4</v>
          </cell>
          <cell r="G175">
            <v>1.0096990381463665E-3</v>
          </cell>
          <cell r="H175">
            <v>6.5628290050702637E-4</v>
          </cell>
          <cell r="I175">
            <v>2.1781087084491658E-4</v>
          </cell>
        </row>
        <row r="176">
          <cell r="A176" t="str">
            <v>T_C-MHY-GSL-S4</v>
          </cell>
          <cell r="B176" t="str">
            <v>VAR_ncap</v>
          </cell>
          <cell r="C176" t="str">
            <v>-</v>
          </cell>
          <cell r="E176">
            <v>6.3793977808038896E-6</v>
          </cell>
          <cell r="F176">
            <v>2.0643634240626E-5</v>
          </cell>
          <cell r="G176">
            <v>1.5535594639411099E-5</v>
          </cell>
        </row>
        <row r="177">
          <cell r="A177" t="str">
            <v>T_C-MHY-GSL-S4</v>
          </cell>
          <cell r="B177" t="str">
            <v>VAR_cap</v>
          </cell>
          <cell r="C177" t="str">
            <v>-</v>
          </cell>
          <cell r="E177">
            <v>6.2944678953822301E-6</v>
          </cell>
          <cell r="F177">
            <v>2.6302983269059401E-5</v>
          </cell>
          <cell r="G177">
            <v>3.7401227937449002E-5</v>
          </cell>
          <cell r="H177">
            <v>2.64053348150874E-5</v>
          </cell>
          <cell r="I177">
            <v>9.0987712174117301E-6</v>
          </cell>
        </row>
        <row r="178">
          <cell r="A178" t="str">
            <v>T_C-MHY-DSL-S3</v>
          </cell>
          <cell r="B178" t="str">
            <v>VAR_fout</v>
          </cell>
          <cell r="C178" t="str">
            <v>CO2_T</v>
          </cell>
          <cell r="E178">
            <v>1.0500729292045201E-2</v>
          </cell>
          <cell r="F178">
            <v>3.1405031652987983E-2</v>
          </cell>
          <cell r="G178">
            <v>3.9218608115552313E-2</v>
          </cell>
          <cell r="H178">
            <v>2.5508262264588577E-2</v>
          </cell>
          <cell r="I178">
            <v>7.5844364789824596E-3</v>
          </cell>
        </row>
        <row r="179">
          <cell r="A179" t="str">
            <v>T_C-MHY-DSL-S3</v>
          </cell>
          <cell r="B179" t="str">
            <v>VAR_fout</v>
          </cell>
          <cell r="C179" t="str">
            <v>TPCAR</v>
          </cell>
          <cell r="E179">
            <v>6.0208215817245277E-5</v>
          </cell>
          <cell r="F179">
            <v>1.873225613495271E-4</v>
          </cell>
          <cell r="G179">
            <v>2.4229247071564655E-4</v>
          </cell>
          <cell r="H179">
            <v>1.5939829620980085E-4</v>
          </cell>
          <cell r="I179">
            <v>4.9130356047366007E-5</v>
          </cell>
        </row>
        <row r="180">
          <cell r="A180" t="str">
            <v>T_C-MHY-DSL-S3</v>
          </cell>
          <cell r="B180" t="str">
            <v>VAR_fin</v>
          </cell>
          <cell r="C180" t="str">
            <v>TDSL</v>
          </cell>
          <cell r="E180">
            <v>1.4325687983690548E-4</v>
          </cell>
          <cell r="F180">
            <v>4.2844517944049128E-4</v>
          </cell>
          <cell r="G180">
            <v>5.3504240266783463E-4</v>
          </cell>
          <cell r="H180">
            <v>3.479981209357243E-4</v>
          </cell>
          <cell r="I180">
            <v>1.0347116615255733E-4</v>
          </cell>
        </row>
        <row r="181">
          <cell r="A181" t="str">
            <v>T_C-MHY-DSL-S3</v>
          </cell>
          <cell r="B181" t="str">
            <v>VAR_ncap</v>
          </cell>
          <cell r="C181" t="str">
            <v>-</v>
          </cell>
          <cell r="E181">
            <v>4.4234808461205102E-6</v>
          </cell>
          <cell r="F181">
            <v>9.6887190440017501E-6</v>
          </cell>
          <cell r="G181">
            <v>6.3640088411952197E-6</v>
          </cell>
        </row>
        <row r="182">
          <cell r="A182" t="str">
            <v>T_C-MHY-DSL-S3</v>
          </cell>
          <cell r="B182" t="str">
            <v>VAR_cap</v>
          </cell>
          <cell r="C182" t="str">
            <v>-</v>
          </cell>
          <cell r="E182">
            <v>4.36459037803333E-6</v>
          </cell>
          <cell r="F182">
            <v>1.3674498640699599E-5</v>
          </cell>
          <cell r="G182">
            <v>1.7741840982143399E-5</v>
          </cell>
          <cell r="H182">
            <v>1.2043052670719099E-5</v>
          </cell>
          <cell r="I182">
            <v>3.8491837541093499E-6</v>
          </cell>
        </row>
        <row r="183">
          <cell r="A183" t="str">
            <v>T_B_c-HYBDSL-S1</v>
          </cell>
          <cell r="B183" t="str">
            <v>VAR_fout</v>
          </cell>
          <cell r="C183" t="str">
            <v>CO2_T</v>
          </cell>
          <cell r="E183">
            <v>5.3103951247609402E-2</v>
          </cell>
          <cell r="F183">
            <v>6.0676109663017001E-2</v>
          </cell>
          <cell r="J183">
            <v>2.65295235700038E-2</v>
          </cell>
          <cell r="K183">
            <v>2.6556868326870198E-2</v>
          </cell>
        </row>
        <row r="184">
          <cell r="A184" t="str">
            <v>T_B_c-HYBDSL-S1</v>
          </cell>
          <cell r="B184" t="str">
            <v>VAR_fout</v>
          </cell>
          <cell r="C184" t="str">
            <v>TPBSc</v>
          </cell>
          <cell r="E184">
            <v>1.1773696569365223E-4</v>
          </cell>
          <cell r="F184">
            <v>1.3546304944934032E-4</v>
          </cell>
          <cell r="J184">
            <v>7.7739336949421119E-5</v>
          </cell>
          <cell r="K184">
            <v>7.7819465160628001E-5</v>
          </cell>
        </row>
        <row r="185">
          <cell r="A185" t="str">
            <v>T_B_c-HYBDSL-S1</v>
          </cell>
          <cell r="B185" t="str">
            <v>VAR_fin</v>
          </cell>
          <cell r="C185" t="str">
            <v>TDSL</v>
          </cell>
          <cell r="E185">
            <v>7.244740961474675E-4</v>
          </cell>
          <cell r="F185">
            <v>8.2777775802206008E-4</v>
          </cell>
          <cell r="J185">
            <v>3.6193074447481318E-4</v>
          </cell>
          <cell r="K185">
            <v>3.6230379709236267E-4</v>
          </cell>
        </row>
        <row r="186">
          <cell r="A186" t="str">
            <v>T_B_c-HYBDSL-S1</v>
          </cell>
          <cell r="B186" t="str">
            <v>VAR_ncap</v>
          </cell>
          <cell r="C186" t="str">
            <v>-</v>
          </cell>
          <cell r="E186">
            <v>2.6033311042883498E-6</v>
          </cell>
          <cell r="F186">
            <v>4.6632058150756999E-7</v>
          </cell>
          <cell r="J186">
            <v>1.69210950713599E-6</v>
          </cell>
        </row>
        <row r="187">
          <cell r="A187" t="str">
            <v>T_B_c-HYBDSL-S1</v>
          </cell>
          <cell r="B187" t="str">
            <v>VAR_cap</v>
          </cell>
          <cell r="C187" t="str">
            <v>-</v>
          </cell>
          <cell r="E187">
            <v>2.6033311042883498E-6</v>
          </cell>
          <cell r="F187">
            <v>3.06965168579592E-6</v>
          </cell>
          <cell r="G187">
            <v>1.106641212787986E-8</v>
          </cell>
          <cell r="H187">
            <v>2.2263933222379674E-9</v>
          </cell>
          <cell r="J187">
            <v>1.69210950713599E-6</v>
          </cell>
          <cell r="K187">
            <v>1.69210950713599E-6</v>
          </cell>
        </row>
        <row r="188">
          <cell r="A188" t="str">
            <v>T_C-MHY-DSL-S4</v>
          </cell>
          <cell r="B188" t="str">
            <v>VAR_fout</v>
          </cell>
          <cell r="C188" t="str">
            <v>CO2_T</v>
          </cell>
          <cell r="E188">
            <v>7.1313123499578404E-3</v>
          </cell>
          <cell r="F188">
            <v>1.7371205654342269E-2</v>
          </cell>
          <cell r="G188">
            <v>2.2897844735066231E-2</v>
          </cell>
          <cell r="H188">
            <v>1.47124899291186E-2</v>
          </cell>
          <cell r="I188">
            <v>4.6581783728979198E-3</v>
          </cell>
        </row>
        <row r="189">
          <cell r="A189" t="str">
            <v>T_C-MHY-DSL-S4</v>
          </cell>
          <cell r="B189" t="str">
            <v>VAR_fout</v>
          </cell>
          <cell r="C189" t="str">
            <v>TPCAR</v>
          </cell>
          <cell r="E189">
            <v>3.8860694367426327E-5</v>
          </cell>
          <cell r="F189">
            <v>9.8068743387300715E-5</v>
          </cell>
          <cell r="G189">
            <v>1.3443505860161233E-4</v>
          </cell>
          <cell r="H189">
            <v>8.748210227876994E-5</v>
          </cell>
          <cell r="I189">
            <v>2.871526422171263E-5</v>
          </cell>
        </row>
        <row r="190">
          <cell r="A190" t="str">
            <v>T_C-MHY-DSL-S4</v>
          </cell>
          <cell r="B190" t="str">
            <v>VAR_fin</v>
          </cell>
          <cell r="C190" t="str">
            <v>TDSL</v>
          </cell>
          <cell r="E190">
            <v>9.7289390858906272E-5</v>
          </cell>
          <cell r="F190">
            <v>2.3698779883140876E-4</v>
          </cell>
          <cell r="G190">
            <v>3.1238533062846155E-4</v>
          </cell>
          <cell r="H190">
            <v>2.0071609725946243E-4</v>
          </cell>
          <cell r="I190">
            <v>6.3549500312386353E-5</v>
          </cell>
        </row>
        <row r="191">
          <cell r="A191" t="str">
            <v>T_C-MHY-DSL-S4</v>
          </cell>
          <cell r="B191" t="str">
            <v>VAR_ncap</v>
          </cell>
          <cell r="C191" t="str">
            <v>-</v>
          </cell>
          <cell r="E191">
            <v>3.3275230138103601E-6</v>
          </cell>
          <cell r="F191">
            <v>5.6403615194259298E-6</v>
          </cell>
          <cell r="G191">
            <v>4.6401637180402399E-6</v>
          </cell>
        </row>
        <row r="192">
          <cell r="A192" t="str">
            <v>T_C-MHY-DSL-S4</v>
          </cell>
          <cell r="B192" t="str">
            <v>VAR_cap</v>
          </cell>
          <cell r="C192" t="str">
            <v>-</v>
          </cell>
          <cell r="E192">
            <v>3.2832231977444602E-6</v>
          </cell>
          <cell r="F192">
            <v>8.6605663631313407E-6</v>
          </cell>
          <cell r="G192">
            <v>1.17772112702159E-5</v>
          </cell>
          <cell r="H192">
            <v>7.9270310655387392E-6</v>
          </cell>
          <cell r="I192">
            <v>2.6656096704803902E-6</v>
          </cell>
        </row>
        <row r="193">
          <cell r="A193" t="str">
            <v>T_B_c-HYBDSL-S2</v>
          </cell>
          <cell r="B193" t="str">
            <v>VAR_fout</v>
          </cell>
          <cell r="C193" t="str">
            <v>CO2_T</v>
          </cell>
          <cell r="E193">
            <v>4.3908593575001896E-3</v>
          </cell>
          <cell r="F193">
            <v>8.5647325127312206E-3</v>
          </cell>
        </row>
        <row r="194">
          <cell r="A194" t="str">
            <v>T_B_c-HYBDSL-S2</v>
          </cell>
          <cell r="B194" t="str">
            <v>VAR_fout</v>
          </cell>
          <cell r="C194" t="str">
            <v>TPBSc</v>
          </cell>
          <cell r="E194">
            <v>6.9782876093504006E-6</v>
          </cell>
          <cell r="F194">
            <v>1.393745330289179E-5</v>
          </cell>
        </row>
        <row r="195">
          <cell r="A195" t="str">
            <v>T_B_c-HYBDSL-S2</v>
          </cell>
          <cell r="B195" t="str">
            <v>VAR_fin</v>
          </cell>
          <cell r="C195" t="str">
            <v>TDSL</v>
          </cell>
          <cell r="E195">
            <v>5.9902583321967094E-5</v>
          </cell>
          <cell r="F195">
            <v>1.1684491831829753E-4</v>
          </cell>
        </row>
        <row r="196">
          <cell r="A196" t="str">
            <v>T_B_c-HYBDSL-S2</v>
          </cell>
          <cell r="B196" t="str">
            <v>VAR_ncap</v>
          </cell>
          <cell r="C196" t="str">
            <v>-</v>
          </cell>
          <cell r="E196">
            <v>1.74403080779741E-7</v>
          </cell>
          <cell r="F196">
            <v>1.66507655080846E-7</v>
          </cell>
        </row>
        <row r="197">
          <cell r="A197" t="str">
            <v>T_B_c-HYBDSL-S2</v>
          </cell>
          <cell r="B197" t="str">
            <v>VAR_cap</v>
          </cell>
          <cell r="C197" t="str">
            <v>-</v>
          </cell>
          <cell r="E197">
            <v>1.74403080779741E-7</v>
          </cell>
          <cell r="F197">
            <v>3.4091073586058698E-7</v>
          </cell>
          <cell r="G197">
            <v>2.8718524166929549E-9</v>
          </cell>
          <cell r="H197">
            <v>4.7012134566929429E-10</v>
          </cell>
        </row>
        <row r="198">
          <cell r="A198" t="str">
            <v>T_C-BATELCEXT</v>
          </cell>
          <cell r="B198" t="str">
            <v>VAR_fout</v>
          </cell>
          <cell r="C198" t="str">
            <v>TPCAR</v>
          </cell>
          <cell r="D198">
            <v>0.4161952402410789</v>
          </cell>
          <cell r="E198">
            <v>0.36069404078411477</v>
          </cell>
          <cell r="F198">
            <v>0.27745852682432481</v>
          </cell>
          <cell r="G198">
            <v>0.13873197025444498</v>
          </cell>
        </row>
        <row r="199">
          <cell r="A199" t="str">
            <v>T_C-BATELCEXT</v>
          </cell>
          <cell r="B199" t="str">
            <v>VAR_fin</v>
          </cell>
          <cell r="C199" t="str">
            <v>T-ELC-car</v>
          </cell>
          <cell r="D199">
            <v>0.46789165621339707</v>
          </cell>
          <cell r="E199">
            <v>0.37692229068119276</v>
          </cell>
          <cell r="F199">
            <v>0.26222448208682242</v>
          </cell>
          <cell r="G199">
            <v>0.11309558967420644</v>
          </cell>
        </row>
        <row r="200">
          <cell r="A200" t="str">
            <v>T_C-BATELCEXT</v>
          </cell>
          <cell r="B200" t="str">
            <v>VAR_cap</v>
          </cell>
          <cell r="C200" t="str">
            <v>-</v>
          </cell>
          <cell r="D200">
            <v>4.2039950158193756E-2</v>
          </cell>
          <cell r="E200">
            <v>3.6433719700162633E-2</v>
          </cell>
          <cell r="F200">
            <v>2.8026112769422799E-2</v>
          </cell>
          <cell r="G200">
            <v>1.40133333333333E-2</v>
          </cell>
        </row>
        <row r="201">
          <cell r="A201" t="str">
            <v>D-TDSL</v>
          </cell>
          <cell r="B201" t="str">
            <v>VAR_fout</v>
          </cell>
          <cell r="C201" t="str">
            <v>CO2</v>
          </cell>
          <cell r="D201">
            <v>8690.1721677835794</v>
          </cell>
          <cell r="E201">
            <v>8198.1275251718107</v>
          </cell>
          <cell r="F201">
            <v>7020.2720719319404</v>
          </cell>
          <cell r="G201">
            <v>4631.8102973919404</v>
          </cell>
          <cell r="H201">
            <v>2687.7104995947302</v>
          </cell>
          <cell r="I201">
            <v>1775.53109397457</v>
          </cell>
          <cell r="J201">
            <v>771.22258056024702</v>
          </cell>
          <cell r="K201">
            <v>1.9238268548375001E-2</v>
          </cell>
          <cell r="L201">
            <v>1.8125832548021699E-2</v>
          </cell>
          <cell r="M201">
            <v>2.8171811618156201E-2</v>
          </cell>
          <cell r="N201">
            <v>2.8589553819603999E-2</v>
          </cell>
          <cell r="O201">
            <v>4.7414608855113997E-2</v>
          </cell>
        </row>
        <row r="202">
          <cell r="A202" t="str">
            <v>D-TDSL</v>
          </cell>
          <cell r="B202" t="str">
            <v>VAR_fout</v>
          </cell>
          <cell r="C202" t="str">
            <v>TDSL</v>
          </cell>
          <cell r="D202">
            <v>116.81392206665456</v>
          </cell>
          <cell r="E202">
            <v>110.19982243483722</v>
          </cell>
          <cell r="F202">
            <v>94.367004342852368</v>
          </cell>
          <cell r="G202">
            <v>62.26112862445931</v>
          </cell>
          <cell r="H202">
            <v>36.128398698626121</v>
          </cell>
          <cell r="I202">
            <v>23.866817231466396</v>
          </cell>
          <cell r="J202">
            <v>10.366829641832773</v>
          </cell>
          <cell r="K202">
            <v>2.5860219562029934E-4</v>
          </cell>
          <cell r="L202">
            <v>2.4364875053998643E-4</v>
          </cell>
          <cell r="M202">
            <v>3.7868752693297956E-4</v>
          </cell>
          <cell r="N202">
            <v>3.8430284778298362E-4</v>
          </cell>
          <cell r="O202">
            <v>6.3735059751236615E-4</v>
          </cell>
        </row>
        <row r="203">
          <cell r="A203" t="str">
            <v>D-TDSL</v>
          </cell>
          <cell r="B203" t="str">
            <v>VAR_fin</v>
          </cell>
          <cell r="C203" t="str">
            <v>DSL</v>
          </cell>
          <cell r="D203">
            <v>118.55623694111289</v>
          </cell>
          <cell r="E203">
            <v>111.84348601871493</v>
          </cell>
          <cell r="F203">
            <v>95.774516670285593</v>
          </cell>
          <cell r="G203">
            <v>63.189772133587162</v>
          </cell>
          <cell r="H203">
            <v>36.66726466022839</v>
          </cell>
          <cell r="I203">
            <v>24.222798007838534</v>
          </cell>
          <cell r="J203">
            <v>10.521454032199836</v>
          </cell>
          <cell r="K203">
            <v>2.6245932535300153E-4</v>
          </cell>
          <cell r="L203">
            <v>2.4728284512990002E-4</v>
          </cell>
          <cell r="M203">
            <v>3.84335765595583E-4</v>
          </cell>
          <cell r="N203">
            <v>3.9003484064944143E-4</v>
          </cell>
          <cell r="O203">
            <v>6.4685687387604403E-4</v>
          </cell>
        </row>
        <row r="204">
          <cell r="A204" t="str">
            <v>T_B_c-HYBDSL-S3</v>
          </cell>
          <cell r="B204" t="str">
            <v>VAR_fout</v>
          </cell>
          <cell r="C204" t="str">
            <v>CO2_T</v>
          </cell>
          <cell r="E204">
            <v>2.5126895025523498E-3</v>
          </cell>
          <cell r="F204">
            <v>4.4702888265455206E-3</v>
          </cell>
        </row>
        <row r="205">
          <cell r="A205" t="str">
            <v>T_B_c-HYBDSL-S3</v>
          </cell>
          <cell r="B205" t="str">
            <v>VAR_fout</v>
          </cell>
          <cell r="C205" t="str">
            <v>TPBSc</v>
          </cell>
          <cell r="E205">
            <v>2.6818873690672128E-6</v>
          </cell>
          <cell r="F205">
            <v>4.8712415176732292E-6</v>
          </cell>
        </row>
        <row r="206">
          <cell r="A206" t="str">
            <v>T_B_c-HYBDSL-S3</v>
          </cell>
          <cell r="B206" t="str">
            <v>VAR_fin</v>
          </cell>
          <cell r="C206" t="str">
            <v>TDSL</v>
          </cell>
          <cell r="E206">
            <v>3.4279529366334887E-5</v>
          </cell>
          <cell r="F206">
            <v>6.0986205000620979E-5</v>
          </cell>
        </row>
        <row r="207">
          <cell r="A207" t="str">
            <v>T_B_c-HYBDSL-S3</v>
          </cell>
          <cell r="B207" t="str">
            <v>VAR_ncap</v>
          </cell>
          <cell r="C207" t="str">
            <v>-</v>
          </cell>
          <cell r="E207">
            <v>8.0701286296765002E-8</v>
          </cell>
          <cell r="F207">
            <v>6.72557342889753E-8</v>
          </cell>
        </row>
        <row r="208">
          <cell r="A208" t="str">
            <v>T_B_c-HYBDSL-S3</v>
          </cell>
          <cell r="B208" t="str">
            <v>VAR_cap</v>
          </cell>
          <cell r="C208" t="str">
            <v>-</v>
          </cell>
          <cell r="E208">
            <v>8.0701286296765002E-8</v>
          </cell>
          <cell r="F208">
            <v>1.4795702058574001E-7</v>
          </cell>
          <cell r="G208">
            <v>4.2000984616900609E-10</v>
          </cell>
        </row>
        <row r="209">
          <cell r="A209" t="str">
            <v>T-Bat-Car-STG_S1</v>
          </cell>
          <cell r="B209" t="str">
            <v>VAR_fout</v>
          </cell>
          <cell r="C209" t="str">
            <v>T-ELC-car-BatSTGAUXout_S1</v>
          </cell>
          <cell r="D209">
            <v>7.6448937905882431E-3</v>
          </cell>
          <cell r="E209">
            <v>1.4124461753850204E-2</v>
          </cell>
          <cell r="F209">
            <v>1.1250901813877822E-2</v>
          </cell>
          <cell r="G209">
            <v>0.56776858427386045</v>
          </cell>
          <cell r="H209">
            <v>1.4068743596877742</v>
          </cell>
          <cell r="I209">
            <v>1.6612343806213503</v>
          </cell>
          <cell r="J209">
            <v>2.1084494776960034</v>
          </cell>
          <cell r="K209">
            <v>2.1017789332612393</v>
          </cell>
          <cell r="L209">
            <v>1.9474017095954961</v>
          </cell>
          <cell r="M209">
            <v>1.7908898058309701</v>
          </cell>
          <cell r="N209">
            <v>1.8170141877764556</v>
          </cell>
          <cell r="O209">
            <v>1.8449180457165484</v>
          </cell>
        </row>
        <row r="210">
          <cell r="A210" t="str">
            <v>T-Bat-Car-STG_S1</v>
          </cell>
          <cell r="B210" t="str">
            <v>VAR_fout</v>
          </cell>
          <cell r="C210" t="str">
            <v>T-ELC-car-BatSTGOut_S1</v>
          </cell>
          <cell r="D210">
            <v>7.6448937905882405E-3</v>
          </cell>
          <cell r="E210">
            <v>1.4124461753850204E-2</v>
          </cell>
          <cell r="F210">
            <v>1.1250901813877822E-2</v>
          </cell>
          <cell r="G210">
            <v>0.56776858427386045</v>
          </cell>
          <cell r="H210">
            <v>1.4068743596877742</v>
          </cell>
          <cell r="I210">
            <v>1.6612343806213503</v>
          </cell>
          <cell r="J210">
            <v>2.1084494776960034</v>
          </cell>
          <cell r="K210">
            <v>2.1017789332612393</v>
          </cell>
          <cell r="L210">
            <v>1.9474017095954961</v>
          </cell>
          <cell r="M210">
            <v>1.790889805830969</v>
          </cell>
          <cell r="N210">
            <v>1.8170141877764556</v>
          </cell>
          <cell r="O210">
            <v>1.8449180457165482</v>
          </cell>
        </row>
        <row r="211">
          <cell r="A211" t="str">
            <v>T-Bat-Car-STG_S1</v>
          </cell>
          <cell r="B211" t="str">
            <v>VAR_fin</v>
          </cell>
          <cell r="C211" t="str">
            <v>T-ELC-car-BatSTGAUXin_S1</v>
          </cell>
          <cell r="D211">
            <v>7.6461432294064992E-3</v>
          </cell>
          <cell r="E211">
            <v>1.412925014386481E-2</v>
          </cell>
          <cell r="F211">
            <v>1.1258947876916088E-2</v>
          </cell>
          <cell r="G211">
            <v>0.56783137844203946</v>
          </cell>
          <cell r="H211">
            <v>1.4070217183351343</v>
          </cell>
          <cell r="I211">
            <v>1.6614062252769004</v>
          </cell>
          <cell r="J211">
            <v>2.1086689452809724</v>
          </cell>
          <cell r="K211">
            <v>2.1019989696239363</v>
          </cell>
          <cell r="L211">
            <v>1.9476018655760889</v>
          </cell>
          <cell r="M211">
            <v>1.7910765335321002</v>
          </cell>
          <cell r="N211">
            <v>1.817200797209839</v>
          </cell>
          <cell r="O211">
            <v>1.8451121336488132</v>
          </cell>
        </row>
        <row r="212">
          <cell r="A212" t="str">
            <v>T-Bat-Car-STG_S1</v>
          </cell>
          <cell r="B212" t="str">
            <v>VAR_fin</v>
          </cell>
          <cell r="C212" t="str">
            <v>T-ELC-car-BatSTGin_S1</v>
          </cell>
          <cell r="D212">
            <v>7.6461432294064992E-3</v>
          </cell>
          <cell r="E212">
            <v>1.412925014386481E-2</v>
          </cell>
          <cell r="F212">
            <v>1.1258947876916088E-2</v>
          </cell>
          <cell r="G212">
            <v>0.56783137844203946</v>
          </cell>
          <cell r="H212">
            <v>1.4070217183351343</v>
          </cell>
          <cell r="I212">
            <v>1.6614062252769004</v>
          </cell>
          <cell r="J212">
            <v>2.1086689452809724</v>
          </cell>
          <cell r="K212">
            <v>2.1019989696239363</v>
          </cell>
          <cell r="L212">
            <v>1.9476018655760889</v>
          </cell>
          <cell r="M212">
            <v>1.7910765335321002</v>
          </cell>
          <cell r="N212">
            <v>1.817200797209839</v>
          </cell>
          <cell r="O212">
            <v>1.8451121336488132</v>
          </cell>
        </row>
        <row r="213">
          <cell r="A213" t="str">
            <v>T-Bat-Car-STG_S1</v>
          </cell>
          <cell r="B213" t="str">
            <v>VAR_ncap</v>
          </cell>
          <cell r="C213" t="str">
            <v>-</v>
          </cell>
          <cell r="D213">
            <v>1.7550816005569899E-3</v>
          </cell>
          <cell r="E213">
            <v>4.6158883201164999E-2</v>
          </cell>
          <cell r="F213">
            <v>3.6468594150341802E-2</v>
          </cell>
          <cell r="G213">
            <v>11.464261530097801</v>
          </cell>
          <cell r="H213">
            <v>12.878512538782401</v>
          </cell>
          <cell r="I213">
            <v>9.8260270758544106</v>
          </cell>
          <cell r="J213">
            <v>10.8344744072201</v>
          </cell>
          <cell r="K213">
            <v>11.2219502593864</v>
          </cell>
          <cell r="L213">
            <v>9.1788261933104103</v>
          </cell>
          <cell r="M213">
            <v>9.0494469069838797</v>
          </cell>
          <cell r="N213">
            <v>8.8387233940158492</v>
          </cell>
          <cell r="O213">
            <v>7.1865045381892596</v>
          </cell>
        </row>
        <row r="214">
          <cell r="A214" t="str">
            <v>T-Bat-Car-STG_S1</v>
          </cell>
          <cell r="B214" t="str">
            <v>VAR_cap</v>
          </cell>
          <cell r="C214" t="str">
            <v>-</v>
          </cell>
          <cell r="D214">
            <v>1.7550816005569899E-3</v>
          </cell>
          <cell r="E214">
            <v>4.724833190583564E-2</v>
          </cell>
          <cell r="F214">
            <v>8.0485723513905941E-2</v>
          </cell>
          <cell r="G214">
            <v>10.936975485039564</v>
          </cell>
          <cell r="H214">
            <v>21.49213952837264</v>
          </cell>
          <cell r="I214">
            <v>25.923521246456829</v>
          </cell>
          <cell r="J214">
            <v>26.328220936574112</v>
          </cell>
          <cell r="K214">
            <v>25.911327116928245</v>
          </cell>
          <cell r="L214">
            <v>25.412772529107869</v>
          </cell>
          <cell r="M214">
            <v>25.14396420675466</v>
          </cell>
          <cell r="N214">
            <v>25.070907710114827</v>
          </cell>
          <cell r="O214">
            <v>25.074642340749843</v>
          </cell>
        </row>
        <row r="215">
          <cell r="A215" t="str">
            <v>T_B_c-HYBDSL-S4</v>
          </cell>
          <cell r="B215" t="str">
            <v>VAR_fout</v>
          </cell>
          <cell r="C215" t="str">
            <v>CO2_T</v>
          </cell>
          <cell r="E215">
            <v>2.2236467583659501E-4</v>
          </cell>
          <cell r="F215">
            <v>4.1427716951136502E-4</v>
          </cell>
        </row>
        <row r="216">
          <cell r="A216" t="str">
            <v>T_B_c-HYBDSL-S4</v>
          </cell>
          <cell r="B216" t="str">
            <v>VAR_fout</v>
          </cell>
          <cell r="C216" t="str">
            <v>TPBSc</v>
          </cell>
          <cell r="E216">
            <v>1.6002806027042661E-7</v>
          </cell>
          <cell r="F216">
            <v>3.0475709492690803E-7</v>
          </cell>
        </row>
        <row r="217">
          <cell r="A217" t="str">
            <v>T_B_c-HYBDSL-S4</v>
          </cell>
          <cell r="B217" t="str">
            <v>VAR_fin</v>
          </cell>
          <cell r="C217" t="str">
            <v>TDSL</v>
          </cell>
          <cell r="E217">
            <v>3.0336244998171209E-6</v>
          </cell>
          <cell r="F217">
            <v>5.6518031311236756E-6</v>
          </cell>
        </row>
        <row r="218">
          <cell r="A218" t="str">
            <v>T_B_c-HYBDSL-S4</v>
          </cell>
          <cell r="B218" t="str">
            <v>VAR_ncap</v>
          </cell>
          <cell r="C218" t="str">
            <v>-</v>
          </cell>
          <cell r="E218">
            <v>1.90922485856165E-8</v>
          </cell>
          <cell r="F218">
            <v>1.5649021124301999E-8</v>
          </cell>
        </row>
        <row r="219">
          <cell r="A219" t="str">
            <v>T_B_c-HYBDSL-S4</v>
          </cell>
          <cell r="B219" t="str">
            <v>VAR_cap</v>
          </cell>
          <cell r="C219" t="str">
            <v>-</v>
          </cell>
          <cell r="E219">
            <v>1.90922485856165E-8</v>
          </cell>
          <cell r="F219">
            <v>3.4741269709918499E-8</v>
          </cell>
          <cell r="G219">
            <v>1.192327927953201E-9</v>
          </cell>
        </row>
        <row r="220">
          <cell r="A220" t="str">
            <v>TFHGV-ICEDSLExt</v>
          </cell>
          <cell r="B220" t="str">
            <v>VAR_fout</v>
          </cell>
          <cell r="C220" t="str">
            <v>CO2_T</v>
          </cell>
          <cell r="D220">
            <v>1410.1749122569099</v>
          </cell>
          <cell r="E220">
            <v>865.17383615794904</v>
          </cell>
          <cell r="F220">
            <v>841.82055623684505</v>
          </cell>
          <cell r="G220">
            <v>362.469339686458</v>
          </cell>
        </row>
        <row r="221">
          <cell r="A221" t="str">
            <v>TFHGV-ICEDSLExt</v>
          </cell>
          <cell r="B221" t="str">
            <v>VAR_fout</v>
          </cell>
          <cell r="C221" t="str">
            <v>TFHGV</v>
          </cell>
          <cell r="D221">
            <v>1.5766575435063337</v>
          </cell>
          <cell r="E221">
            <v>0.99142324367096724</v>
          </cell>
          <cell r="F221">
            <v>0.99984892253714552</v>
          </cell>
          <cell r="G221">
            <v>0.43051286411719686</v>
          </cell>
        </row>
        <row r="222">
          <cell r="A222" t="str">
            <v>TFHGV-ICEDSLExt</v>
          </cell>
          <cell r="B222" t="str">
            <v>VAR_fin</v>
          </cell>
          <cell r="C222" t="str">
            <v>TDSL</v>
          </cell>
          <cell r="D222">
            <v>19.238402622877317</v>
          </cell>
          <cell r="E222">
            <v>11.803190124937924</v>
          </cell>
          <cell r="F222">
            <v>11.484591490270734</v>
          </cell>
          <cell r="G222">
            <v>4.9450114554769229</v>
          </cell>
        </row>
        <row r="223">
          <cell r="A223" t="str">
            <v>TFHGV-ICEDSLExt</v>
          </cell>
          <cell r="B223" t="str">
            <v>VAR_cap</v>
          </cell>
          <cell r="C223" t="str">
            <v>-</v>
          </cell>
          <cell r="D223">
            <v>2.9661993740810747E-2</v>
          </cell>
          <cell r="E223">
            <v>1.9774664166948973E-2</v>
          </cell>
          <cell r="F223">
            <v>1.9774666666666701E-2</v>
          </cell>
          <cell r="G223">
            <v>9.8873333333333296E-3</v>
          </cell>
        </row>
        <row r="224">
          <cell r="A224" t="str">
            <v>TPSHPGSLEXT</v>
          </cell>
          <cell r="B224" t="str">
            <v>VAR_fout</v>
          </cell>
          <cell r="C224" t="str">
            <v>TPSHP</v>
          </cell>
          <cell r="D224">
            <v>1.5951113482171899</v>
          </cell>
          <cell r="E224">
            <v>0.72178894548137695</v>
          </cell>
          <cell r="F224">
            <v>1.44711521233498</v>
          </cell>
          <cell r="G224">
            <v>1.9055660244956001</v>
          </cell>
          <cell r="H224">
            <v>1.90557135523778</v>
          </cell>
          <cell r="I224">
            <v>0.97226080946941895</v>
          </cell>
          <cell r="J224">
            <v>9.6641759943470004E-2</v>
          </cell>
        </row>
        <row r="225">
          <cell r="A225" t="str">
            <v>TPSHPGSLEXT</v>
          </cell>
          <cell r="B225" t="str">
            <v>VAR_fout</v>
          </cell>
          <cell r="C225" t="str">
            <v>CO2_T</v>
          </cell>
          <cell r="D225">
            <v>129.873812963153</v>
          </cell>
          <cell r="E225">
            <v>58.767986704559299</v>
          </cell>
          <cell r="F225">
            <v>117.82398177593301</v>
          </cell>
          <cell r="G225">
            <v>155.15100292583699</v>
          </cell>
          <cell r="H225">
            <v>155.15143695435401</v>
          </cell>
          <cell r="I225">
            <v>79.161381844323699</v>
          </cell>
          <cell r="J225">
            <v>7.8685628243797998</v>
          </cell>
        </row>
        <row r="226">
          <cell r="A226" t="str">
            <v>TPSHPGSLEXT</v>
          </cell>
          <cell r="B226" t="str">
            <v>VAR_fin</v>
          </cell>
          <cell r="C226" t="str">
            <v>TGSL</v>
          </cell>
          <cell r="D226">
            <v>1.759807763728358</v>
          </cell>
          <cell r="E226">
            <v>0.79631418298861101</v>
          </cell>
          <cell r="F226">
            <v>1.5965309183730765</v>
          </cell>
          <cell r="G226">
            <v>2.1023171128162268</v>
          </cell>
          <cell r="H226">
            <v>2.1023229939614421</v>
          </cell>
          <cell r="I226">
            <v>1.072647450465092</v>
          </cell>
          <cell r="J226">
            <v>0.10662009247127133</v>
          </cell>
        </row>
        <row r="227">
          <cell r="A227" t="str">
            <v>TPSHPGSLEXT</v>
          </cell>
          <cell r="B227" t="str">
            <v>VAR_ncap</v>
          </cell>
          <cell r="C227" t="str">
            <v>-</v>
          </cell>
          <cell r="D227">
            <v>3.0579120368846701E-7</v>
          </cell>
          <cell r="E227">
            <v>1.3483059887957201E-6</v>
          </cell>
          <cell r="F227">
            <v>2.1185735655171099E-6</v>
          </cell>
          <cell r="G227">
            <v>0.310457201843092</v>
          </cell>
          <cell r="H227">
            <v>6.8578259226706498E-6</v>
          </cell>
          <cell r="I227">
            <v>3.2296467441278898E-6</v>
          </cell>
          <cell r="J227">
            <v>1.6938563651009401E-6</v>
          </cell>
          <cell r="K227">
            <v>1.49699549473019E-6</v>
          </cell>
          <cell r="L227">
            <v>1.4040980284946099E-6</v>
          </cell>
          <cell r="M227">
            <v>1.70719541053818E-6</v>
          </cell>
          <cell r="N227">
            <v>9.7605124869886405E-7</v>
          </cell>
          <cell r="O227">
            <v>3.4032185617263801E-6</v>
          </cell>
        </row>
        <row r="228">
          <cell r="A228" t="str">
            <v>TPSHPGSLEXT</v>
          </cell>
          <cell r="B228" t="str">
            <v>VAR_cap</v>
          </cell>
          <cell r="C228" t="str">
            <v>-</v>
          </cell>
          <cell r="D228">
            <v>1.5951116540083936</v>
          </cell>
          <cell r="E228">
            <v>1.5951091374215289</v>
          </cell>
          <cell r="F228">
            <v>1.5951101387236672</v>
          </cell>
          <cell r="G228">
            <v>1.9055665057575919</v>
          </cell>
          <cell r="H228">
            <v>1.905571089029132</v>
          </cell>
          <cell r="I228">
            <v>0.97222918609689635</v>
          </cell>
          <cell r="J228">
            <v>9.6622001239345001E-2</v>
          </cell>
          <cell r="K228">
            <v>3.9378500496416889E-6</v>
          </cell>
          <cell r="L228">
            <v>3.3659407603628205E-6</v>
          </cell>
          <cell r="M228">
            <v>3.4866729285808504E-6</v>
          </cell>
          <cell r="N228">
            <v>2.6244574863084002E-6</v>
          </cell>
          <cell r="O228">
            <v>5.4023840233807001E-6</v>
          </cell>
        </row>
        <row r="229">
          <cell r="A229" t="str">
            <v>T-Bat-Car-STG_S2</v>
          </cell>
          <cell r="B229" t="str">
            <v>VAR_fout</v>
          </cell>
          <cell r="C229" t="str">
            <v>T-ELC-car-BatSTGAUXout_S2</v>
          </cell>
          <cell r="D229">
            <v>6.6179735501222275E-2</v>
          </cell>
          <cell r="E229">
            <v>0.10245141130447644</v>
          </cell>
          <cell r="F229">
            <v>1.0459207901278114</v>
          </cell>
          <cell r="G229">
            <v>5.8294798156657706</v>
          </cell>
          <cell r="H229">
            <v>11.202152496857838</v>
          </cell>
          <cell r="I229">
            <v>11.927629984867821</v>
          </cell>
          <cell r="J229">
            <v>11.54160198761312</v>
          </cell>
          <cell r="K229">
            <v>10.702556486779597</v>
          </cell>
          <cell r="L229">
            <v>10.272044461673596</v>
          </cell>
          <cell r="M229">
            <v>9.7163112593454493</v>
          </cell>
          <cell r="N229">
            <v>9.3446394987287853</v>
          </cell>
          <cell r="O229">
            <v>9.2583094045076457</v>
          </cell>
        </row>
        <row r="230">
          <cell r="A230" t="str">
            <v>T-Bat-Car-STG_S2</v>
          </cell>
          <cell r="B230" t="str">
            <v>VAR_fout</v>
          </cell>
          <cell r="C230" t="str">
            <v>T-ELC-car-BatSTGOut_S2</v>
          </cell>
          <cell r="D230">
            <v>6.6179735501222262E-2</v>
          </cell>
          <cell r="E230">
            <v>0.10245141130447642</v>
          </cell>
          <cell r="F230">
            <v>1.0459207901278111</v>
          </cell>
          <cell r="G230">
            <v>5.8294798156657706</v>
          </cell>
          <cell r="H230">
            <v>11.202152496857838</v>
          </cell>
          <cell r="I230">
            <v>11.927629984867819</v>
          </cell>
          <cell r="J230">
            <v>11.54160198761312</v>
          </cell>
          <cell r="K230">
            <v>10.702556486779596</v>
          </cell>
          <cell r="L230">
            <v>10.272044461673589</v>
          </cell>
          <cell r="M230">
            <v>9.7163112593454493</v>
          </cell>
          <cell r="N230">
            <v>9.3446394987287853</v>
          </cell>
          <cell r="O230">
            <v>9.2583094045076439</v>
          </cell>
        </row>
        <row r="231">
          <cell r="A231" t="str">
            <v>T-Bat-Car-STG_S2</v>
          </cell>
          <cell r="B231" t="str">
            <v>VAR_fin</v>
          </cell>
          <cell r="C231" t="str">
            <v>T-ELC-car-BatSTGAUXin_S2</v>
          </cell>
          <cell r="D231">
            <v>6.6186778290786452E-2</v>
          </cell>
          <cell r="E231">
            <v>0.1024649532401769</v>
          </cell>
          <cell r="F231">
            <v>1.0460315486194514</v>
          </cell>
          <cell r="G231">
            <v>5.8300670808543451</v>
          </cell>
          <cell r="H231">
            <v>11.203279625446237</v>
          </cell>
          <cell r="I231">
            <v>11.928827708716831</v>
          </cell>
          <cell r="J231">
            <v>11.542764585409081</v>
          </cell>
          <cell r="K231">
            <v>10.703635567512785</v>
          </cell>
          <cell r="L231">
            <v>10.273077248336419</v>
          </cell>
          <cell r="M231">
            <v>9.7172914816239953</v>
          </cell>
          <cell r="N231">
            <v>9.3455791598625222</v>
          </cell>
          <cell r="O231">
            <v>9.2592448906409146</v>
          </cell>
        </row>
        <row r="232">
          <cell r="A232" t="str">
            <v>T-Bat-Car-STG_S2</v>
          </cell>
          <cell r="B232" t="str">
            <v>VAR_fin</v>
          </cell>
          <cell r="C232" t="str">
            <v>T-ELC-car-BatSTGin_S2</v>
          </cell>
          <cell r="D232">
            <v>6.6186778290786452E-2</v>
          </cell>
          <cell r="E232">
            <v>0.1024649532401769</v>
          </cell>
          <cell r="F232">
            <v>1.0460315486194514</v>
          </cell>
          <cell r="G232">
            <v>5.8300670808543451</v>
          </cell>
          <cell r="H232">
            <v>11.203279625446237</v>
          </cell>
          <cell r="I232">
            <v>11.928827708716831</v>
          </cell>
          <cell r="J232">
            <v>11.542764585409081</v>
          </cell>
          <cell r="K232">
            <v>10.703635567512785</v>
          </cell>
          <cell r="L232">
            <v>10.273077248336419</v>
          </cell>
          <cell r="M232">
            <v>9.7172914816239953</v>
          </cell>
          <cell r="N232">
            <v>9.3455791598625222</v>
          </cell>
          <cell r="O232">
            <v>9.2592448906409146</v>
          </cell>
        </row>
        <row r="233">
          <cell r="A233" t="str">
            <v>T-Bat-Car-STG_S2</v>
          </cell>
          <cell r="B233" t="str">
            <v>VAR_ncap</v>
          </cell>
          <cell r="C233" t="str">
            <v>-</v>
          </cell>
          <cell r="D233">
            <v>9.3784816134303093E-3</v>
          </cell>
          <cell r="E233">
            <v>1.7662308417252099E-2</v>
          </cell>
          <cell r="F233">
            <v>14.9110963725721</v>
          </cell>
          <cell r="G233">
            <v>77.787657279487604</v>
          </cell>
          <cell r="H233">
            <v>169.68768057371099</v>
          </cell>
          <cell r="I233">
            <v>70.738168938815093</v>
          </cell>
          <cell r="J233">
            <v>88.048883851329904</v>
          </cell>
          <cell r="K233">
            <v>120.639656342303</v>
          </cell>
          <cell r="L233">
            <v>73.638530467580694</v>
          </cell>
          <cell r="M233">
            <v>79.966694318992893</v>
          </cell>
          <cell r="N233">
            <v>87.228995375579899</v>
          </cell>
          <cell r="O233">
            <v>60.241687521040902</v>
          </cell>
        </row>
        <row r="234">
          <cell r="A234" t="str">
            <v>T-Bat-Car-STG_S2</v>
          </cell>
          <cell r="B234" t="str">
            <v>VAR_cap</v>
          </cell>
          <cell r="C234" t="str">
            <v>-</v>
          </cell>
          <cell r="D234">
            <v>9.3784816134303093E-3</v>
          </cell>
          <cell r="E234">
            <v>2.6535033242640504E-2</v>
          </cell>
          <cell r="F234">
            <v>14.737476200882266</v>
          </cell>
          <cell r="G234">
            <v>86.700772599691703</v>
          </cell>
          <cell r="H234">
            <v>235.32957605206366</v>
          </cell>
          <cell r="I234">
            <v>252.04844876491171</v>
          </cell>
          <cell r="J234">
            <v>245.50434461329777</v>
          </cell>
          <cell r="K234">
            <v>234.20412129200085</v>
          </cell>
          <cell r="L234">
            <v>230.2761500921128</v>
          </cell>
          <cell r="M234">
            <v>227.82038188751062</v>
          </cell>
          <cell r="N234">
            <v>227.20567175848069</v>
          </cell>
          <cell r="O234">
            <v>227.43734442025288</v>
          </cell>
        </row>
        <row r="235">
          <cell r="A235" t="str">
            <v>T_TW-ICEGSL-S1</v>
          </cell>
          <cell r="B235" t="str">
            <v>VAR_fout</v>
          </cell>
          <cell r="C235" t="str">
            <v>CO2_T</v>
          </cell>
          <cell r="D235">
            <v>3.2710176000911404</v>
          </cell>
          <cell r="E235">
            <v>36.646039015185018</v>
          </cell>
          <cell r="F235">
            <v>37.079574119253003</v>
          </cell>
          <cell r="G235">
            <v>45.938339262197154</v>
          </cell>
          <cell r="H235">
            <v>62.651626028553025</v>
          </cell>
          <cell r="I235">
            <v>66.109931790038871</v>
          </cell>
          <cell r="J235">
            <v>67.0718672593039</v>
          </cell>
          <cell r="K235">
            <v>28.458397573070869</v>
          </cell>
          <cell r="L235">
            <v>10.781919174167447</v>
          </cell>
          <cell r="M235">
            <v>0.11641863756684359</v>
          </cell>
          <cell r="N235">
            <v>0.12681751073005615</v>
          </cell>
          <cell r="O235">
            <v>0.2468127792595215</v>
          </cell>
        </row>
        <row r="236">
          <cell r="A236" t="str">
            <v>T_TW-ICEGSL-S1</v>
          </cell>
          <cell r="B236" t="str">
            <v>VAR_fout</v>
          </cell>
          <cell r="C236" t="str">
            <v>TPTWL</v>
          </cell>
          <cell r="D236">
            <v>8.4562614414817314E-2</v>
          </cell>
          <cell r="E236">
            <v>0.95540902301358299</v>
          </cell>
          <cell r="F236">
            <v>0.96688037077921807</v>
          </cell>
          <cell r="G236">
            <v>1.215512021247688</v>
          </cell>
          <cell r="H236">
            <v>1.7276866639499642</v>
          </cell>
          <cell r="I236">
            <v>1.842428569021241</v>
          </cell>
          <cell r="J236">
            <v>1.9103713351203484</v>
          </cell>
          <cell r="K236">
            <v>0.82245168358275611</v>
          </cell>
          <cell r="L236">
            <v>0.31277279630036875</v>
          </cell>
          <cell r="M236">
            <v>3.4519837905539787E-3</v>
          </cell>
          <cell r="N236">
            <v>3.7603256707690394E-3</v>
          </cell>
          <cell r="O236">
            <v>7.3183618285882959E-3</v>
          </cell>
        </row>
        <row r="237">
          <cell r="A237" t="str">
            <v>T_TW-ICEGSL-S1</v>
          </cell>
          <cell r="B237" t="str">
            <v>VAR_fin</v>
          </cell>
          <cell r="C237" t="str">
            <v>TGSL</v>
          </cell>
          <cell r="D237">
            <v>4.4322731708552075E-2</v>
          </cell>
          <cell r="E237">
            <v>0.49655879424369981</v>
          </cell>
          <cell r="F237">
            <v>0.5024332536484144</v>
          </cell>
          <cell r="G237">
            <v>0.6224707217099873</v>
          </cell>
          <cell r="H237">
            <v>0.84893802206711444</v>
          </cell>
          <cell r="I237">
            <v>0.89579853374036378</v>
          </cell>
          <cell r="J237">
            <v>0.90883288969246379</v>
          </cell>
          <cell r="K237">
            <v>0.38561514326654356</v>
          </cell>
          <cell r="L237">
            <v>0.14609646577462662</v>
          </cell>
          <cell r="M237">
            <v>1.5774883139138699E-3</v>
          </cell>
          <cell r="N237">
            <v>1.7183944543368039E-3</v>
          </cell>
          <cell r="O237">
            <v>3.3443466024325368E-3</v>
          </cell>
        </row>
        <row r="238">
          <cell r="A238" t="str">
            <v>T_TW-ICEGSL-S1</v>
          </cell>
          <cell r="B238" t="str">
            <v>VAR_ncap</v>
          </cell>
          <cell r="C238" t="str">
            <v>-</v>
          </cell>
          <cell r="E238">
            <v>0.295868501025009</v>
          </cell>
          <cell r="F238">
            <v>3.9678480658445802E-3</v>
          </cell>
          <cell r="G238">
            <v>0.163367543383135</v>
          </cell>
          <cell r="H238">
            <v>0.52010236256533804</v>
          </cell>
          <cell r="I238">
            <v>0.1848871744011</v>
          </cell>
          <cell r="J238">
            <v>0.33268395625880998</v>
          </cell>
          <cell r="K238">
            <v>4.87209442877866E-4</v>
          </cell>
          <cell r="L238">
            <v>5.5969315858984297E-4</v>
          </cell>
          <cell r="M238">
            <v>7.6243263160227499E-4</v>
          </cell>
          <cell r="N238">
            <v>8.7990874995768102E-4</v>
          </cell>
          <cell r="O238">
            <v>1.9654316794406501E-3</v>
          </cell>
        </row>
        <row r="239">
          <cell r="A239" t="str">
            <v>T_TW-ICEGSL-S1</v>
          </cell>
          <cell r="B239" t="str">
            <v>VAR_cap</v>
          </cell>
          <cell r="C239" t="str">
            <v>-</v>
          </cell>
          <cell r="D239">
            <v>2.9121858522126492E-2</v>
          </cell>
          <cell r="E239">
            <v>0.32884135602495129</v>
          </cell>
          <cell r="F239">
            <v>0.33280908951674659</v>
          </cell>
          <cell r="G239">
            <v>0.44185098535087625</v>
          </cell>
          <cell r="H239">
            <v>0.68550271634949</v>
          </cell>
          <cell r="I239">
            <v>0.73929611609910695</v>
          </cell>
          <cell r="J239">
            <v>0.78724983044838615</v>
          </cell>
          <cell r="K239">
            <v>0.39632790322367367</v>
          </cell>
          <cell r="L239">
            <v>0.15069157641150693</v>
          </cell>
          <cell r="M239">
            <v>1.5714991183765996E-3</v>
          </cell>
          <cell r="N239">
            <v>1.7413441446556988E-3</v>
          </cell>
          <cell r="O239">
            <v>3.3592389106411121E-3</v>
          </cell>
        </row>
        <row r="240">
          <cell r="A240" t="str">
            <v>TPSHPDSLEXT</v>
          </cell>
          <cell r="B240" t="str">
            <v>VAR_fout</v>
          </cell>
          <cell r="C240" t="str">
            <v>TPSHP</v>
          </cell>
          <cell r="D240">
            <v>17.176521919007701</v>
          </cell>
          <cell r="E240">
            <v>17.176524603792402</v>
          </cell>
          <cell r="F240">
            <v>15.577838190729301</v>
          </cell>
          <cell r="G240">
            <v>14.2457138899826</v>
          </cell>
          <cell r="H240">
            <v>13.712707378861399</v>
          </cell>
          <cell r="I240">
            <v>10.398867278228201</v>
          </cell>
          <cell r="J240">
            <v>4.7098572249058499</v>
          </cell>
          <cell r="K240">
            <v>2.0189537816122498</v>
          </cell>
          <cell r="L240">
            <v>2.0189503818585401</v>
          </cell>
          <cell r="M240">
            <v>2.0189536488702</v>
          </cell>
          <cell r="N240">
            <v>2.01895295746922</v>
          </cell>
          <cell r="O240">
            <v>2.0189529708787899</v>
          </cell>
        </row>
        <row r="241">
          <cell r="A241" t="str">
            <v>TPSHPDSLEXT</v>
          </cell>
          <cell r="B241" t="str">
            <v>VAR_fout</v>
          </cell>
          <cell r="C241" t="str">
            <v>CO2_T</v>
          </cell>
          <cell r="D241">
            <v>1273.9831592043399</v>
          </cell>
          <cell r="E241">
            <v>1273.9833583349</v>
          </cell>
          <cell r="F241">
            <v>1155.4087378910899</v>
          </cell>
          <cell r="G241">
            <v>1056.6050375191201</v>
          </cell>
          <cell r="H241">
            <v>1017.0719281902</v>
          </cell>
          <cell r="I241">
            <v>771.28430596903002</v>
          </cell>
          <cell r="J241">
            <v>349.33025527985097</v>
          </cell>
          <cell r="K241">
            <v>149.745864099507</v>
          </cell>
          <cell r="L241">
            <v>149.745611939669</v>
          </cell>
          <cell r="M241">
            <v>149.74585425402501</v>
          </cell>
          <cell r="N241">
            <v>149.745802972793</v>
          </cell>
          <cell r="O241">
            <v>149.74580396738</v>
          </cell>
        </row>
        <row r="242">
          <cell r="A242" t="str">
            <v>TPSHPDSLEXT</v>
          </cell>
          <cell r="B242" t="str">
            <v>VAR_fin</v>
          </cell>
          <cell r="C242" t="str">
            <v>TDSL</v>
          </cell>
          <cell r="D242">
            <v>17.38039780633471</v>
          </cell>
          <cell r="E242">
            <v>17.380400522986399</v>
          </cell>
          <cell r="F242">
            <v>15.762738579687504</v>
          </cell>
          <cell r="G242">
            <v>14.414802694667415</v>
          </cell>
          <cell r="H242">
            <v>13.875469688815871</v>
          </cell>
          <cell r="I242">
            <v>10.522296125089154</v>
          </cell>
          <cell r="J242">
            <v>4.765760645018454</v>
          </cell>
          <cell r="K242">
            <v>2.0429176548363843</v>
          </cell>
          <cell r="L242">
            <v>2.042914214729453</v>
          </cell>
          <cell r="M242">
            <v>2.0429175205187526</v>
          </cell>
          <cell r="N242">
            <v>2.0429168209112349</v>
          </cell>
          <cell r="O242">
            <v>2.0429168344799642</v>
          </cell>
        </row>
        <row r="243">
          <cell r="A243" t="str">
            <v>TPSHPDSLEXT</v>
          </cell>
          <cell r="B243" t="str">
            <v>VAR_ncap</v>
          </cell>
          <cell r="C243" t="str">
            <v>-</v>
          </cell>
          <cell r="D243">
            <v>4.1773060180008501E-7</v>
          </cell>
          <cell r="E243">
            <v>3.3148658896208799E-6</v>
          </cell>
          <cell r="F243">
            <v>1.09981706425098E-6</v>
          </cell>
          <cell r="G243">
            <v>2.1147875770898399E-6</v>
          </cell>
          <cell r="H243">
            <v>1.9707424816123399E-6</v>
          </cell>
          <cell r="I243">
            <v>4.7098430581471797</v>
          </cell>
          <cell r="J243">
            <v>2.6375726522156201E-6</v>
          </cell>
          <cell r="K243">
            <v>2.3584983635003602E-6</v>
          </cell>
          <cell r="L243">
            <v>2.6897823607464401E-5</v>
          </cell>
          <cell r="M243">
            <v>2.01889422607998</v>
          </cell>
          <cell r="N243">
            <v>1.79055473632461E-5</v>
          </cell>
          <cell r="O243">
            <v>6.6264942065771703E-6</v>
          </cell>
        </row>
        <row r="244">
          <cell r="A244" t="str">
            <v>TPSHPDSLEXT</v>
          </cell>
          <cell r="B244" t="str">
            <v>VAR_cap</v>
          </cell>
          <cell r="C244" t="str">
            <v>-</v>
          </cell>
          <cell r="D244">
            <v>17.176522336738302</v>
          </cell>
          <cell r="E244">
            <v>17.176524860743321</v>
          </cell>
          <cell r="F244">
            <v>15.577839035643477</v>
          </cell>
          <cell r="G244">
            <v>14.245714052854833</v>
          </cell>
          <cell r="H244">
            <v>13.712709981143215</v>
          </cell>
          <cell r="I244">
            <v>10.398862548809959</v>
          </cell>
          <cell r="J244">
            <v>4.7098439477515024</v>
          </cell>
          <cell r="K244">
            <v>2.3272680589167503</v>
          </cell>
          <cell r="L244">
            <v>2.0189462107753702</v>
          </cell>
          <cell r="M244">
            <v>2.0189214776509541</v>
          </cell>
          <cell r="N244">
            <v>2.018935769758393</v>
          </cell>
          <cell r="O244">
            <v>2.01893310949586</v>
          </cell>
        </row>
        <row r="245">
          <cell r="A245" t="str">
            <v>T-Bat-Car-STG_S3</v>
          </cell>
          <cell r="B245" t="str">
            <v>VAR_fout</v>
          </cell>
          <cell r="C245" t="str">
            <v>T-ELC-car-BatSTGAUXout_S3</v>
          </cell>
          <cell r="D245">
            <v>4.5968750004067152E-2</v>
          </cell>
          <cell r="E245">
            <v>9.4541807463161612E-2</v>
          </cell>
          <cell r="F245">
            <v>9.7666602762330759E-2</v>
          </cell>
          <cell r="G245">
            <v>9.6157316928668315E-2</v>
          </cell>
          <cell r="H245">
            <v>0.91623442452376325</v>
          </cell>
          <cell r="I245">
            <v>4.2190359855682003</v>
          </cell>
          <cell r="J245">
            <v>3.9876311930650985</v>
          </cell>
          <cell r="K245">
            <v>8.1026878675213521</v>
          </cell>
          <cell r="L245">
            <v>8.703509612989949</v>
          </cell>
          <cell r="M245">
            <v>9.9464602574186038</v>
          </cell>
          <cell r="N245">
            <v>13.322167697989652</v>
          </cell>
          <cell r="O245">
            <v>11.021332214617338</v>
          </cell>
        </row>
        <row r="246">
          <cell r="A246" t="str">
            <v>T-Bat-Car-STG_S3</v>
          </cell>
          <cell r="B246" t="str">
            <v>VAR_fout</v>
          </cell>
          <cell r="C246" t="str">
            <v>T-ELC-car-BatSTGOut_S3</v>
          </cell>
          <cell r="D246">
            <v>4.5968750004067152E-2</v>
          </cell>
          <cell r="E246">
            <v>9.4541807463161598E-2</v>
          </cell>
          <cell r="F246">
            <v>9.7666602762330759E-2</v>
          </cell>
          <cell r="G246">
            <v>9.6157316928668288E-2</v>
          </cell>
          <cell r="H246">
            <v>0.91623442452376302</v>
          </cell>
          <cell r="I246">
            <v>4.2190359855681994</v>
          </cell>
          <cell r="J246">
            <v>3.9876311930650985</v>
          </cell>
          <cell r="K246">
            <v>8.1026878675213503</v>
          </cell>
          <cell r="L246">
            <v>8.703509612989949</v>
          </cell>
          <cell r="M246">
            <v>9.9464602574186038</v>
          </cell>
          <cell r="N246">
            <v>13.32216769798965</v>
          </cell>
          <cell r="O246">
            <v>11.021332214617336</v>
          </cell>
        </row>
        <row r="247">
          <cell r="A247" t="str">
            <v>T-Bat-Car-STG_S3</v>
          </cell>
          <cell r="B247" t="str">
            <v>VAR_fin</v>
          </cell>
          <cell r="C247" t="str">
            <v>T-ELC-car-BatSTGAUXin_S3</v>
          </cell>
          <cell r="D247">
            <v>4.5973678561565826E-2</v>
          </cell>
          <cell r="E247">
            <v>9.4554558359348298E-2</v>
          </cell>
          <cell r="F247">
            <v>9.7682506671691385E-2</v>
          </cell>
          <cell r="G247">
            <v>9.6171200279634439E-2</v>
          </cell>
          <cell r="H247">
            <v>0.91633193887050535</v>
          </cell>
          <cell r="I247">
            <v>4.2194627306293473</v>
          </cell>
          <cell r="J247">
            <v>3.9880383292116734</v>
          </cell>
          <cell r="K247">
            <v>8.103506306009411</v>
          </cell>
          <cell r="L247">
            <v>8.7043855172786753</v>
          </cell>
          <cell r="M247">
            <v>9.9474634908268289</v>
          </cell>
          <cell r="N247">
            <v>13.32350516695498</v>
          </cell>
          <cell r="O247">
            <v>11.02244400878687</v>
          </cell>
        </row>
        <row r="248">
          <cell r="A248" t="str">
            <v>T-Bat-Car-STG_S3</v>
          </cell>
          <cell r="B248" t="str">
            <v>VAR_fin</v>
          </cell>
          <cell r="C248" t="str">
            <v>T-ELC-car-BatSTGin_S3</v>
          </cell>
          <cell r="D248">
            <v>4.5973678561565826E-2</v>
          </cell>
          <cell r="E248">
            <v>9.4554558359348298E-2</v>
          </cell>
          <cell r="F248">
            <v>9.7682506671691385E-2</v>
          </cell>
          <cell r="G248">
            <v>9.6171200279634439E-2</v>
          </cell>
          <cell r="H248">
            <v>0.91633193887050535</v>
          </cell>
          <cell r="I248">
            <v>4.2194627306293473</v>
          </cell>
          <cell r="J248">
            <v>3.9880383292116734</v>
          </cell>
          <cell r="K248">
            <v>8.103506306009411</v>
          </cell>
          <cell r="L248">
            <v>8.7043855172786753</v>
          </cell>
          <cell r="M248">
            <v>9.9474634908268289</v>
          </cell>
          <cell r="N248">
            <v>13.32350516695498</v>
          </cell>
          <cell r="O248">
            <v>11.02244400878687</v>
          </cell>
        </row>
        <row r="249">
          <cell r="A249" t="str">
            <v>T-Bat-Car-STG_S3</v>
          </cell>
          <cell r="B249" t="str">
            <v>VAR_ncap</v>
          </cell>
          <cell r="C249" t="str">
            <v>-</v>
          </cell>
          <cell r="D249">
            <v>7.3340812643126804E-3</v>
          </cell>
          <cell r="E249">
            <v>0.41891530072198602</v>
          </cell>
          <cell r="F249">
            <v>0.10246734748136201</v>
          </cell>
          <cell r="G249">
            <v>1.4234688609162899E-2</v>
          </cell>
          <cell r="H249">
            <v>8.8155575215511295</v>
          </cell>
          <cell r="I249">
            <v>54.878685929034503</v>
          </cell>
          <cell r="J249">
            <v>4.0933189375356296</v>
          </cell>
          <cell r="K249">
            <v>86.865055382113496</v>
          </cell>
          <cell r="L249">
            <v>53.894456582911097</v>
          </cell>
          <cell r="M249">
            <v>75.898762458031698</v>
          </cell>
          <cell r="N249">
            <v>193.87129142099701</v>
          </cell>
          <cell r="O249">
            <v>1.9466696684690699E-2</v>
          </cell>
        </row>
        <row r="250">
          <cell r="A250" t="str">
            <v>T-Bat-Car-STG_S3</v>
          </cell>
          <cell r="B250" t="str">
            <v>VAR_cap</v>
          </cell>
          <cell r="C250" t="str">
            <v>-</v>
          </cell>
          <cell r="D250">
            <v>7.3340812643126804E-3</v>
          </cell>
          <cell r="E250">
            <v>0.42045965789153789</v>
          </cell>
          <cell r="F250">
            <v>0.49724723813855159</v>
          </cell>
          <cell r="G250">
            <v>0.41997704051014806</v>
          </cell>
          <cell r="H250">
            <v>8.8100767735632033</v>
          </cell>
          <cell r="I250">
            <v>60.898086696171234</v>
          </cell>
          <cell r="J250">
            <v>53.991087604676082</v>
          </cell>
          <cell r="K250">
            <v>121.4091977160878</v>
          </cell>
          <cell r="L250">
            <v>135.33164892868609</v>
          </cell>
          <cell r="M250">
            <v>183.28760382096451</v>
          </cell>
          <cell r="N250">
            <v>313.63397076679001</v>
          </cell>
          <cell r="O250">
            <v>269.78948102790366</v>
          </cell>
        </row>
        <row r="251">
          <cell r="A251" t="str">
            <v>T_TW-ICEGSL-S2</v>
          </cell>
          <cell r="B251" t="str">
            <v>VAR_fout</v>
          </cell>
          <cell r="C251" t="str">
            <v>CO2_T</v>
          </cell>
          <cell r="D251">
            <v>8.2991048629240503</v>
          </cell>
          <cell r="E251">
            <v>12.021366413917736</v>
          </cell>
          <cell r="F251">
            <v>11.418656003173183</v>
          </cell>
          <cell r="G251">
            <v>7.4637550512942941</v>
          </cell>
          <cell r="H251">
            <v>0.70952255563036903</v>
          </cell>
          <cell r="I251">
            <v>1.4794573456422141E-2</v>
          </cell>
          <cell r="J251">
            <v>1.638046818206973E-2</v>
          </cell>
          <cell r="K251">
            <v>1.6954028157545768E-2</v>
          </cell>
          <cell r="L251">
            <v>1.6039419678254369E-2</v>
          </cell>
          <cell r="M251">
            <v>2.051689447776513E-2</v>
          </cell>
          <cell r="N251">
            <v>1.9938708247733139E-2</v>
          </cell>
          <cell r="O251">
            <v>3.0922109578037423E-2</v>
          </cell>
        </row>
        <row r="252">
          <cell r="A252" t="str">
            <v>T_TW-ICEGSL-S2</v>
          </cell>
          <cell r="B252" t="str">
            <v>VAR_fout</v>
          </cell>
          <cell r="C252" t="str">
            <v>TPTWL</v>
          </cell>
          <cell r="D252">
            <v>0.12401010364998809</v>
          </cell>
          <cell r="E252">
            <v>0.17987953380577043</v>
          </cell>
          <cell r="F252">
            <v>0.1708710658556567</v>
          </cell>
          <cell r="G252">
            <v>0.11171109557093158</v>
          </cell>
          <cell r="H252">
            <v>1.0659728458979027E-2</v>
          </cell>
          <cell r="I252">
            <v>2.3715567006912463E-4</v>
          </cell>
          <cell r="J252">
            <v>2.6774496025192874E-4</v>
          </cell>
          <cell r="K252">
            <v>2.8294705557548548E-4</v>
          </cell>
          <cell r="L252">
            <v>2.7183888123456546E-4</v>
          </cell>
          <cell r="M252">
            <v>3.4961508593245495E-4</v>
          </cell>
          <cell r="N252">
            <v>3.39762589556034E-4</v>
          </cell>
          <cell r="O252">
            <v>5.269236047908913E-4</v>
          </cell>
        </row>
        <row r="253">
          <cell r="A253" t="str">
            <v>T_TW-ICEGSL-S2</v>
          </cell>
          <cell r="B253" t="str">
            <v>VAR_fin</v>
          </cell>
          <cell r="C253" t="str">
            <v>TGSL</v>
          </cell>
          <cell r="D253">
            <v>0.11245399543257506</v>
          </cell>
          <cell r="E253">
            <v>0.1628911438200234</v>
          </cell>
          <cell r="F253">
            <v>0.15472433608635766</v>
          </cell>
          <cell r="G253">
            <v>0.10113489229396046</v>
          </cell>
          <cell r="H253">
            <v>9.6141267700592184E-3</v>
          </cell>
          <cell r="I253">
            <v>2.0046847501927026E-4</v>
          </cell>
          <cell r="J253">
            <v>2.2195756344267945E-4</v>
          </cell>
          <cell r="K253">
            <v>2.2972937882853367E-4</v>
          </cell>
          <cell r="L253">
            <v>2.1733631000344682E-4</v>
          </cell>
          <cell r="M253">
            <v>2.7800670024071971E-4</v>
          </cell>
          <cell r="N253">
            <v>2.7017219847876896E-4</v>
          </cell>
          <cell r="O253">
            <v>4.1899877477015441E-4</v>
          </cell>
        </row>
        <row r="254">
          <cell r="A254" t="str">
            <v>T_TW-ICEGSL-S2</v>
          </cell>
          <cell r="B254" t="str">
            <v>VAR_ncap</v>
          </cell>
          <cell r="C254" t="str">
            <v>-</v>
          </cell>
          <cell r="E254">
            <v>2.6862831648275099E-5</v>
          </cell>
          <cell r="F254">
            <v>2.7667644197136801E-5</v>
          </cell>
          <cell r="G254">
            <v>3.18015252591636E-5</v>
          </cell>
          <cell r="H254">
            <v>3.7946275600294402E-5</v>
          </cell>
          <cell r="I254">
            <v>3.6914938716982102E-5</v>
          </cell>
          <cell r="J254">
            <v>3.93372126332457E-5</v>
          </cell>
          <cell r="K254">
            <v>4.0507872759588799E-5</v>
          </cell>
          <cell r="L254">
            <v>4.5568707484355898E-5</v>
          </cell>
          <cell r="M254">
            <v>5.8501915993936403E-5</v>
          </cell>
          <cell r="N254">
            <v>6.0845995911083003E-5</v>
          </cell>
          <cell r="O254">
            <v>9.7804397089210405E-5</v>
          </cell>
        </row>
        <row r="255">
          <cell r="A255" t="str">
            <v>T_TW-ICEGSL-S2</v>
          </cell>
          <cell r="B255" t="str">
            <v>VAR_cap</v>
          </cell>
          <cell r="C255" t="str">
            <v>-</v>
          </cell>
          <cell r="D255">
            <v>4.2720797534584479E-2</v>
          </cell>
          <cell r="E255">
            <v>6.1916538442957803E-2</v>
          </cell>
          <cell r="F255">
            <v>6.1944218254450872E-2</v>
          </cell>
          <cell r="G255">
            <v>5.3680220744481366E-2</v>
          </cell>
          <cell r="H255">
            <v>5.0754310237825732E-3</v>
          </cell>
          <cell r="I255">
            <v>9.4360807630924185E-5</v>
          </cell>
          <cell r="J255">
            <v>1.0820029862211236E-4</v>
          </cell>
          <cell r="K255">
            <v>1.1664892006864596E-4</v>
          </cell>
          <cell r="L255">
            <v>1.1479247478697916E-4</v>
          </cell>
          <cell r="M255">
            <v>1.4441476861009741E-4</v>
          </cell>
          <cell r="N255">
            <v>1.4290228411271101E-4</v>
          </cell>
          <cell r="O255">
            <v>2.1694931331924289E-4</v>
          </cell>
        </row>
        <row r="256">
          <cell r="A256" t="str">
            <v>T-Bat-Car-STG_S4</v>
          </cell>
          <cell r="B256" t="str">
            <v>VAR_fout</v>
          </cell>
          <cell r="C256" t="str">
            <v>T-ELC-car-BatSTGAUXout_S4</v>
          </cell>
          <cell r="D256">
            <v>0.1494869457215513</v>
          </cell>
          <cell r="E256">
            <v>0.97815586724305659</v>
          </cell>
          <cell r="F256">
            <v>2.5976094582133538</v>
          </cell>
          <cell r="G256">
            <v>9.8570170035534765</v>
          </cell>
          <cell r="H256">
            <v>15.639941857231168</v>
          </cell>
          <cell r="I256">
            <v>16.615706779516611</v>
          </cell>
          <cell r="J256">
            <v>16.309846532245615</v>
          </cell>
          <cell r="K256">
            <v>15.840561045431496</v>
          </cell>
          <cell r="L256">
            <v>14.233516145159367</v>
          </cell>
          <cell r="M256">
            <v>11.930354551071236</v>
          </cell>
          <cell r="N256">
            <v>7.68416326844007</v>
          </cell>
          <cell r="O256">
            <v>10.196579739692957</v>
          </cell>
        </row>
        <row r="257">
          <cell r="A257" t="str">
            <v>T-Bat-Car-STG_S4</v>
          </cell>
          <cell r="B257" t="str">
            <v>VAR_fout</v>
          </cell>
          <cell r="C257" t="str">
            <v>T-ELC-car-BatSTGOut_S4</v>
          </cell>
          <cell r="D257">
            <v>0.1494869457215513</v>
          </cell>
          <cell r="E257">
            <v>0.97815586724305648</v>
          </cell>
          <cell r="F257">
            <v>2.5976094582133533</v>
          </cell>
          <cell r="G257">
            <v>9.8570170035534748</v>
          </cell>
          <cell r="H257">
            <v>15.639941857231168</v>
          </cell>
          <cell r="I257">
            <v>16.615706779516607</v>
          </cell>
          <cell r="J257">
            <v>16.309846532245615</v>
          </cell>
          <cell r="K257">
            <v>15.840561045431496</v>
          </cell>
          <cell r="L257">
            <v>14.233516145159363</v>
          </cell>
          <cell r="M257">
            <v>11.930354551071236</v>
          </cell>
          <cell r="N257">
            <v>7.6841632684400691</v>
          </cell>
          <cell r="O257">
            <v>10.196579739692957</v>
          </cell>
        </row>
        <row r="258">
          <cell r="A258" t="str">
            <v>T-Bat-Car-STG_S4</v>
          </cell>
          <cell r="B258" t="str">
            <v>VAR_fin</v>
          </cell>
          <cell r="C258" t="str">
            <v>T-ELC-car-BatSTGAUXin_S4</v>
          </cell>
          <cell r="D258">
            <v>0.1495021921687045</v>
          </cell>
          <cell r="E258">
            <v>0.97825699101594088</v>
          </cell>
          <cell r="F258">
            <v>2.5978753932177057</v>
          </cell>
          <cell r="G258">
            <v>9.8580070862927194</v>
          </cell>
          <cell r="H258">
            <v>15.641511952258465</v>
          </cell>
          <cell r="I258">
            <v>16.617373309102948</v>
          </cell>
          <cell r="J258">
            <v>16.3114860184535</v>
          </cell>
          <cell r="K258">
            <v>15.842153352439759</v>
          </cell>
          <cell r="L258">
            <v>14.234944553791824</v>
          </cell>
          <cell r="M258">
            <v>11.931556157851917</v>
          </cell>
          <cell r="N258">
            <v>7.6849369179372689</v>
          </cell>
          <cell r="O258">
            <v>10.19760905382743</v>
          </cell>
        </row>
        <row r="259">
          <cell r="A259" t="str">
            <v>T-Bat-Car-STG_S4</v>
          </cell>
          <cell r="B259" t="str">
            <v>VAR_fin</v>
          </cell>
          <cell r="C259" t="str">
            <v>T-ELC-car-BatSTGin_S4</v>
          </cell>
          <cell r="D259">
            <v>0.1495021921687045</v>
          </cell>
          <cell r="E259">
            <v>0.97825699101594088</v>
          </cell>
          <cell r="F259">
            <v>2.5978753932177057</v>
          </cell>
          <cell r="G259">
            <v>9.8580070862927194</v>
          </cell>
          <cell r="H259">
            <v>15.641511952258465</v>
          </cell>
          <cell r="I259">
            <v>16.617373309102948</v>
          </cell>
          <cell r="J259">
            <v>16.3114860184535</v>
          </cell>
          <cell r="K259">
            <v>15.842153352439759</v>
          </cell>
          <cell r="L259">
            <v>14.234944553791824</v>
          </cell>
          <cell r="M259">
            <v>11.931556157851917</v>
          </cell>
          <cell r="N259">
            <v>7.6849369179372689</v>
          </cell>
          <cell r="O259">
            <v>10.19760905382743</v>
          </cell>
        </row>
        <row r="260">
          <cell r="A260" t="str">
            <v>T-Bat-Car-STG_S4</v>
          </cell>
          <cell r="B260" t="str">
            <v>VAR_ncap</v>
          </cell>
          <cell r="C260" t="str">
            <v>-</v>
          </cell>
          <cell r="D260">
            <v>2.22333468685884E-2</v>
          </cell>
          <cell r="E260">
            <v>11.6045974504675</v>
          </cell>
          <cell r="F260">
            <v>27.181350509368801</v>
          </cell>
          <cell r="G260">
            <v>125.44427689201299</v>
          </cell>
          <cell r="H260">
            <v>131.06789296057701</v>
          </cell>
          <cell r="I260">
            <v>118.144233872518</v>
          </cell>
          <cell r="J260">
            <v>136.472590784549</v>
          </cell>
          <cell r="K260">
            <v>135.028113161194</v>
          </cell>
          <cell r="L260">
            <v>135.59169749035499</v>
          </cell>
          <cell r="M260">
            <v>78.405821089766803</v>
          </cell>
          <cell r="N260">
            <v>9.6915886974854395</v>
          </cell>
          <cell r="O260">
            <v>176.95128348219501</v>
          </cell>
        </row>
        <row r="261">
          <cell r="A261" t="str">
            <v>T-Bat-Car-STG_S4</v>
          </cell>
          <cell r="B261" t="str">
            <v>VAR_cap</v>
          </cell>
          <cell r="C261" t="str">
            <v>-</v>
          </cell>
          <cell r="D261">
            <v>2.22333468685884E-2</v>
          </cell>
          <cell r="E261">
            <v>11.471690357271473</v>
          </cell>
          <cell r="F261">
            <v>37.62853137271199</v>
          </cell>
          <cell r="G261">
            <v>151.17253273841675</v>
          </cell>
          <cell r="H261">
            <v>244.81283503514624</v>
          </cell>
          <cell r="I261">
            <v>287.68619064479941</v>
          </cell>
          <cell r="J261">
            <v>307.45119313671648</v>
          </cell>
          <cell r="K261">
            <v>316.64973582098315</v>
          </cell>
          <cell r="L261">
            <v>333.76917168849144</v>
          </cell>
          <cell r="M261">
            <v>296.26626801208198</v>
          </cell>
          <cell r="N261">
            <v>189.68102847118368</v>
          </cell>
          <cell r="O261">
            <v>265.0486714221704</v>
          </cell>
        </row>
        <row r="262">
          <cell r="A262" t="str">
            <v>T_TW-ICEGSL-S3</v>
          </cell>
          <cell r="B262" t="str">
            <v>VAR_fout</v>
          </cell>
          <cell r="C262" t="str">
            <v>CO2_T</v>
          </cell>
          <cell r="D262">
            <v>11.52970193621956</v>
          </cell>
          <cell r="E262">
            <v>14.499331972020794</v>
          </cell>
          <cell r="F262">
            <v>14.535340824870326</v>
          </cell>
          <cell r="G262">
            <v>14.507227189573543</v>
          </cell>
          <cell r="H262">
            <v>13.863835260028202</v>
          </cell>
          <cell r="I262">
            <v>3.9854239927104769</v>
          </cell>
          <cell r="J262">
            <v>1.4946909810727693E-2</v>
          </cell>
          <cell r="K262">
            <v>1.6397210285659748E-2</v>
          </cell>
          <cell r="L262">
            <v>1.696102580895311E-2</v>
          </cell>
          <cell r="M262">
            <v>1.8977767499216792E-2</v>
          </cell>
          <cell r="N262">
            <v>2.0920395766703209E-2</v>
          </cell>
          <cell r="O262">
            <v>2.7320389336289431E-2</v>
          </cell>
        </row>
        <row r="263">
          <cell r="A263" t="str">
            <v>T_TW-ICEGSL-S3</v>
          </cell>
          <cell r="B263" t="str">
            <v>VAR_fout</v>
          </cell>
          <cell r="C263" t="str">
            <v>TPTWL</v>
          </cell>
          <cell r="D263">
            <v>0.1139576648871001</v>
          </cell>
          <cell r="E263">
            <v>0.14345532792673241</v>
          </cell>
          <cell r="F263">
            <v>0.14381239425420891</v>
          </cell>
          <cell r="G263">
            <v>0.1435356955754431</v>
          </cell>
          <cell r="H263">
            <v>0.13717964089620968</v>
          </cell>
          <cell r="I263">
            <v>3.9490034357897587E-2</v>
          </cell>
          <cell r="J263">
            <v>1.59674033491832E-4</v>
          </cell>
          <cell r="K263">
            <v>1.7887066570933382E-4</v>
          </cell>
          <cell r="L263">
            <v>1.8775739532971779E-4</v>
          </cell>
          <cell r="M263">
            <v>2.128598745325709E-4</v>
          </cell>
          <cell r="N263">
            <v>2.356656536476403E-4</v>
          </cell>
          <cell r="O263">
            <v>3.0776078438688657E-4</v>
          </cell>
        </row>
        <row r="264">
          <cell r="A264" t="str">
            <v>T_TW-ICEGSL-S3</v>
          </cell>
          <cell r="B264" t="str">
            <v>VAR_fin</v>
          </cell>
          <cell r="C264" t="str">
            <v>TGSL</v>
          </cell>
          <cell r="D264">
            <v>0.15622902352601001</v>
          </cell>
          <cell r="E264">
            <v>0.19646791290001087</v>
          </cell>
          <cell r="F264">
            <v>0.19695583773537015</v>
          </cell>
          <cell r="G264">
            <v>0.19657489416766341</v>
          </cell>
          <cell r="H264">
            <v>0.18785684634184527</v>
          </cell>
          <cell r="I264">
            <v>5.4003035131578406E-2</v>
          </cell>
          <cell r="J264">
            <v>2.025326532618931E-4</v>
          </cell>
          <cell r="K264">
            <v>2.2218442121490174E-4</v>
          </cell>
          <cell r="L264">
            <v>2.2982419795329414E-4</v>
          </cell>
          <cell r="M264">
            <v>2.571513211275988E-4</v>
          </cell>
          <cell r="N264">
            <v>2.8347419738080281E-4</v>
          </cell>
          <cell r="O264">
            <v>3.7019497745649629E-4</v>
          </cell>
        </row>
        <row r="265">
          <cell r="A265" t="str">
            <v>T_TW-ICEGSL-S3</v>
          </cell>
          <cell r="B265" t="str">
            <v>VAR_ncap</v>
          </cell>
          <cell r="C265" t="str">
            <v>-</v>
          </cell>
          <cell r="E265">
            <v>1.2171894858362501E-5</v>
          </cell>
          <cell r="F265">
            <v>1.5603701601911899E-5</v>
          </cell>
          <cell r="G265">
            <v>1.39907504193894E-5</v>
          </cell>
          <cell r="H265">
            <v>1.8916193553481598E-5</v>
          </cell>
          <cell r="I265">
            <v>1.5933130552217499E-5</v>
          </cell>
          <cell r="J265">
            <v>1.72894751034712E-5</v>
          </cell>
          <cell r="K265">
            <v>1.9344087936410899E-5</v>
          </cell>
          <cell r="L265">
            <v>2.1641330126926499E-5</v>
          </cell>
          <cell r="M265">
            <v>2.7619820582211299E-5</v>
          </cell>
          <cell r="N265">
            <v>2.85537982702285E-5</v>
          </cell>
          <cell r="O265">
            <v>4.63433339391714E-5</v>
          </cell>
        </row>
        <row r="266">
          <cell r="A266" t="str">
            <v>T_TW-ICEGSL-S3</v>
          </cell>
          <cell r="B266" t="str">
            <v>VAR_cap</v>
          </cell>
          <cell r="C266" t="str">
            <v>-</v>
          </cell>
          <cell r="D266">
            <v>5.3235686438307443E-2</v>
          </cell>
          <cell r="E266">
            <v>6.9073509415808546E-2</v>
          </cell>
          <cell r="F266">
            <v>6.9089299126452217E-2</v>
          </cell>
          <cell r="G266">
            <v>6.9103504843730984E-2</v>
          </cell>
          <cell r="H266">
            <v>6.5994035347218566E-2</v>
          </cell>
          <cell r="I266">
            <v>1.8965960262203152E-2</v>
          </cell>
          <cell r="J266">
            <v>6.4386149616230256E-5</v>
          </cell>
          <cell r="K266">
            <v>7.1360218256919991E-5</v>
          </cell>
          <cell r="L266">
            <v>7.7749933289467468E-5</v>
          </cell>
          <cell r="M266">
            <v>8.5762147413242078E-5</v>
          </cell>
          <cell r="N266">
            <v>9.7067928762264549E-5</v>
          </cell>
          <cell r="O266">
            <v>1.2403556233927905E-4</v>
          </cell>
        </row>
        <row r="267">
          <cell r="A267" t="str">
            <v>T_C-ICEGSLEXT</v>
          </cell>
          <cell r="B267" t="str">
            <v>VAR_fout</v>
          </cell>
          <cell r="C267" t="str">
            <v>CO2_T</v>
          </cell>
          <cell r="D267">
            <v>4722.2883026289501</v>
          </cell>
          <cell r="E267">
            <v>4009.7014132218901</v>
          </cell>
          <cell r="F267">
            <v>3607.2495371484601</v>
          </cell>
          <cell r="G267">
            <v>1308.6051158033699</v>
          </cell>
        </row>
        <row r="268">
          <cell r="A268" t="str">
            <v>T_C-ICEGSLEXT</v>
          </cell>
          <cell r="B268" t="str">
            <v>VAR_fout</v>
          </cell>
          <cell r="C268" t="str">
            <v>TPCAR</v>
          </cell>
          <cell r="D268">
            <v>18.302988329634282</v>
          </cell>
          <cell r="E268">
            <v>15.894747074416385</v>
          </cell>
          <cell r="F268">
            <v>14.77663663456369</v>
          </cell>
          <cell r="G268">
            <v>5.6490803227117725</v>
          </cell>
        </row>
        <row r="269">
          <cell r="A269" t="str">
            <v>T_C-ICEGSLEXT</v>
          </cell>
          <cell r="B269" t="str">
            <v>VAR_fin</v>
          </cell>
          <cell r="C269" t="str">
            <v>TGSL</v>
          </cell>
          <cell r="D269">
            <v>63.987646377086051</v>
          </cell>
          <cell r="E269">
            <v>54.331997469131345</v>
          </cell>
          <cell r="F269">
            <v>48.878720015561782</v>
          </cell>
          <cell r="G269">
            <v>17.731776636902037</v>
          </cell>
        </row>
        <row r="270">
          <cell r="A270" t="str">
            <v>T_C-ICEGSLEXT</v>
          </cell>
          <cell r="B270" t="str">
            <v>VAR_cap</v>
          </cell>
          <cell r="C270" t="str">
            <v>-</v>
          </cell>
          <cell r="D270">
            <v>2.4928189501551876</v>
          </cell>
          <cell r="E270">
            <v>2.1593705915656751</v>
          </cell>
          <cell r="F270">
            <v>1.6628846666666701</v>
          </cell>
          <cell r="G270">
            <v>0.83144229548346926</v>
          </cell>
        </row>
        <row r="271">
          <cell r="A271" t="str">
            <v>T_TW-ICEGSL-S4</v>
          </cell>
          <cell r="B271" t="str">
            <v>VAR_fout</v>
          </cell>
          <cell r="C271" t="str">
            <v>CO2_T</v>
          </cell>
          <cell r="D271">
            <v>7.5876399564294505</v>
          </cell>
          <cell r="E271">
            <v>9.2652561589129405</v>
          </cell>
          <cell r="F271">
            <v>9.2953821634206566</v>
          </cell>
          <cell r="G271">
            <v>9.2724772997303511</v>
          </cell>
          <cell r="H271">
            <v>9.2827888936883234</v>
          </cell>
          <cell r="I271">
            <v>8.9296713558031904</v>
          </cell>
          <cell r="J271">
            <v>1.9713495574646052</v>
          </cell>
          <cell r="K271">
            <v>1.2242061955479411E-2</v>
          </cell>
          <cell r="L271">
            <v>1.2497095612953301E-2</v>
          </cell>
          <cell r="M271">
            <v>1.456012149129114E-2</v>
          </cell>
          <cell r="N271">
            <v>1.540147701876813E-2</v>
          </cell>
          <cell r="O271">
            <v>1.987403917421611E-2</v>
          </cell>
        </row>
        <row r="272">
          <cell r="A272" t="str">
            <v>T_TW-ICEGSL-S4</v>
          </cell>
          <cell r="B272" t="str">
            <v>VAR_fout</v>
          </cell>
          <cell r="C272" t="str">
            <v>TPTWL</v>
          </cell>
          <cell r="D272">
            <v>6.9481567993558327E-2</v>
          </cell>
          <cell r="E272">
            <v>8.4920599597424026E-2</v>
          </cell>
          <cell r="F272">
            <v>8.5197106656744861E-2</v>
          </cell>
          <cell r="G272">
            <v>8.4987944004845231E-2</v>
          </cell>
          <cell r="H272">
            <v>8.5083836789105166E-2</v>
          </cell>
          <cell r="I272">
            <v>8.1852183795057432E-2</v>
          </cell>
          <cell r="J272">
            <v>1.8099101272181114E-2</v>
          </cell>
          <cell r="K272">
            <v>1.2315323807014645E-4</v>
          </cell>
          <cell r="L272">
            <v>1.2781134945462434E-4</v>
          </cell>
          <cell r="M272">
            <v>1.5074888969961512E-4</v>
          </cell>
          <cell r="N272">
            <v>1.6069074971381694E-4</v>
          </cell>
          <cell r="O272">
            <v>2.0795886460827086E-4</v>
          </cell>
        </row>
        <row r="273">
          <cell r="A273" t="str">
            <v>T_TW-ICEGSL-S4</v>
          </cell>
          <cell r="B273" t="str">
            <v>VAR_fin</v>
          </cell>
          <cell r="C273" t="str">
            <v>TGSL</v>
          </cell>
          <cell r="D273">
            <v>0.10281354954511433</v>
          </cell>
          <cell r="E273">
            <v>0.12554547640803418</v>
          </cell>
          <cell r="F273">
            <v>0.12595368785122874</v>
          </cell>
          <cell r="G273">
            <v>0.12564332384458421</v>
          </cell>
          <cell r="H273">
            <v>0.12578304733995016</v>
          </cell>
          <cell r="I273">
            <v>0.12099825685370168</v>
          </cell>
          <cell r="J273">
            <v>2.6712053624181602E-2</v>
          </cell>
          <cell r="K273">
            <v>1.6588159831272921E-4</v>
          </cell>
          <cell r="L273">
            <v>1.6933733892890654E-4</v>
          </cell>
          <cell r="M273">
            <v>1.9729161912318644E-4</v>
          </cell>
          <cell r="N273">
            <v>2.0869210052531351E-4</v>
          </cell>
          <cell r="O273">
            <v>2.6929592376986612E-4</v>
          </cell>
        </row>
        <row r="274">
          <cell r="A274" t="str">
            <v>T_TW-ICEGSL-S4</v>
          </cell>
          <cell r="B274" t="str">
            <v>VAR_ncap</v>
          </cell>
          <cell r="C274" t="str">
            <v>-</v>
          </cell>
          <cell r="E274">
            <v>6.9181639781237596E-6</v>
          </cell>
          <cell r="F274">
            <v>6.9852283508920504E-6</v>
          </cell>
          <cell r="G274">
            <v>7.2852297502810403E-6</v>
          </cell>
          <cell r="H274">
            <v>8.4453962772540104E-6</v>
          </cell>
          <cell r="I274">
            <v>9.0356895998298295E-6</v>
          </cell>
          <cell r="J274">
            <v>1.0134503099254E-5</v>
          </cell>
          <cell r="K274">
            <v>1.23281756820178E-5</v>
          </cell>
          <cell r="L274">
            <v>1.20827546278854E-5</v>
          </cell>
          <cell r="M274">
            <v>1.5511424713402499E-5</v>
          </cell>
          <cell r="N274">
            <v>1.5972076594795101E-5</v>
          </cell>
          <cell r="O274">
            <v>2.6066703330872002E-5</v>
          </cell>
        </row>
        <row r="275">
          <cell r="A275" t="str">
            <v>T_TW-ICEGSL-S4</v>
          </cell>
          <cell r="B275" t="str">
            <v>VAR_cap</v>
          </cell>
          <cell r="C275" t="str">
            <v>-</v>
          </cell>
          <cell r="D275">
            <v>3.2744671613879908E-2</v>
          </cell>
          <cell r="E275">
            <v>4.0882206289176409E-2</v>
          </cell>
          <cell r="F275">
            <v>4.0889408831070763E-2</v>
          </cell>
          <cell r="G275">
            <v>4.0896923868606667E-2</v>
          </cell>
          <cell r="H275">
            <v>4.0905312000444012E-2</v>
          </cell>
          <cell r="I275">
            <v>3.9361390976716475E-2</v>
          </cell>
          <cell r="J275">
            <v>8.6835235619791094E-3</v>
          </cell>
          <cell r="K275">
            <v>4.7125037917725004E-5</v>
          </cell>
          <cell r="L275">
            <v>5.1951590809480641E-5</v>
          </cell>
          <cell r="M275">
            <v>5.8981530694823254E-5</v>
          </cell>
          <cell r="N275">
            <v>6.4367947288440048E-5</v>
          </cell>
          <cell r="O275">
            <v>8.190470199680256E-5</v>
          </cell>
        </row>
        <row r="276">
          <cell r="A276" t="str">
            <v>T_C-ICEDSLEXT</v>
          </cell>
          <cell r="B276" t="str">
            <v>VAR_fout</v>
          </cell>
          <cell r="C276" t="str">
            <v>CO2_T</v>
          </cell>
          <cell r="D276">
            <v>3821.29231848988</v>
          </cell>
          <cell r="E276">
            <v>3569.7775595243902</v>
          </cell>
          <cell r="F276">
            <v>2582.9155343294901</v>
          </cell>
          <cell r="G276">
            <v>841.85653220526694</v>
          </cell>
        </row>
        <row r="277">
          <cell r="A277" t="str">
            <v>T_C-ICEDSLEXT</v>
          </cell>
          <cell r="B277" t="str">
            <v>VAR_fout</v>
          </cell>
          <cell r="C277" t="str">
            <v>TPCAR</v>
          </cell>
          <cell r="D277">
            <v>17.67378977894078</v>
          </cell>
          <cell r="E277">
            <v>17.235951227677273</v>
          </cell>
          <cell r="F277">
            <v>13.258423591020609</v>
          </cell>
          <cell r="G277">
            <v>4.7490511780177389</v>
          </cell>
        </row>
        <row r="278">
          <cell r="A278" t="str">
            <v>T_C-ICEDSLEXT</v>
          </cell>
          <cell r="B278" t="str">
            <v>VAR_fin</v>
          </cell>
          <cell r="C278" t="str">
            <v>TDSL</v>
          </cell>
          <cell r="D278">
            <v>52.132228083081607</v>
          </cell>
          <cell r="E278">
            <v>48.700921685189492</v>
          </cell>
          <cell r="F278">
            <v>35.237592555654636</v>
          </cell>
          <cell r="G278">
            <v>11.485082294751253</v>
          </cell>
        </row>
        <row r="279">
          <cell r="A279" t="str">
            <v>T_C-ICEDSLEXT</v>
          </cell>
          <cell r="B279" t="str">
            <v>VAR_cap</v>
          </cell>
          <cell r="C279" t="str">
            <v>-</v>
          </cell>
          <cell r="D279">
            <v>1.0585532482902056</v>
          </cell>
          <cell r="E279">
            <v>0.91828359999999998</v>
          </cell>
          <cell r="F279">
            <v>0.706372</v>
          </cell>
          <cell r="G279">
            <v>0.353186</v>
          </cell>
        </row>
        <row r="280">
          <cell r="A280" t="str">
            <v>T-Plg-ELC-GSL_S1</v>
          </cell>
          <cell r="B280" t="str">
            <v>VAR_fout</v>
          </cell>
          <cell r="C280" t="str">
            <v>T-PEVmix-ELC_GSL_S1</v>
          </cell>
          <cell r="E280">
            <v>3.6825670307100808E-5</v>
          </cell>
          <cell r="F280">
            <v>4.7816388647462287E-5</v>
          </cell>
          <cell r="G280">
            <v>8.164973595925528E-5</v>
          </cell>
          <cell r="H280">
            <v>8.1717508553589692E-5</v>
          </cell>
          <cell r="I280">
            <v>6.3447820058847479E-5</v>
          </cell>
          <cell r="J280">
            <v>7.0782036727879961E-5</v>
          </cell>
          <cell r="K280">
            <v>4.6483419740872277E-5</v>
          </cell>
          <cell r="L280">
            <v>3.1979809612423752E-4</v>
          </cell>
          <cell r="M280">
            <v>6.0322491656787875E-4</v>
          </cell>
          <cell r="N280">
            <v>7.2508026092398252E-4</v>
          </cell>
          <cell r="O280">
            <v>9.2996957727339781E-4</v>
          </cell>
        </row>
        <row r="281">
          <cell r="A281" t="str">
            <v>T-Plg-ELC-GSL_S1</v>
          </cell>
          <cell r="B281" t="str">
            <v>VAR_fin</v>
          </cell>
          <cell r="C281" t="str">
            <v>T-ELC-car-PlgSTGOut_S1</v>
          </cell>
          <cell r="E281">
            <v>2.0218214533711266E-5</v>
          </cell>
          <cell r="F281">
            <v>2.6252393937152476E-5</v>
          </cell>
          <cell r="G281">
            <v>4.4827748265774025E-5</v>
          </cell>
          <cell r="H281">
            <v>4.3821578723288868E-5</v>
          </cell>
          <cell r="I281">
            <v>3.3262189747257207E-5</v>
          </cell>
          <cell r="J281">
            <v>3.540969486499665E-5</v>
          </cell>
          <cell r="K281">
            <v>2.2206412586439125E-5</v>
          </cell>
          <cell r="L281">
            <v>1.488082974979355E-4</v>
          </cell>
          <cell r="M281">
            <v>2.6121344399898579E-4</v>
          </cell>
          <cell r="N281">
            <v>3.1380643785500553E-4</v>
          </cell>
          <cell r="O281">
            <v>3.8435478387508165E-4</v>
          </cell>
        </row>
        <row r="282">
          <cell r="A282" t="str">
            <v>T-Plg-ELC-GSL_S2</v>
          </cell>
          <cell r="B282" t="str">
            <v>VAR_fout</v>
          </cell>
          <cell r="C282" t="str">
            <v>T-PEVmix-ELC_GSL_S2</v>
          </cell>
          <cell r="D282">
            <v>5.1050692493763959E-4</v>
          </cell>
          <cell r="E282">
            <v>3.7496687309963752E-4</v>
          </cell>
          <cell r="F282">
            <v>7.028925340180276E-4</v>
          </cell>
          <cell r="G282">
            <v>9.0833545918404823E-4</v>
          </cell>
          <cell r="H282">
            <v>2.5269535626125049E-3</v>
          </cell>
          <cell r="I282">
            <v>2.2073957325957386E-4</v>
          </cell>
          <cell r="J282">
            <v>2.3777277836111021E-4</v>
          </cell>
          <cell r="K282">
            <v>2.4243185599940841E-4</v>
          </cell>
          <cell r="L282">
            <v>1.2462378816767681E-3</v>
          </cell>
          <cell r="M282">
            <v>1.4564321964581795E-3</v>
          </cell>
          <cell r="N282">
            <v>1.1814919807931748E-3</v>
          </cell>
          <cell r="O282">
            <v>6.3502483832927469E-4</v>
          </cell>
        </row>
        <row r="283">
          <cell r="A283" t="str">
            <v>T-Plg-ELC-GSL_S2</v>
          </cell>
          <cell r="B283" t="str">
            <v>VAR_fin</v>
          </cell>
          <cell r="C283" t="str">
            <v>T-ELC-car-PlgSTGOut_S2</v>
          </cell>
          <cell r="D283">
            <v>3.3962768223724603E-4</v>
          </cell>
          <cell r="E283">
            <v>2.4945622440309464E-4</v>
          </cell>
          <cell r="F283">
            <v>4.6761708907194224E-4</v>
          </cell>
          <cell r="G283">
            <v>6.042932066676023E-4</v>
          </cell>
          <cell r="H283">
            <v>1.6143116952767299E-3</v>
          </cell>
          <cell r="I283">
            <v>1.3990478262648434E-4</v>
          </cell>
          <cell r="J283">
            <v>1.435242596097362E-4</v>
          </cell>
          <cell r="K283">
            <v>1.3959833839566774E-4</v>
          </cell>
          <cell r="L283">
            <v>6.9360832863400691E-4</v>
          </cell>
          <cell r="M283">
            <v>7.5706654200632332E-4</v>
          </cell>
          <cell r="N283">
            <v>6.1461188817721259E-4</v>
          </cell>
          <cell r="O283">
            <v>3.1581757276772781E-4</v>
          </cell>
        </row>
        <row r="284">
          <cell r="A284" t="str">
            <v>T-Plg-ELC-DSL_S1</v>
          </cell>
          <cell r="B284" t="str">
            <v>VAR_fout</v>
          </cell>
          <cell r="C284" t="str">
            <v>T-PEVmix-ELC_DSL_S1</v>
          </cell>
          <cell r="E284">
            <v>1.7685665787933371E-5</v>
          </cell>
          <cell r="F284">
            <v>3.0894286339536696E-5</v>
          </cell>
          <cell r="G284">
            <v>7.3481991644604359E-5</v>
          </cell>
          <cell r="H284">
            <v>9.2495941248850686E-5</v>
          </cell>
          <cell r="I284">
            <v>6.9881935513043121E-5</v>
          </cell>
          <cell r="J284">
            <v>2.8219065191025444E-4</v>
          </cell>
          <cell r="K284">
            <v>3.0364872858758355E-4</v>
          </cell>
          <cell r="L284">
            <v>1.1240112305169832E-3</v>
          </cell>
          <cell r="M284">
            <v>7.0605535385548536E-5</v>
          </cell>
          <cell r="N284">
            <v>4.2616610378330968E-5</v>
          </cell>
          <cell r="O284">
            <v>4.0002427665612065E-5</v>
          </cell>
        </row>
        <row r="285">
          <cell r="A285" t="str">
            <v>T-Plg-ELC-DSL_S1</v>
          </cell>
          <cell r="B285" t="str">
            <v>VAR_fin</v>
          </cell>
          <cell r="C285" t="str">
            <v>T-ELC-car-PlgSTGOut_S1</v>
          </cell>
          <cell r="E285">
            <v>9.7098730882573157E-6</v>
          </cell>
          <cell r="F285">
            <v>1.6961736307029737E-5</v>
          </cell>
          <cell r="G285">
            <v>4.0343452245281198E-5</v>
          </cell>
          <cell r="H285">
            <v>4.9600151878622356E-5</v>
          </cell>
          <cell r="I285">
            <v>3.6634174150964254E-5</v>
          </cell>
          <cell r="J285">
            <v>1.4096723984254441E-4</v>
          </cell>
          <cell r="K285">
            <v>1.4484451385725973E-4</v>
          </cell>
          <cell r="L285">
            <v>5.2039260596829556E-4</v>
          </cell>
          <cell r="M285">
            <v>3.0641260553570839E-5</v>
          </cell>
          <cell r="N285">
            <v>1.8496208212983764E-5</v>
          </cell>
          <cell r="O285">
            <v>1.6532932706222125E-5</v>
          </cell>
        </row>
        <row r="286">
          <cell r="A286" t="str">
            <v>T_TRM_ELC</v>
          </cell>
          <cell r="B286" t="str">
            <v>VAR_fout</v>
          </cell>
          <cell r="C286" t="str">
            <v>TPTRM</v>
          </cell>
          <cell r="D286">
            <v>3.3477999999999994E-2</v>
          </cell>
          <cell r="E286">
            <v>3.4238693943285006E-2</v>
          </cell>
          <cell r="F286">
            <v>3.537973485821249E-2</v>
          </cell>
          <cell r="G286">
            <v>3.7281469716424979E-2</v>
          </cell>
          <cell r="H286">
            <v>3.8200039755124107E-2</v>
          </cell>
          <cell r="I286">
            <v>3.9061076358642186E-2</v>
          </cell>
          <cell r="J286">
            <v>3.9708612294883733E-2</v>
          </cell>
          <cell r="K286">
            <v>4.0356148231125301E-2</v>
          </cell>
          <cell r="L286">
            <v>4.2371906290567779E-2</v>
          </cell>
          <cell r="M286">
            <v>4.3525301587149907E-2</v>
          </cell>
          <cell r="N286">
            <v>4.4673212327442917E-2</v>
          </cell>
          <cell r="O286">
            <v>4.5811892235102694E-2</v>
          </cell>
        </row>
        <row r="287">
          <cell r="A287" t="str">
            <v>T_TRM_ELC</v>
          </cell>
          <cell r="B287" t="str">
            <v>VAR_fin</v>
          </cell>
          <cell r="C287" t="str">
            <v>TELC</v>
          </cell>
          <cell r="D287">
            <v>0.58772895164057959</v>
          </cell>
          <cell r="E287">
            <v>0.61504030570008339</v>
          </cell>
          <cell r="F287">
            <v>0.65847123751882963</v>
          </cell>
          <cell r="G287">
            <v>0.73826743502205472</v>
          </cell>
          <cell r="H287">
            <v>0.7564574460789345</v>
          </cell>
          <cell r="I287">
            <v>0.77350814954032066</v>
          </cell>
          <cell r="J287">
            <v>0.78633099956125296</v>
          </cell>
          <cell r="K287">
            <v>0.7991538495821856</v>
          </cell>
          <cell r="L287">
            <v>0.83907095970389334</v>
          </cell>
          <cell r="M287">
            <v>0.86191110505360957</v>
          </cell>
          <cell r="N287">
            <v>0.88464264231103162</v>
          </cell>
          <cell r="O287">
            <v>0.90719138572521052</v>
          </cell>
        </row>
        <row r="288">
          <cell r="A288" t="str">
            <v>T-Plg-ELC-GSL_S3</v>
          </cell>
          <cell r="B288" t="str">
            <v>VAR_fout</v>
          </cell>
          <cell r="C288" t="str">
            <v>T-PEVmix-ELC_GSL_S3</v>
          </cell>
          <cell r="E288">
            <v>2.4671959056626683E-2</v>
          </cell>
          <cell r="F288">
            <v>0.23115216320957022</v>
          </cell>
          <cell r="G288">
            <v>1.0565409808944346</v>
          </cell>
          <cell r="H288">
            <v>3.0106851658417582</v>
          </cell>
          <cell r="I288">
            <v>2.9705286880702237</v>
          </cell>
          <cell r="J288">
            <v>3.4267396661920966</v>
          </cell>
          <cell r="K288">
            <v>1.6137562113505042</v>
          </cell>
          <cell r="L288">
            <v>0.87636734990679666</v>
          </cell>
          <cell r="M288">
            <v>2.5209397307299395E-3</v>
          </cell>
          <cell r="N288">
            <v>2.2390345183732315E-3</v>
          </cell>
          <cell r="O288">
            <v>1.274544290407644E-3</v>
          </cell>
        </row>
        <row r="289">
          <cell r="A289" t="str">
            <v>T-Plg-ELC-GSL_S3</v>
          </cell>
          <cell r="B289" t="str">
            <v>VAR_fin</v>
          </cell>
          <cell r="C289" t="str">
            <v>T-ELC-car-PlgSTGOut_S3</v>
          </cell>
          <cell r="E289">
            <v>1.7608174597190728E-2</v>
          </cell>
          <cell r="F289">
            <v>0.16497140089162191</v>
          </cell>
          <cell r="G289">
            <v>0.75404462280345563</v>
          </cell>
          <cell r="H289">
            <v>2.0473589410006801</v>
          </cell>
          <cell r="I289">
            <v>1.929034559665846</v>
          </cell>
          <cell r="J289">
            <v>2.1172180940835506</v>
          </cell>
          <cell r="K289">
            <v>0.95628690404610073</v>
          </cell>
          <cell r="L289">
            <v>0.51709941904104462</v>
          </cell>
          <cell r="M289">
            <v>1.400320187864307E-3</v>
          </cell>
          <cell r="N289">
            <v>1.2439422090105832E-3</v>
          </cell>
          <cell r="O289">
            <v>6.7930002624831849E-4</v>
          </cell>
        </row>
        <row r="290">
          <cell r="A290" t="str">
            <v>T-Plg-ELC-DSL_S2</v>
          </cell>
          <cell r="B290" t="str">
            <v>VAR_fout</v>
          </cell>
          <cell r="C290" t="str">
            <v>T-PEVmix-ELC_DSL_S2</v>
          </cell>
          <cell r="E290">
            <v>1.9126570674697462E-5</v>
          </cell>
          <cell r="F290">
            <v>7.8745151872451375E-5</v>
          </cell>
          <cell r="G290">
            <v>1.7623708878527106E-4</v>
          </cell>
          <cell r="H290">
            <v>3.9496531570793803E-4</v>
          </cell>
          <cell r="I290">
            <v>3.0422011408934372E-4</v>
          </cell>
          <cell r="J290">
            <v>1.5130041797945641E-3</v>
          </cell>
          <cell r="K290">
            <v>1.5814719600056757E-3</v>
          </cell>
          <cell r="L290">
            <v>1.0823565867450361E-3</v>
          </cell>
          <cell r="M290">
            <v>1.2831463992865196E-4</v>
          </cell>
          <cell r="N290">
            <v>1.1140543276466778E-4</v>
          </cell>
          <cell r="O290">
            <v>6.972934696948008E-5</v>
          </cell>
        </row>
        <row r="291">
          <cell r="A291" t="str">
            <v>T-Plg-ELC-DSL_S2</v>
          </cell>
          <cell r="B291" t="str">
            <v>VAR_fin</v>
          </cell>
          <cell r="C291" t="str">
            <v>T-ELC-car-PlgSTGOut_S2</v>
          </cell>
          <cell r="E291">
            <v>1.2724436339796742E-5</v>
          </cell>
          <cell r="F291">
            <v>5.238720987208454E-5</v>
          </cell>
          <cell r="G291">
            <v>1.1724619405641348E-4</v>
          </cell>
          <cell r="H291">
            <v>2.5584867146826584E-4</v>
          </cell>
          <cell r="I291">
            <v>1.9268980875664438E-4</v>
          </cell>
          <cell r="J291">
            <v>9.0281087926070112E-4</v>
          </cell>
          <cell r="K291">
            <v>9.0610527869988385E-4</v>
          </cell>
          <cell r="L291">
            <v>6.0315000474797122E-4</v>
          </cell>
          <cell r="M291">
            <v>6.7059167899467356E-5</v>
          </cell>
          <cell r="N291">
            <v>5.8222514177005497E-5</v>
          </cell>
          <cell r="O291">
            <v>3.4678569689523138E-5</v>
          </cell>
        </row>
        <row r="292">
          <cell r="A292" t="str">
            <v>T_TW-ICEGSLEXT</v>
          </cell>
          <cell r="B292" t="str">
            <v>VAR_fout</v>
          </cell>
          <cell r="C292" t="str">
            <v>CO2_T</v>
          </cell>
          <cell r="D292">
            <v>147.109848290146</v>
          </cell>
          <cell r="E292">
            <v>52.602247347795199</v>
          </cell>
          <cell r="F292">
            <v>51.046925117654098</v>
          </cell>
          <cell r="G292">
            <v>33.434304469119297</v>
          </cell>
        </row>
        <row r="293">
          <cell r="A293" t="str">
            <v>T_TW-ICEGSLEXT</v>
          </cell>
          <cell r="B293" t="str">
            <v>VAR_fout</v>
          </cell>
          <cell r="C293" t="str">
            <v>TPTWL</v>
          </cell>
          <cell r="D293">
            <v>1.5372084234969132</v>
          </cell>
          <cell r="E293">
            <v>0.56111795873450065</v>
          </cell>
          <cell r="F293">
            <v>0.56120364661343469</v>
          </cell>
          <cell r="G293">
            <v>0.38577715930998813</v>
          </cell>
        </row>
        <row r="294">
          <cell r="A294" t="str">
            <v>T_TW-ICEGSLEXT</v>
          </cell>
          <cell r="B294" t="str">
            <v>VAR_fin</v>
          </cell>
          <cell r="C294" t="str">
            <v>TGSL</v>
          </cell>
          <cell r="D294">
            <v>1.9933583779152619</v>
          </cell>
          <cell r="E294">
            <v>0.71276757923841672</v>
          </cell>
          <cell r="F294">
            <v>0.69169275227173488</v>
          </cell>
          <cell r="G294">
            <v>0.45303935595012562</v>
          </cell>
        </row>
        <row r="295">
          <cell r="A295" t="str">
            <v>T_TW-ICEGSLEXT</v>
          </cell>
          <cell r="B295" t="str">
            <v>VAR_cap</v>
          </cell>
          <cell r="C295" t="str">
            <v>-</v>
          </cell>
          <cell r="D295">
            <v>0.55732749661843095</v>
          </cell>
          <cell r="E295">
            <v>0.27043856756643397</v>
          </cell>
          <cell r="F295">
            <v>0.27042737174381698</v>
          </cell>
          <cell r="G295">
            <v>0.18593009599835378</v>
          </cell>
        </row>
        <row r="296">
          <cell r="A296" t="str">
            <v>T-Plg-ELC-GSL_S4</v>
          </cell>
          <cell r="B296" t="str">
            <v>VAR_fout</v>
          </cell>
          <cell r="C296" t="str">
            <v>T-PEVmix-ELC_GSL_S4</v>
          </cell>
          <cell r="E296">
            <v>2.1390779379947187E-4</v>
          </cell>
          <cell r="F296">
            <v>5.8859159204118178E-4</v>
          </cell>
          <cell r="G296">
            <v>1.0172494076996981E-2</v>
          </cell>
          <cell r="H296">
            <v>7.2385972784676416E-3</v>
          </cell>
          <cell r="I296">
            <v>5.6147311222450968E-4</v>
          </cell>
          <cell r="J296">
            <v>4.1643769005752129E-4</v>
          </cell>
          <cell r="K296">
            <v>3.3210674642094608E-4</v>
          </cell>
          <cell r="L296">
            <v>0.49502622414214459</v>
          </cell>
          <cell r="M296">
            <v>1.3202088678948234</v>
          </cell>
          <cell r="N296">
            <v>1.2620379141757392</v>
          </cell>
          <cell r="O296">
            <v>1.1288773489928874</v>
          </cell>
        </row>
        <row r="297">
          <cell r="A297" t="str">
            <v>T-Plg-ELC-GSL_S4</v>
          </cell>
          <cell r="B297" t="str">
            <v>VAR_fin</v>
          </cell>
          <cell r="C297" t="str">
            <v>T-ELC-car-PlgSTGOut_S4</v>
          </cell>
          <cell r="E297">
            <v>1.5970424764197988E-4</v>
          </cell>
          <cell r="F297">
            <v>4.3944437790543084E-4</v>
          </cell>
          <cell r="G297">
            <v>7.5948168337067528E-3</v>
          </cell>
          <cell r="H297">
            <v>5.1836984647416831E-3</v>
          </cell>
          <cell r="I297">
            <v>3.9925110850167297E-4</v>
          </cell>
          <cell r="J297">
            <v>2.8331167010973686E-4</v>
          </cell>
          <cell r="K297">
            <v>2.1634821582291935E-4</v>
          </cell>
          <cell r="L297">
            <v>0.30910448861677003</v>
          </cell>
          <cell r="M297">
            <v>0.77457895644617081</v>
          </cell>
          <cell r="N297">
            <v>0.74053432707574851</v>
          </cell>
          <cell r="O297">
            <v>0.64218351361177706</v>
          </cell>
        </row>
        <row r="298">
          <cell r="A298" t="str">
            <v>T-Plg-ELC-DSL_S3</v>
          </cell>
          <cell r="B298" t="str">
            <v>VAR_fout</v>
          </cell>
          <cell r="C298" t="str">
            <v>T-PEVmix-ELC_DSL_S3</v>
          </cell>
          <cell r="E298">
            <v>7.5402344605001795E-2</v>
          </cell>
          <cell r="F298">
            <v>0.18907896543037803</v>
          </cell>
          <cell r="G298">
            <v>1.6272648818294908</v>
          </cell>
          <cell r="H298">
            <v>2.418266711887993</v>
          </cell>
          <cell r="I298">
            <v>2.1451869379533854</v>
          </cell>
          <cell r="J298">
            <v>2.3791406804123016</v>
          </cell>
          <cell r="K298">
            <v>1.0268010682089193</v>
          </cell>
          <cell r="L298">
            <v>0.69009173938403057</v>
          </cell>
          <cell r="M298">
            <v>2.1061381808666881E-4</v>
          </cell>
          <cell r="N298">
            <v>1.7708995517601417E-4</v>
          </cell>
          <cell r="O298">
            <v>9.4988117973746636E-5</v>
          </cell>
        </row>
        <row r="299">
          <cell r="A299" t="str">
            <v>T-Plg-ELC-DSL_S3</v>
          </cell>
          <cell r="B299" t="str">
            <v>VAR_fin</v>
          </cell>
          <cell r="C299" t="str">
            <v>T-ELC-car-PlgSTGOut_S3</v>
          </cell>
          <cell r="E299">
            <v>5.381403421573068E-2</v>
          </cell>
          <cell r="F299">
            <v>0.13494410509975538</v>
          </cell>
          <cell r="G299">
            <v>1.1613655846852851</v>
          </cell>
          <cell r="H299">
            <v>1.6445192992912283</v>
          </cell>
          <cell r="I299">
            <v>1.3931134202959854</v>
          </cell>
          <cell r="J299">
            <v>1.4700195963008329</v>
          </cell>
          <cell r="K299">
            <v>0.60914505896532722</v>
          </cell>
          <cell r="L299">
            <v>0.40687845950222112</v>
          </cell>
          <cell r="M299">
            <v>1.1791577957823404E-4</v>
          </cell>
          <cell r="N299">
            <v>9.9154852657339367E-5</v>
          </cell>
          <cell r="O299">
            <v>5.06262760097627E-5</v>
          </cell>
        </row>
        <row r="300">
          <cell r="A300" t="str">
            <v>T-Plg-ELC-DSL_S4</v>
          </cell>
          <cell r="B300" t="str">
            <v>VAR_fout</v>
          </cell>
          <cell r="C300" t="str">
            <v>T-PEVmix-ELC_DSL_S4</v>
          </cell>
          <cell r="E300">
            <v>5.4263866209984659E-5</v>
          </cell>
          <cell r="F300">
            <v>1.9588897443681872E-4</v>
          </cell>
          <cell r="G300">
            <v>2.2147592746130408E-3</v>
          </cell>
          <cell r="H300">
            <v>6.6424499858256198E-3</v>
          </cell>
          <cell r="I300">
            <v>4.4054651571348909E-3</v>
          </cell>
          <cell r="J300">
            <v>3.1415964926161687E-3</v>
          </cell>
          <cell r="K300">
            <v>3.0881385054563381E-3</v>
          </cell>
          <cell r="L300">
            <v>0.2762918204515038</v>
          </cell>
          <cell r="M300">
            <v>0.89003843165424479</v>
          </cell>
          <cell r="N300">
            <v>0.85665886295838889</v>
          </cell>
          <cell r="O300">
            <v>0.7368849624959446</v>
          </cell>
        </row>
        <row r="301">
          <cell r="A301" t="str">
            <v>T-Plg-ELC-DSL_S4</v>
          </cell>
          <cell r="B301" t="str">
            <v>VAR_fin</v>
          </cell>
          <cell r="C301" t="str">
            <v>T-ELC-car-PlgSTGOut_S4</v>
          </cell>
          <cell r="E301">
            <v>4.0513577244103493E-5</v>
          </cell>
          <cell r="F301">
            <v>1.4625133908453421E-4</v>
          </cell>
          <cell r="G301">
            <v>1.6535464060358448E-3</v>
          </cell>
          <cell r="H301">
            <v>4.757820312150109E-3</v>
          </cell>
          <cell r="I301">
            <v>3.0624665912467011E-3</v>
          </cell>
          <cell r="J301">
            <v>2.1044848341335242E-3</v>
          </cell>
          <cell r="K301">
            <v>1.9960496285544478E-3</v>
          </cell>
          <cell r="L301">
            <v>0.17248311391568624</v>
          </cell>
          <cell r="M301">
            <v>0.52264845562103446</v>
          </cell>
          <cell r="N301">
            <v>0.50299633181437264</v>
          </cell>
          <cell r="O301">
            <v>0.41919113246935208</v>
          </cell>
        </row>
        <row r="302">
          <cell r="A302" t="str">
            <v>TFLGV-ICENGA</v>
          </cell>
          <cell r="B302" t="str">
            <v>VAR_fout</v>
          </cell>
          <cell r="C302" t="str">
            <v>CO2_T</v>
          </cell>
          <cell r="D302">
            <v>1.4510382307733658</v>
          </cell>
          <cell r="E302">
            <v>1.2567054653016232</v>
          </cell>
          <cell r="F302">
            <v>1.7790820294722043</v>
          </cell>
        </row>
        <row r="303">
          <cell r="A303" t="str">
            <v>TFLGV-ICENGA</v>
          </cell>
          <cell r="B303" t="str">
            <v>VAR_fout</v>
          </cell>
          <cell r="C303" t="str">
            <v>TFLGV</v>
          </cell>
          <cell r="D303">
            <v>8.2476840002181796E-3</v>
          </cell>
          <cell r="E303">
            <v>7.1430988786771775E-3</v>
          </cell>
          <cell r="F303">
            <v>1.01122810401302E-2</v>
          </cell>
        </row>
        <row r="304">
          <cell r="A304" t="str">
            <v>TFLGV-ICENGA</v>
          </cell>
          <cell r="B304" t="str">
            <v>VAR_fin</v>
          </cell>
          <cell r="C304" t="str">
            <v>TNGA</v>
          </cell>
          <cell r="D304">
            <v>2.5727628205201549E-2</v>
          </cell>
          <cell r="E304">
            <v>2.2282011796128081E-2</v>
          </cell>
          <cell r="F304">
            <v>3.1544007614755419E-2</v>
          </cell>
        </row>
        <row r="305">
          <cell r="A305" t="str">
            <v>TFLGV-ICENGA</v>
          </cell>
          <cell r="B305" t="str">
            <v>VAR_ncap</v>
          </cell>
          <cell r="C305" t="str">
            <v>-</v>
          </cell>
          <cell r="E305">
            <v>6.3029095838554298E-7</v>
          </cell>
          <cell r="F305">
            <v>4.21859666827654E-7</v>
          </cell>
        </row>
        <row r="306">
          <cell r="A306" t="str">
            <v>TFLGV-ICENGA</v>
          </cell>
          <cell r="B306" t="str">
            <v>VAR_cap</v>
          </cell>
          <cell r="C306" t="str">
            <v>-</v>
          </cell>
          <cell r="D306">
            <v>5.8294659838542377E-4</v>
          </cell>
          <cell r="E306">
            <v>7.0957574333973031E-4</v>
          </cell>
          <cell r="F306">
            <v>7.1000257808255182E-4</v>
          </cell>
          <cell r="G306">
            <v>-6.3104232793527969E-9</v>
          </cell>
          <cell r="H306">
            <v>-6.7510650524100341E-10</v>
          </cell>
        </row>
        <row r="307">
          <cell r="A307" t="str">
            <v>TFLGV-BEVELC</v>
          </cell>
          <cell r="B307" t="str">
            <v>VAR_fout</v>
          </cell>
          <cell r="C307" t="str">
            <v>TFLGV</v>
          </cell>
          <cell r="D307">
            <v>2.4243972146675914E-2</v>
          </cell>
          <cell r="E307">
            <v>5.3469088148222627E-2</v>
          </cell>
          <cell r="F307">
            <v>7.9383645745706458E-2</v>
          </cell>
          <cell r="G307">
            <v>1.1444370968724651</v>
          </cell>
          <cell r="H307">
            <v>3.2242983264571001</v>
          </cell>
          <cell r="I307">
            <v>5.0139623258113106</v>
          </cell>
          <cell r="J307">
            <v>5.2231018168229451</v>
          </cell>
          <cell r="K307">
            <v>5.432190067157701</v>
          </cell>
          <cell r="L307">
            <v>5.686567355283902</v>
          </cell>
          <cell r="M307">
            <v>6.0438669659835114</v>
          </cell>
          <cell r="N307">
            <v>6.4405382069650905</v>
          </cell>
          <cell r="O307">
            <v>6.8765690333928289</v>
          </cell>
        </row>
        <row r="308">
          <cell r="A308" t="str">
            <v>TFLGV-BEVELC</v>
          </cell>
          <cell r="B308" t="str">
            <v>VAR_fin</v>
          </cell>
          <cell r="C308" t="str">
            <v>T-ELC-LGV_BatSTGout</v>
          </cell>
          <cell r="D308">
            <v>3.5581863643667645E-2</v>
          </cell>
          <cell r="E308">
            <v>7.8474343730928611E-2</v>
          </cell>
          <cell r="F308">
            <v>0.11650805574977649</v>
          </cell>
          <cell r="G308">
            <v>1.6796424481643446</v>
          </cell>
          <cell r="H308">
            <v>4.7321677613060835</v>
          </cell>
          <cell r="I308">
            <v>7.3587827403920683</v>
          </cell>
          <cell r="J308">
            <v>7.6657280217453492</v>
          </cell>
          <cell r="K308">
            <v>7.9725980993008552</v>
          </cell>
          <cell r="L308">
            <v>8.345937002901012</v>
          </cell>
          <cell r="M308">
            <v>8.8703306934618205</v>
          </cell>
          <cell r="N308">
            <v>9.4525084786275233</v>
          </cell>
          <cell r="O308">
            <v>10.092452680696551</v>
          </cell>
        </row>
        <row r="309">
          <cell r="A309" t="str">
            <v>TFLGV-BEVELC</v>
          </cell>
          <cell r="B309" t="str">
            <v>VAR_ncap</v>
          </cell>
          <cell r="C309" t="str">
            <v>-</v>
          </cell>
          <cell r="E309">
            <v>1.14501796769415E-3</v>
          </cell>
          <cell r="F309">
            <v>1.80522907393988E-3</v>
          </cell>
          <cell r="G309">
            <v>7.6189664959177006E-2</v>
          </cell>
          <cell r="H309">
            <v>0.24066144243352</v>
          </cell>
          <cell r="I309">
            <v>0.21408514813158699</v>
          </cell>
          <cell r="J309">
            <v>0.163475942507569</v>
          </cell>
          <cell r="K309">
            <v>0.30176298131760199</v>
          </cell>
          <cell r="L309">
            <v>0.181440302517102</v>
          </cell>
          <cell r="M309">
            <v>0.23711627157638601</v>
          </cell>
          <cell r="N309">
            <v>0.31978997622051603</v>
          </cell>
          <cell r="O309">
            <v>0.124443927169806</v>
          </cell>
        </row>
        <row r="310">
          <cell r="A310" t="str">
            <v>TFLGV-BEVELC</v>
          </cell>
          <cell r="B310" t="str">
            <v>VAR_cap</v>
          </cell>
          <cell r="C310" t="str">
            <v>-</v>
          </cell>
          <cell r="D310">
            <v>1.699E-3</v>
          </cell>
          <cell r="E310">
            <v>3.7370179676941501E-3</v>
          </cell>
          <cell r="F310">
            <v>5.5422470416340297E-3</v>
          </cell>
          <cell r="G310">
            <v>8.0770221256521377E-2</v>
          </cell>
          <cell r="H310">
            <v>0.31777600531421801</v>
          </cell>
          <cell r="I310">
            <v>0.47074618333962132</v>
          </cell>
          <cell r="J310">
            <v>0.50234668891627388</v>
          </cell>
          <cell r="K310">
            <v>0.53836981060775402</v>
          </cell>
          <cell r="L310">
            <v>0.55673650041663347</v>
          </cell>
          <cell r="M310">
            <v>0.57316295571228071</v>
          </cell>
          <cell r="N310">
            <v>0.58904329639665287</v>
          </cell>
          <cell r="O310">
            <v>0.60425484132901863</v>
          </cell>
        </row>
        <row r="311">
          <cell r="A311" t="str">
            <v>T_B_c-BEVELC-S1</v>
          </cell>
          <cell r="B311" t="str">
            <v>VAR_fout</v>
          </cell>
          <cell r="C311" t="str">
            <v>TPBSc</v>
          </cell>
          <cell r="D311">
            <v>1.3364054423299569E-4</v>
          </cell>
          <cell r="E311">
            <v>3.7965294104766998E-4</v>
          </cell>
          <cell r="F311">
            <v>5.2958883617286359E-4</v>
          </cell>
          <cell r="G311">
            <v>6.3161182267958998E-2</v>
          </cell>
          <cell r="H311">
            <v>6.4834988604242319E-2</v>
          </cell>
          <cell r="I311">
            <v>6.4873538758032021E-2</v>
          </cell>
          <cell r="J311">
            <v>6.473244008136389E-2</v>
          </cell>
          <cell r="K311">
            <v>6.488954780463127E-2</v>
          </cell>
          <cell r="L311">
            <v>6.7258562632876176E-2</v>
          </cell>
          <cell r="M311">
            <v>6.9249618189761622E-2</v>
          </cell>
          <cell r="N311">
            <v>7.1161915937259221E-2</v>
          </cell>
          <cell r="O311">
            <v>7.2999106589985444E-2</v>
          </cell>
        </row>
        <row r="312">
          <cell r="A312" t="str">
            <v>T_B_c-BEVELC-S1</v>
          </cell>
          <cell r="B312" t="str">
            <v>VAR_fin</v>
          </cell>
          <cell r="C312" t="str">
            <v>T-ELC-Bus_c_BatSTGout_S1</v>
          </cell>
          <cell r="D312">
            <v>3.5289922878758653E-4</v>
          </cell>
          <cell r="E312">
            <v>9.8864194930145337E-4</v>
          </cell>
          <cell r="F312">
            <v>1.3515129527813441E-3</v>
          </cell>
          <cell r="G312">
            <v>0.14119233032347361</v>
          </cell>
          <cell r="H312">
            <v>0.13768022963894239</v>
          </cell>
          <cell r="I312">
            <v>0.13766086395576446</v>
          </cell>
          <cell r="J312">
            <v>0.13135487438159352</v>
          </cell>
          <cell r="K312">
            <v>0.1222794088277388</v>
          </cell>
          <cell r="L312">
            <v>0.12518455567373743</v>
          </cell>
          <cell r="M312">
            <v>0.12768268391168899</v>
          </cell>
          <cell r="N312">
            <v>0.13120858506784683</v>
          </cell>
          <cell r="O312">
            <v>0.13459600350464995</v>
          </cell>
        </row>
        <row r="313">
          <cell r="A313" t="str">
            <v>T_B_c-BEVELC-S1</v>
          </cell>
          <cell r="B313" t="str">
            <v>VAR_ncap</v>
          </cell>
          <cell r="C313" t="str">
            <v>-</v>
          </cell>
          <cell r="E313">
            <v>1.6070422356169801E-6</v>
          </cell>
          <cell r="F313">
            <v>3.3286949978293401E-6</v>
          </cell>
          <cell r="G313">
            <v>1.4047810971797199E-3</v>
          </cell>
          <cell r="H313">
            <v>1.3992005165620199E-3</v>
          </cell>
          <cell r="I313">
            <v>1.0103640590107101E-5</v>
          </cell>
          <cell r="J313">
            <v>6.7104737260902504E-4</v>
          </cell>
          <cell r="K313">
            <v>7.3555104427266104E-4</v>
          </cell>
          <cell r="L313">
            <v>4.2413353886943501E-4</v>
          </cell>
          <cell r="M313">
            <v>7.0382296191301202E-4</v>
          </cell>
          <cell r="N313">
            <v>7.6739999310089101E-4</v>
          </cell>
          <cell r="O313">
            <v>3.4393648774137001E-4</v>
          </cell>
        </row>
        <row r="314">
          <cell r="A314" t="str">
            <v>T_B_c-BEVELC-S1</v>
          </cell>
          <cell r="B314" t="str">
            <v>VAR_cap</v>
          </cell>
          <cell r="C314" t="str">
            <v>-</v>
          </cell>
          <cell r="D314">
            <v>3.3713942307692301E-6</v>
          </cell>
          <cell r="E314">
            <v>8.3498306971554407E-6</v>
          </cell>
          <cell r="F314">
            <v>1.167852569498477E-5</v>
          </cell>
          <cell r="G314">
            <v>1.4050952792649637E-3</v>
          </cell>
          <cell r="H314">
            <v>1.4107322140944499E-3</v>
          </cell>
          <cell r="I314">
            <v>1.4097055160763971E-3</v>
          </cell>
          <cell r="J314">
            <v>1.4066408262471291E-3</v>
          </cell>
          <cell r="K314">
            <v>1.4100437280683618E-3</v>
          </cell>
          <cell r="L314">
            <v>1.461520254635825E-3</v>
          </cell>
          <cell r="M314">
            <v>1.5047801252279227E-3</v>
          </cell>
          <cell r="N314">
            <v>1.5463396825437885E-3</v>
          </cell>
          <cell r="O314">
            <v>1.5862551297045268E-3</v>
          </cell>
        </row>
        <row r="315">
          <cell r="A315" t="str">
            <v>T_B_c-BEVELC-S2</v>
          </cell>
          <cell r="B315" t="str">
            <v>VAR_fout</v>
          </cell>
          <cell r="C315" t="str">
            <v>TPBSc</v>
          </cell>
          <cell r="D315">
            <v>1.368574268483139E-4</v>
          </cell>
          <cell r="E315">
            <v>1.4839456485848563E-4</v>
          </cell>
          <cell r="F315">
            <v>1.7130836344312941E-4</v>
          </cell>
          <cell r="G315">
            <v>5.7403484212807609E-2</v>
          </cell>
          <cell r="H315">
            <v>5.7502423799146642E-2</v>
          </cell>
          <cell r="I315">
            <v>5.7541180888311491E-2</v>
          </cell>
          <cell r="J315">
            <v>5.7681757145377099E-2</v>
          </cell>
          <cell r="K315">
            <v>5.782341746364799E-2</v>
          </cell>
          <cell r="L315">
            <v>5.9658857375895068E-2</v>
          </cell>
          <cell r="M315">
            <v>6.1425070283530954E-2</v>
          </cell>
          <cell r="N315">
            <v>6.312488218643536E-2</v>
          </cell>
          <cell r="O315">
            <v>6.4759939494662772E-2</v>
          </cell>
        </row>
        <row r="316">
          <cell r="A316" t="str">
            <v>T_B_c-BEVELC-S2</v>
          </cell>
          <cell r="B316" t="str">
            <v>VAR_fin</v>
          </cell>
          <cell r="C316" t="str">
            <v>T-ELC-Bus_c_BatSTGout_S2</v>
          </cell>
          <cell r="D316">
            <v>4.973365660421832E-4</v>
          </cell>
          <cell r="E316">
            <v>5.3123999168476889E-4</v>
          </cell>
          <cell r="F316">
            <v>6.0908230156381943E-4</v>
          </cell>
          <cell r="G316">
            <v>0.17698416268542169</v>
          </cell>
          <cell r="H316">
            <v>0.17661456181286619</v>
          </cell>
          <cell r="I316">
            <v>0.16443060664522971</v>
          </cell>
          <cell r="J316">
            <v>0.15956934253502136</v>
          </cell>
          <cell r="K316">
            <v>0.15237349319407018</v>
          </cell>
          <cell r="L316">
            <v>0.15272579675182649</v>
          </cell>
          <cell r="M316">
            <v>0.15653046789806724</v>
          </cell>
          <cell r="N316">
            <v>0.16086212517207885</v>
          </cell>
          <cell r="O316">
            <v>0.16502876729907384</v>
          </cell>
        </row>
        <row r="317">
          <cell r="A317" t="str">
            <v>T_B_c-BEVELC-S2</v>
          </cell>
          <cell r="B317" t="str">
            <v>VAR_ncap</v>
          </cell>
          <cell r="C317" t="str">
            <v>-</v>
          </cell>
          <cell r="E317">
            <v>2.0270185842037401E-7</v>
          </cell>
          <cell r="F317">
            <v>4.0247383969145997E-7</v>
          </cell>
          <cell r="G317">
            <v>1.2469959456218899E-3</v>
          </cell>
          <cell r="H317">
            <v>9.4821243874210694E-5</v>
          </cell>
          <cell r="I317">
            <v>9.1308973670201001E-4</v>
          </cell>
          <cell r="J317">
            <v>2.9117289067743602E-4</v>
          </cell>
          <cell r="K317">
            <v>6.5341328726738397E-4</v>
          </cell>
          <cell r="L317">
            <v>5.1199099783422403E-4</v>
          </cell>
          <cell r="M317">
            <v>4.8799815455083801E-4</v>
          </cell>
          <cell r="N317">
            <v>7.9301061383639602E-4</v>
          </cell>
          <cell r="O317">
            <v>2.8489000225702502E-4</v>
          </cell>
        </row>
        <row r="318">
          <cell r="A318" t="str">
            <v>T_B_c-BEVELC-S2</v>
          </cell>
          <cell r="B318" t="str">
            <v>VAR_cap</v>
          </cell>
          <cell r="C318" t="str">
            <v>-</v>
          </cell>
          <cell r="D318">
            <v>3.57204324259821E-6</v>
          </cell>
          <cell r="E318">
            <v>3.5325391764329756E-6</v>
          </cell>
          <cell r="F318">
            <v>3.9391584722186349E-6</v>
          </cell>
          <cell r="G318">
            <v>1.2474617999894127E-3</v>
          </cell>
          <cell r="H318">
            <v>1.2495450464673258E-3</v>
          </cell>
          <cell r="I318">
            <v>1.2503672523617186E-3</v>
          </cell>
          <cell r="J318">
            <v>1.2534284849877999E-3</v>
          </cell>
          <cell r="K318">
            <v>1.2564951095289001E-3</v>
          </cell>
          <cell r="L318">
            <v>1.29637695486743E-3</v>
          </cell>
          <cell r="M318">
            <v>1.3347613981970301E-3</v>
          </cell>
          <cell r="N318">
            <v>1.3716917896297708E-3</v>
          </cell>
          <cell r="O318">
            <v>1.4072222014680981E-3</v>
          </cell>
        </row>
        <row r="319">
          <cell r="A319" t="str">
            <v>T_B_c-BEVELC-S3</v>
          </cell>
          <cell r="B319" t="str">
            <v>VAR_fout</v>
          </cell>
          <cell r="C319" t="str">
            <v>TPBSc</v>
          </cell>
          <cell r="D319">
            <v>3.0434940525136905E-5</v>
          </cell>
          <cell r="E319">
            <v>3.4670652375794131E-5</v>
          </cell>
          <cell r="F319">
            <v>4.1740929630854064E-5</v>
          </cell>
          <cell r="G319">
            <v>1.2275636312288556E-2</v>
          </cell>
          <cell r="H319">
            <v>1.2298672306955454E-2</v>
          </cell>
          <cell r="I319">
            <v>1.230688676053694E-2</v>
          </cell>
          <cell r="J319">
            <v>1.2337194573680139E-2</v>
          </cell>
          <cell r="K319">
            <v>1.2367666548741715E-2</v>
          </cell>
          <cell r="L319">
            <v>1.2759956918361371E-2</v>
          </cell>
          <cell r="M319">
            <v>1.3137762049264411E-2</v>
          </cell>
          <cell r="N319">
            <v>1.3501304421997146E-2</v>
          </cell>
          <cell r="O319">
            <v>1.3851022728324235E-2</v>
          </cell>
        </row>
        <row r="320">
          <cell r="A320" t="str">
            <v>T_B_c-BEVELC-S3</v>
          </cell>
          <cell r="B320" t="str">
            <v>VAR_fin</v>
          </cell>
          <cell r="C320" t="str">
            <v>T-ELC-Bus_c_BatSTGout_S3</v>
          </cell>
          <cell r="D320">
            <v>1.6633804887793266E-4</v>
          </cell>
          <cell r="E320">
            <v>1.8880723079717671E-4</v>
          </cell>
          <cell r="F320">
            <v>2.2504071851634701E-4</v>
          </cell>
          <cell r="G320">
            <v>5.6843404361638969E-2</v>
          </cell>
          <cell r="H320">
            <v>5.6297493648438099E-2</v>
          </cell>
          <cell r="I320">
            <v>5.2051990177667505E-2</v>
          </cell>
          <cell r="J320">
            <v>5.0980045223009134E-2</v>
          </cell>
          <cell r="K320">
            <v>4.7840336429141282E-2</v>
          </cell>
          <cell r="L320">
            <v>4.8777180468337955E-2</v>
          </cell>
          <cell r="M320">
            <v>5.0116810870876632E-2</v>
          </cell>
          <cell r="N320">
            <v>5.1503621217226049E-2</v>
          </cell>
          <cell r="O320">
            <v>5.2837696697551742E-2</v>
          </cell>
        </row>
        <row r="321">
          <cell r="A321" t="str">
            <v>T_B_c-BEVELC-S3</v>
          </cell>
          <cell r="B321" t="str">
            <v>VAR_ncap</v>
          </cell>
          <cell r="C321" t="str">
            <v>-</v>
          </cell>
          <cell r="E321">
            <v>8.2061574223538904E-8</v>
          </cell>
          <cell r="F321">
            <v>1.3903550828503899E-7</v>
          </cell>
          <cell r="G321">
            <v>2.7509730868285101E-4</v>
          </cell>
          <cell r="H321">
            <v>5.9011274744417099E-5</v>
          </cell>
          <cell r="I321">
            <v>2.08421239998013E-4</v>
          </cell>
          <cell r="J321">
            <v>8.1853256777458593E-5</v>
          </cell>
          <cell r="K321">
            <v>1.8689624610064101E-4</v>
          </cell>
          <cell r="L321">
            <v>7.7800280014162404E-5</v>
          </cell>
          <cell r="M321">
            <v>2.26418855365618E-4</v>
          </cell>
          <cell r="N321">
            <v>6.69637704834657E-5</v>
          </cell>
          <cell r="O321">
            <v>2.34020549501395E-4</v>
          </cell>
        </row>
        <row r="322">
          <cell r="A322" t="str">
            <v>T_B_c-BEVELC-S3</v>
          </cell>
          <cell r="B322" t="str">
            <v>VAR_cap</v>
          </cell>
          <cell r="C322" t="str">
            <v>-</v>
          </cell>
          <cell r="D322">
            <v>7.9305164848136016E-7</v>
          </cell>
          <cell r="E322">
            <v>9.3110670614921909E-7</v>
          </cell>
          <cell r="F322">
            <v>1.071641106313278E-6</v>
          </cell>
          <cell r="G322">
            <v>2.7565820626450588E-4</v>
          </cell>
          <cell r="H322">
            <v>2.6765188967951841E-4</v>
          </cell>
          <cell r="I322">
            <v>2.6743251474243001E-4</v>
          </cell>
          <cell r="J322">
            <v>2.6809834843374099E-4</v>
          </cell>
          <cell r="K322">
            <v>2.6874950287809999E-4</v>
          </cell>
          <cell r="L322">
            <v>2.7727361280827599E-4</v>
          </cell>
          <cell r="M322">
            <v>2.85483437201455E-4</v>
          </cell>
          <cell r="N322">
            <v>2.9338262584908302E-4</v>
          </cell>
          <cell r="O322">
            <v>3.00984319984861E-4</v>
          </cell>
        </row>
        <row r="323">
          <cell r="A323" t="str">
            <v>T_B_c-BEVELC-S4</v>
          </cell>
          <cell r="B323" t="str">
            <v>VAR_fout</v>
          </cell>
          <cell r="C323" t="str">
            <v>TPBSc</v>
          </cell>
          <cell r="E323">
            <v>1.1854548601911428E-6</v>
          </cell>
          <cell r="F323">
            <v>2.121733118213288E-6</v>
          </cell>
          <cell r="G323">
            <v>3.0293015393423303E-7</v>
          </cell>
          <cell r="H323">
            <v>1.271534389544208E-6</v>
          </cell>
          <cell r="I323">
            <v>6.0582994638848711E-6</v>
          </cell>
          <cell r="J323">
            <v>7.3447640880253463E-6</v>
          </cell>
          <cell r="K323">
            <v>1.1067862275615753E-5</v>
          </cell>
          <cell r="L323">
            <v>1.0598984496005597E-5</v>
          </cell>
          <cell r="M323">
            <v>1.1033170617274269E-5</v>
          </cell>
          <cell r="N323">
            <v>1.5698073257558353E-5</v>
          </cell>
          <cell r="O323">
            <v>2.2202949230392915E-5</v>
          </cell>
        </row>
        <row r="324">
          <cell r="A324" t="str">
            <v>T_B_c-BEVELC-S4</v>
          </cell>
          <cell r="B324" t="str">
            <v>VAR_fin</v>
          </cell>
          <cell r="C324" t="str">
            <v>T-ELC-Bus_c_BatSTGout_S4</v>
          </cell>
          <cell r="E324">
            <v>9.3760549515635459E-6</v>
          </cell>
          <cell r="F324">
            <v>1.6376874204690267E-5</v>
          </cell>
          <cell r="G324">
            <v>2.1004284521524673E-6</v>
          </cell>
          <cell r="H324">
            <v>8.3633600640404774E-6</v>
          </cell>
          <cell r="I324">
            <v>3.8328549608244552E-5</v>
          </cell>
          <cell r="J324">
            <v>4.4318705842527918E-5</v>
          </cell>
          <cell r="K324">
            <v>6.3999962699846038E-5</v>
          </cell>
          <cell r="L324">
            <v>6.0401283849396671E-5</v>
          </cell>
          <cell r="M324">
            <v>6.2875615155768565E-5</v>
          </cell>
          <cell r="N324">
            <v>8.9459870337176527E-5</v>
          </cell>
          <cell r="O324">
            <v>1.2652972926454576E-4</v>
          </cell>
        </row>
        <row r="325">
          <cell r="A325" t="str">
            <v>T_B_c-BEVELC-S4</v>
          </cell>
          <cell r="B325" t="str">
            <v>VAR_ncap</v>
          </cell>
          <cell r="C325" t="str">
            <v>-</v>
          </cell>
          <cell r="E325">
            <v>4.7467203811558803E-8</v>
          </cell>
          <cell r="F325">
            <v>4.38633770026921E-8</v>
          </cell>
          <cell r="G325">
            <v>3.4361826053928898E-8</v>
          </cell>
          <cell r="H325">
            <v>5.6113014675073399E-8</v>
          </cell>
          <cell r="I325">
            <v>1.09716115039686E-7</v>
          </cell>
          <cell r="J325">
            <v>1.29447380697204E-7</v>
          </cell>
          <cell r="K325">
            <v>1.7027348997464299E-7</v>
          </cell>
          <cell r="L325">
            <v>1.70667140814738E-7</v>
          </cell>
          <cell r="M325">
            <v>2.1316874297625001E-7</v>
          </cell>
          <cell r="N325">
            <v>2.302787673166E-7</v>
          </cell>
          <cell r="O325">
            <v>3.3528548059983501E-7</v>
          </cell>
        </row>
        <row r="326">
          <cell r="A326" t="str">
            <v>T_B_c-BEVELC-S4</v>
          </cell>
          <cell r="B326" t="str">
            <v>VAR_cap</v>
          </cell>
          <cell r="C326" t="str">
            <v>-</v>
          </cell>
          <cell r="E326">
            <v>4.7467203811558803E-8</v>
          </cell>
          <cell r="F326">
            <v>9.1330580814250996E-8</v>
          </cell>
          <cell r="G326">
            <v>5.2053297140742692E-8</v>
          </cell>
          <cell r="H326">
            <v>6.5024222185189194E-8</v>
          </cell>
          <cell r="I326">
            <v>1.5515380490211099E-7</v>
          </cell>
          <cell r="J326">
            <v>1.8633639278966899E-7</v>
          </cell>
          <cell r="K326">
            <v>2.5763271628555102E-7</v>
          </cell>
          <cell r="L326">
            <v>2.4725809864418003E-7</v>
          </cell>
          <cell r="M326">
            <v>2.5742862324487699E-7</v>
          </cell>
          <cell r="N326">
            <v>3.5165445770897046E-7</v>
          </cell>
          <cell r="O326">
            <v>4.9069206233410899E-7</v>
          </cell>
        </row>
        <row r="327">
          <cell r="A327" t="str">
            <v>T_C-BAT-ELC-S1</v>
          </cell>
          <cell r="B327" t="str">
            <v>VAR_fout</v>
          </cell>
          <cell r="C327" t="str">
            <v>TPCAR</v>
          </cell>
          <cell r="D327">
            <v>1.3849738971882006E-2</v>
          </cell>
          <cell r="E327">
            <v>2.5586247627636702E-2</v>
          </cell>
          <cell r="F327">
            <v>2.0379046430940441E-2</v>
          </cell>
          <cell r="G327">
            <v>0.95376185799402957</v>
          </cell>
          <cell r="H327">
            <v>1.8846875526189983</v>
          </cell>
          <cell r="I327">
            <v>2.3102358871856876</v>
          </cell>
          <cell r="J327">
            <v>2.4089048706824716</v>
          </cell>
          <cell r="K327">
            <v>2.4470639763949888</v>
          </cell>
          <cell r="L327">
            <v>2.4367822497655327</v>
          </cell>
          <cell r="M327">
            <v>2.4305393308775827</v>
          </cell>
          <cell r="N327">
            <v>2.4237315698835116</v>
          </cell>
          <cell r="O327">
            <v>2.4218599152928513</v>
          </cell>
        </row>
        <row r="328">
          <cell r="A328" t="str">
            <v>T_C-BAT-ELC-S1</v>
          </cell>
          <cell r="B328" t="str">
            <v>VAR_fin</v>
          </cell>
          <cell r="C328" t="str">
            <v>T-ELC-car-BatSTGOut_S1</v>
          </cell>
          <cell r="D328">
            <v>7.6447277290911247E-3</v>
          </cell>
          <cell r="E328">
            <v>1.4123002398781429E-2</v>
          </cell>
          <cell r="F328">
            <v>1.1248750728034539E-2</v>
          </cell>
          <cell r="G328">
            <v>0.52645394527357259</v>
          </cell>
          <cell r="H328">
            <v>1.0107578946736964</v>
          </cell>
          <cell r="I328">
            <v>1.2050764196205983</v>
          </cell>
          <cell r="J328">
            <v>1.2007946186831195</v>
          </cell>
          <cell r="K328">
            <v>1.1555132079589332</v>
          </cell>
          <cell r="L328">
            <v>1.1015391361584586</v>
          </cell>
          <cell r="M328">
            <v>1.0447688346958732</v>
          </cell>
          <cell r="N328">
            <v>1.0104784642219535</v>
          </cell>
          <cell r="O328">
            <v>0.99301769236996618</v>
          </cell>
        </row>
        <row r="329">
          <cell r="A329" t="str">
            <v>T_C-BAT-ELC-S1</v>
          </cell>
          <cell r="B329" t="str">
            <v>VAR_ncap</v>
          </cell>
          <cell r="C329" t="str">
            <v>-</v>
          </cell>
          <cell r="D329">
            <v>2.1812351195602599E-5</v>
          </cell>
          <cell r="E329">
            <v>5.7960975689820495E-4</v>
          </cell>
          <cell r="F329">
            <v>4.6515739458972998E-4</v>
          </cell>
          <cell r="G329">
            <v>0.150176960106636</v>
          </cell>
          <cell r="H329">
            <v>0.17337260711423999</v>
          </cell>
          <cell r="I329">
            <v>0.13604517331117899</v>
          </cell>
          <cell r="J329">
            <v>0.15438950310039101</v>
          </cell>
          <cell r="K329">
            <v>0.16472281437564501</v>
          </cell>
          <cell r="L329">
            <v>0.13473255969587999</v>
          </cell>
          <cell r="M329">
            <v>0.13283344949907699</v>
          </cell>
          <cell r="N329">
            <v>0.129740317796574</v>
          </cell>
          <cell r="O329">
            <v>0.10548801462238901</v>
          </cell>
        </row>
        <row r="330">
          <cell r="A330" t="str">
            <v>T_C-BAT-ELC-S1</v>
          </cell>
          <cell r="B330" t="str">
            <v>VAR_cap</v>
          </cell>
          <cell r="C330" t="str">
            <v>-</v>
          </cell>
          <cell r="D330">
            <v>1.4934972936504224E-3</v>
          </cell>
          <cell r="E330">
            <v>2.7343185402527747E-3</v>
          </cell>
          <cell r="F330">
            <v>3.0908377014335492E-3</v>
          </cell>
          <cell r="G330">
            <v>0.14494455454973751</v>
          </cell>
          <cell r="H330">
            <v>0.28642277148258882</v>
          </cell>
          <cell r="I330">
            <v>0.35109713163810863</v>
          </cell>
          <cell r="J330">
            <v>0.36609309626456954</v>
          </cell>
          <cell r="K330">
            <v>0.37189183255896441</v>
          </cell>
          <cell r="L330">
            <v>0.3703291199156743</v>
          </cell>
          <cell r="M330">
            <v>0.3693794959369805</v>
          </cell>
          <cell r="N330">
            <v>0.36834497562539625</v>
          </cell>
          <cell r="O330">
            <v>0.36806174075407844</v>
          </cell>
        </row>
        <row r="331">
          <cell r="A331" t="str">
            <v>D-TNGA</v>
          </cell>
          <cell r="B331" t="str">
            <v>VAR_fout</v>
          </cell>
          <cell r="C331" t="str">
            <v>CO2</v>
          </cell>
          <cell r="D331">
            <v>13.445179045337801</v>
          </cell>
          <cell r="E331">
            <v>7.9834665841220298</v>
          </cell>
          <cell r="F331">
            <v>12.814114119590799</v>
          </cell>
          <cell r="G331">
            <v>0.523367123323073</v>
          </cell>
          <cell r="H331">
            <v>5.9533117570805601E-2</v>
          </cell>
          <cell r="I331">
            <v>2.2318744567681199E-2</v>
          </cell>
          <cell r="J331">
            <v>0.13184490286529199</v>
          </cell>
          <cell r="K331">
            <v>2.5687215897755598E-2</v>
          </cell>
        </row>
        <row r="332">
          <cell r="A332" t="str">
            <v>D-TNGA</v>
          </cell>
          <cell r="B332" t="str">
            <v>VAR_fout</v>
          </cell>
          <cell r="C332" t="str">
            <v>TNGA</v>
          </cell>
          <cell r="D332">
            <v>0.25718401308580474</v>
          </cell>
          <cell r="E332">
            <v>0.16308189971156387</v>
          </cell>
          <cell r="F332">
            <v>0.23003696537533411</v>
          </cell>
          <cell r="G332">
            <v>9.3180659073683336E-3</v>
          </cell>
          <cell r="H332">
            <v>1.1088034999549895E-3</v>
          </cell>
          <cell r="I332">
            <v>1.1160506302196917E-3</v>
          </cell>
          <cell r="J332">
            <v>2.414316768601335E-3</v>
          </cell>
          <cell r="K332">
            <v>1.8981337020736247E-3</v>
          </cell>
        </row>
        <row r="333">
          <cell r="A333" t="str">
            <v>D-TNGA</v>
          </cell>
          <cell r="B333" t="str">
            <v>VAR_fin</v>
          </cell>
          <cell r="C333" t="str">
            <v>NGA</v>
          </cell>
          <cell r="D333">
            <v>0.23838969938542162</v>
          </cell>
          <cell r="E333">
            <v>0.14155082595961049</v>
          </cell>
          <cell r="F333">
            <v>0.22720060495728306</v>
          </cell>
          <cell r="G333">
            <v>9.2795589241679542E-3</v>
          </cell>
          <cell r="H333">
            <v>1.0555517299788231E-3</v>
          </cell>
          <cell r="I333">
            <v>3.957224214127872E-4</v>
          </cell>
          <cell r="J333">
            <v>2.3376755827179516E-3</v>
          </cell>
          <cell r="K333">
            <v>4.5544709038573811E-4</v>
          </cell>
        </row>
        <row r="334">
          <cell r="A334" t="str">
            <v>D-TNGA</v>
          </cell>
          <cell r="B334" t="str">
            <v>VAR_fin</v>
          </cell>
          <cell r="C334" t="str">
            <v>BNGA</v>
          </cell>
          <cell r="D334">
            <v>1.9614677378487981E-2</v>
          </cell>
          <cell r="E334">
            <v>2.0109329491209974E-2</v>
          </cell>
          <cell r="F334">
            <v>1.5344290068350056E-3</v>
          </cell>
          <cell r="G334">
            <v>4.6780871572740713E-5</v>
          </cell>
          <cell r="H334">
            <v>4.6189723310201794E-5</v>
          </cell>
          <cell r="I334">
            <v>7.0413604264360301E-4</v>
          </cell>
          <cell r="J334">
            <v>5.0222158988007521E-5</v>
          </cell>
          <cell r="K334">
            <v>1.4063200287688883E-3</v>
          </cell>
        </row>
        <row r="335">
          <cell r="A335" t="str">
            <v>D-TNGA</v>
          </cell>
          <cell r="B335" t="str">
            <v>VAR_fin</v>
          </cell>
          <cell r="C335" t="str">
            <v>H2</v>
          </cell>
          <cell r="E335">
            <v>1.9418834634555133E-3</v>
          </cell>
          <cell r="F335">
            <v>2.0356297603475425E-3</v>
          </cell>
          <cell r="G335">
            <v>2.1259518439675455E-5</v>
          </cell>
          <cell r="H335">
            <v>1.0017042011985066E-5</v>
          </cell>
          <cell r="I335">
            <v>1.9410403194463824E-5</v>
          </cell>
          <cell r="J335">
            <v>3.5763661002376271E-5</v>
          </cell>
          <cell r="K335">
            <v>4.3862559188230491E-5</v>
          </cell>
        </row>
        <row r="336">
          <cell r="A336" t="str">
            <v>D-TNGA</v>
          </cell>
          <cell r="B336" t="str">
            <v>VAR_ncap</v>
          </cell>
          <cell r="C336" t="str">
            <v>-</v>
          </cell>
          <cell r="D336">
            <v>2.8275798654247001E-8</v>
          </cell>
          <cell r="E336">
            <v>1.9103190958644199E-8</v>
          </cell>
          <cell r="F336">
            <v>2.0763755689014102E-8</v>
          </cell>
          <cell r="G336">
            <v>2.1061837208101402E-8</v>
          </cell>
          <cell r="H336">
            <v>2.8400012350711001E-8</v>
          </cell>
          <cell r="I336">
            <v>3.64375969727934E-8</v>
          </cell>
          <cell r="J336">
            <v>4.7342640022940802E-8</v>
          </cell>
          <cell r="K336">
            <v>6.8690603125777198E-8</v>
          </cell>
        </row>
        <row r="337">
          <cell r="A337" t="str">
            <v>D-TNGA</v>
          </cell>
          <cell r="B337" t="str">
            <v>VAR_cap</v>
          </cell>
          <cell r="C337" t="str">
            <v>-</v>
          </cell>
          <cell r="D337">
            <v>0.95961772135744272</v>
          </cell>
          <cell r="E337">
            <v>0.95961774046063364</v>
          </cell>
          <cell r="F337">
            <v>0.95961776122438935</v>
          </cell>
          <cell r="G337">
            <v>0.95961778228622652</v>
          </cell>
          <cell r="H337">
            <v>0.95961781068623886</v>
          </cell>
          <cell r="I337">
            <v>0.9596178471238358</v>
          </cell>
          <cell r="J337">
            <v>0.95961789446647583</v>
          </cell>
          <cell r="K337">
            <v>0.32780302302211295</v>
          </cell>
          <cell r="L337">
            <v>2.7007543498222899E-7</v>
          </cell>
          <cell r="M337">
            <v>2.3981673733840598E-7</v>
          </cell>
          <cell r="N337">
            <v>1.9893351528331501E-7</v>
          </cell>
          <cell r="O337">
            <v>1.80870852472222E-7</v>
          </cell>
        </row>
        <row r="338">
          <cell r="A338" t="str">
            <v>T_C-BAT-ELC-S2</v>
          </cell>
          <cell r="B338" t="str">
            <v>VAR_fout</v>
          </cell>
          <cell r="C338" t="str">
            <v>TPCAR</v>
          </cell>
          <cell r="D338">
            <v>9.6873782145014659E-2</v>
          </cell>
          <cell r="E338">
            <v>0.14996698752410159</v>
          </cell>
          <cell r="F338">
            <v>1.5310139630705659</v>
          </cell>
          <cell r="G338">
            <v>8.4861887254999058</v>
          </cell>
          <cell r="H338">
            <v>16.751909689793671</v>
          </cell>
          <cell r="I338">
            <v>18.231573950343833</v>
          </cell>
          <cell r="J338">
            <v>18.220119692038509</v>
          </cell>
          <cell r="K338">
            <v>18.044762208941936</v>
          </cell>
          <cell r="L338">
            <v>17.986024675047101</v>
          </cell>
          <cell r="M338">
            <v>17.928127402792438</v>
          </cell>
          <cell r="N338">
            <v>17.880125467668943</v>
          </cell>
          <cell r="O338">
            <v>17.870400378374718</v>
          </cell>
        </row>
        <row r="339">
          <cell r="A339" t="str">
            <v>T_C-BAT-ELC-S2</v>
          </cell>
          <cell r="B339" t="str">
            <v>VAR_fin</v>
          </cell>
          <cell r="C339" t="str">
            <v>T-ELC-car-BatSTGOut_S2</v>
          </cell>
          <cell r="D339">
            <v>6.6179735501222234E-2</v>
          </cell>
          <cell r="E339">
            <v>0.10245058413641067</v>
          </cell>
          <cell r="F339">
            <v>1.0459186880204021</v>
          </cell>
          <cell r="G339">
            <v>5.7973758516657607</v>
          </cell>
          <cell r="H339">
            <v>11.033512474454923</v>
          </cell>
          <cell r="I339">
            <v>11.757361112917742</v>
          </cell>
          <cell r="J339">
            <v>11.279690462951084</v>
          </cell>
          <cell r="K339">
            <v>10.391493620597457</v>
          </cell>
          <cell r="L339">
            <v>9.9617419474348594</v>
          </cell>
          <cell r="M339">
            <v>9.444396234750343</v>
          </cell>
          <cell r="N339">
            <v>9.0825258686397543</v>
          </cell>
          <cell r="O339">
            <v>8.9261972866977111</v>
          </cell>
        </row>
        <row r="340">
          <cell r="A340" t="str">
            <v>T_C-BAT-ELC-S2</v>
          </cell>
          <cell r="B340" t="str">
            <v>VAR_ncap</v>
          </cell>
          <cell r="C340" t="str">
            <v>-</v>
          </cell>
          <cell r="D340">
            <v>6.5282448844817599E-5</v>
          </cell>
          <cell r="E340">
            <v>1.2427633439840899E-4</v>
          </cell>
          <cell r="F340">
            <v>0.106650271489867</v>
          </cell>
          <cell r="G340">
            <v>0.572111264042373</v>
          </cell>
          <cell r="H340">
            <v>1.2842178112042399</v>
          </cell>
          <cell r="I340">
            <v>0.55134868715171903</v>
          </cell>
          <cell r="J340">
            <v>0.70732499939890703</v>
          </cell>
          <cell r="K340">
            <v>0.99980836526340799</v>
          </cell>
          <cell r="L340">
            <v>0.61028372426965205</v>
          </cell>
          <cell r="M340">
            <v>0.66272876056391505</v>
          </cell>
          <cell r="N340">
            <v>0.72291551480030702</v>
          </cell>
          <cell r="O340">
            <v>0.49925658732170097</v>
          </cell>
        </row>
        <row r="341">
          <cell r="A341" t="str">
            <v>T_C-BAT-ELC-S2</v>
          </cell>
          <cell r="B341" t="str">
            <v>VAR_cap</v>
          </cell>
          <cell r="C341" t="str">
            <v>-</v>
          </cell>
          <cell r="D341">
            <v>7.3523560684385959E-3</v>
          </cell>
          <cell r="E341">
            <v>1.1378508160965198E-2</v>
          </cell>
          <cell r="F341">
            <v>0.1161635708108093</v>
          </cell>
          <cell r="G341">
            <v>0.64387356759931758</v>
          </cell>
          <cell r="H341">
            <v>1.7664148397095905</v>
          </cell>
          <cell r="I341">
            <v>1.9229857734961884</v>
          </cell>
          <cell r="J341">
            <v>1.9217835119935527</v>
          </cell>
          <cell r="K341">
            <v>1.9032876614347605</v>
          </cell>
          <cell r="L341">
            <v>1.8970912412802363</v>
          </cell>
          <cell r="M341">
            <v>1.8909840140365755</v>
          </cell>
          <cell r="N341">
            <v>1.8859217923433635</v>
          </cell>
          <cell r="O341">
            <v>1.8849008512279883</v>
          </cell>
        </row>
        <row r="342">
          <cell r="A342" t="str">
            <v>TFLGV-BeVELCExt</v>
          </cell>
          <cell r="B342" t="str">
            <v>VAR_fout</v>
          </cell>
          <cell r="C342" t="str">
            <v>TFLGV</v>
          </cell>
          <cell r="D342">
            <v>2.7950058851604325E-2</v>
          </cell>
          <cell r="E342">
            <v>2.4231692814353827E-2</v>
          </cell>
          <cell r="F342">
            <v>1.8633474432342319E-2</v>
          </cell>
          <cell r="G342">
            <v>9.2971342107150447E-3</v>
          </cell>
        </row>
        <row r="343">
          <cell r="A343" t="str">
            <v>TFLGV-BeVELCExt</v>
          </cell>
          <cell r="B343" t="str">
            <v>VAR_fin</v>
          </cell>
          <cell r="C343" t="str">
            <v>TELC</v>
          </cell>
          <cell r="D343">
            <v>4.0553006498147651E-2</v>
          </cell>
          <cell r="E343">
            <v>3.4833345969896685E-2</v>
          </cell>
          <cell r="F343">
            <v>2.6419899790334152E-2</v>
          </cell>
          <cell r="G343">
            <v>1.318215532354166E-2</v>
          </cell>
        </row>
        <row r="344">
          <cell r="A344" t="str">
            <v>TFLGV-BeVELCExt</v>
          </cell>
          <cell r="B344" t="str">
            <v>VAR_cap</v>
          </cell>
          <cell r="C344" t="str">
            <v>-</v>
          </cell>
          <cell r="D344">
            <v>1.9499892519642451E-3</v>
          </cell>
          <cell r="E344">
            <v>1.6900000000000001E-3</v>
          </cell>
          <cell r="F344">
            <v>1.2999999999999999E-3</v>
          </cell>
          <cell r="G344">
            <v>6.4999999999999997E-4</v>
          </cell>
        </row>
        <row r="345">
          <cell r="A345" t="str">
            <v>T_C-BAT-ELC-S3</v>
          </cell>
          <cell r="B345" t="str">
            <v>VAR_fout</v>
          </cell>
          <cell r="C345" t="str">
            <v>TPCAR</v>
          </cell>
          <cell r="D345">
            <v>6.1481029964642046E-2</v>
          </cell>
          <cell r="E345">
            <v>0.12644422081193865</v>
          </cell>
          <cell r="F345">
            <v>0.1306217808122222</v>
          </cell>
          <cell r="G345">
            <v>0.1077730018113611</v>
          </cell>
          <cell r="H345">
            <v>0.84886740298060992</v>
          </cell>
          <cell r="I345">
            <v>5.9599331196929386</v>
          </cell>
          <cell r="J345">
            <v>5.3033976208909435</v>
          </cell>
          <cell r="K345">
            <v>12.463133667521046</v>
          </cell>
          <cell r="L345">
            <v>14.094607543938519</v>
          </cell>
          <cell r="M345">
            <v>16.962771824991208</v>
          </cell>
          <cell r="N345">
            <v>23.760241595445464</v>
          </cell>
          <cell r="O345">
            <v>19.700318163682581</v>
          </cell>
        </row>
        <row r="346">
          <cell r="A346" t="str">
            <v>T_C-BAT-ELC-S3</v>
          </cell>
          <cell r="B346" t="str">
            <v>VAR_fin</v>
          </cell>
          <cell r="C346" t="str">
            <v>T-ELC-car-BatSTGOut_S3</v>
          </cell>
          <cell r="D346">
            <v>4.5968750004067208E-2</v>
          </cell>
          <cell r="E346">
            <v>9.4541076805412377E-2</v>
          </cell>
          <cell r="F346">
            <v>9.7664596554357344E-2</v>
          </cell>
          <cell r="G346">
            <v>8.0580793462690994E-2</v>
          </cell>
          <cell r="H346">
            <v>0.60335284264679845</v>
          </cell>
          <cell r="I346">
            <v>4.0496761800245666</v>
          </cell>
          <cell r="J346">
            <v>3.584852918406026</v>
          </cell>
          <cell r="K346">
            <v>7.7999937258640051</v>
          </cell>
          <cell r="L346">
            <v>8.4134598556034508</v>
          </cell>
          <cell r="M346">
            <v>9.6751946999888077</v>
          </cell>
          <cell r="N346">
            <v>13.068896185918524</v>
          </cell>
          <cell r="O346">
            <v>10.736058370911076</v>
          </cell>
        </row>
        <row r="347">
          <cell r="A347" t="str">
            <v>T_C-BAT-ELC-S3</v>
          </cell>
          <cell r="B347" t="str">
            <v>VAR_ncap</v>
          </cell>
          <cell r="C347" t="str">
            <v>-</v>
          </cell>
          <cell r="D347">
            <v>4.4313882400467799E-5</v>
          </cell>
          <cell r="E347">
            <v>2.5581375002575002E-3</v>
          </cell>
          <cell r="F347">
            <v>6.3588903021440199E-4</v>
          </cell>
          <cell r="G347">
            <v>9.0795436843622704E-5</v>
          </cell>
          <cell r="H347">
            <v>5.7833116553525701E-2</v>
          </cell>
          <cell r="I347">
            <v>0.37059073436264101</v>
          </cell>
          <cell r="J347">
            <v>2.8474518614206901E-2</v>
          </cell>
          <cell r="K347">
            <v>0.62303173598682904</v>
          </cell>
          <cell r="L347">
            <v>0.386553104665745</v>
          </cell>
          <cell r="M347">
            <v>0.54437699401060202</v>
          </cell>
          <cell r="N347">
            <v>1.3905242645698499</v>
          </cell>
          <cell r="O347">
            <v>1.39623117443948E-4</v>
          </cell>
        </row>
        <row r="348">
          <cell r="A348" t="str">
            <v>T_C-BAT-ELC-S3</v>
          </cell>
          <cell r="B348" t="str">
            <v>VAR_cap</v>
          </cell>
          <cell r="C348" t="str">
            <v>-</v>
          </cell>
          <cell r="D348">
            <v>4.2654620095566352E-3</v>
          </cell>
          <cell r="E348">
            <v>8.6958694415253009E-3</v>
          </cell>
          <cell r="F348">
            <v>8.98623067925358E-3</v>
          </cell>
          <cell r="G348">
            <v>7.41516952312277E-3</v>
          </cell>
          <cell r="H348">
            <v>5.8372707699285514E-2</v>
          </cell>
          <cell r="I348">
            <v>0.40979375146838654</v>
          </cell>
          <cell r="J348">
            <v>0.36465464072933701</v>
          </cell>
          <cell r="K348">
            <v>0.85694263589048103</v>
          </cell>
          <cell r="L348">
            <v>0.9691172366848928</v>
          </cell>
          <cell r="M348">
            <v>1.3160197743865301</v>
          </cell>
          <cell r="N348">
            <v>2.2509212374207199</v>
          </cell>
          <cell r="O348">
            <v>1.9350408816978899</v>
          </cell>
        </row>
        <row r="349">
          <cell r="A349" t="str">
            <v>T_C-BAT-ELC-S4</v>
          </cell>
          <cell r="B349" t="str">
            <v>VAR_fout</v>
          </cell>
          <cell r="C349" t="str">
            <v>TPCAR</v>
          </cell>
          <cell r="D349">
            <v>0.1935815471325632</v>
          </cell>
          <cell r="E349">
            <v>1.2666840144249343</v>
          </cell>
          <cell r="F349">
            <v>3.3638313600514889</v>
          </cell>
          <cell r="G349">
            <v>12.71651186135726</v>
          </cell>
          <cell r="H349">
            <v>20.544581905301129</v>
          </cell>
          <cell r="I349">
            <v>22.632811688434195</v>
          </cell>
          <cell r="J349">
            <v>23.203213581836405</v>
          </cell>
          <cell r="K349">
            <v>23.569981084145894</v>
          </cell>
          <cell r="L349">
            <v>22.00752665295477</v>
          </cell>
          <cell r="M349">
            <v>19.203502685413468</v>
          </cell>
          <cell r="N349">
            <v>12.460843023836933</v>
          </cell>
          <cell r="O349">
            <v>17.100355015553781</v>
          </cell>
        </row>
        <row r="350">
          <cell r="A350" t="str">
            <v>T_C-BAT-ELC-S4</v>
          </cell>
          <cell r="B350" t="str">
            <v>VAR_fin</v>
          </cell>
          <cell r="C350" t="str">
            <v>T-ELC-car-BatSTGOut_S4</v>
          </cell>
          <cell r="D350">
            <v>0.14948694572155136</v>
          </cell>
          <cell r="E350">
            <v>0.97815482578527768</v>
          </cell>
          <cell r="F350">
            <v>2.5976074857595934</v>
          </cell>
          <cell r="G350">
            <v>9.8199055981529959</v>
          </cell>
          <cell r="H350">
            <v>15.467765203465438</v>
          </cell>
          <cell r="I350">
            <v>16.44713409420401</v>
          </cell>
          <cell r="J350">
            <v>16.063579890667697</v>
          </cell>
          <cell r="K350">
            <v>15.53492752434064</v>
          </cell>
          <cell r="L350">
            <v>13.927165522561532</v>
          </cell>
          <cell r="M350">
            <v>11.663508793871788</v>
          </cell>
          <cell r="N350">
            <v>7.4132641136435042</v>
          </cell>
          <cell r="O350">
            <v>9.8727952435161779</v>
          </cell>
        </row>
        <row r="351">
          <cell r="A351" t="str">
            <v>T_C-BAT-ELC-S4</v>
          </cell>
          <cell r="B351" t="str">
            <v>VAR_ncap</v>
          </cell>
          <cell r="C351" t="str">
            <v>-</v>
          </cell>
          <cell r="D351">
            <v>1.37811314613645E-4</v>
          </cell>
          <cell r="E351">
            <v>7.26390351848831E-2</v>
          </cell>
          <cell r="F351">
            <v>0.17269522855085601</v>
          </cell>
          <cell r="G351">
            <v>0.81745006363809902</v>
          </cell>
          <cell r="H351">
            <v>0.87650466454385401</v>
          </cell>
          <cell r="I351">
            <v>0.81136642808404702</v>
          </cell>
          <cell r="J351">
            <v>0.963097975444419</v>
          </cell>
          <cell r="K351">
            <v>0.97994232243162704</v>
          </cell>
          <cell r="L351">
            <v>0.984032434656957</v>
          </cell>
          <cell r="M351">
            <v>0.56901618938526399</v>
          </cell>
          <cell r="N351">
            <v>7.0334967392519293E-2</v>
          </cell>
          <cell r="O351">
            <v>1.2841922147411999</v>
          </cell>
        </row>
        <row r="352">
          <cell r="A352" t="str">
            <v>T_C-BAT-ELC-S4</v>
          </cell>
          <cell r="B352" t="str">
            <v>VAR_cap</v>
          </cell>
          <cell r="C352" t="str">
            <v>-</v>
          </cell>
          <cell r="D352">
            <v>1.534060986716171E-2</v>
          </cell>
          <cell r="E352">
            <v>9.9741454962733594E-2</v>
          </cell>
          <cell r="F352">
            <v>0.26488161832622981</v>
          </cell>
          <cell r="G352">
            <v>1.0013096019749277</v>
          </cell>
          <cell r="H352">
            <v>1.6191524572458829</v>
          </cell>
          <cell r="I352">
            <v>1.9381324930898223</v>
          </cell>
          <cell r="J352">
            <v>2.1265488042383636</v>
          </cell>
          <cell r="K352">
            <v>2.2509400934060499</v>
          </cell>
          <cell r="L352">
            <v>2.4097035335607804</v>
          </cell>
          <cell r="M352">
            <v>2.15874115840752</v>
          </cell>
          <cell r="N352">
            <v>1.3932355558662661</v>
          </cell>
          <cell r="O352">
            <v>1.92354337151899</v>
          </cell>
        </row>
        <row r="353">
          <cell r="A353" t="str">
            <v>T_B_c-ICENGA-S1</v>
          </cell>
          <cell r="B353" t="str">
            <v>VAR_fout</v>
          </cell>
          <cell r="C353" t="str">
            <v>CO2_T</v>
          </cell>
          <cell r="E353">
            <v>5.3607285441439499E-3</v>
          </cell>
          <cell r="F353">
            <v>0.53628496511181734</v>
          </cell>
          <cell r="G353">
            <v>0.43399762170835443</v>
          </cell>
          <cell r="J353">
            <v>7.7766885881976194E-2</v>
          </cell>
          <cell r="K353">
            <v>7.7818908589992394E-2</v>
          </cell>
        </row>
        <row r="354">
          <cell r="A354" t="str">
            <v>T_B_c-ICENGA-S1</v>
          </cell>
          <cell r="B354" t="str">
            <v>VAR_fout</v>
          </cell>
          <cell r="C354" t="str">
            <v>TPBSc</v>
          </cell>
          <cell r="E354">
            <v>1.142838128001254E-5</v>
          </cell>
          <cell r="F354">
            <v>1.2049358645278617E-3</v>
          </cell>
          <cell r="G354">
            <v>9.7929230349132331E-4</v>
          </cell>
          <cell r="J354">
            <v>2.2129816376232502E-4</v>
          </cell>
          <cell r="K354">
            <v>2.2144620273324925E-4</v>
          </cell>
        </row>
        <row r="355">
          <cell r="A355" t="str">
            <v>T_B_c-ICENGA-S1</v>
          </cell>
          <cell r="B355" t="str">
            <v>VAR_fin</v>
          </cell>
          <cell r="C355" t="str">
            <v>TNGA</v>
          </cell>
          <cell r="E355">
            <v>9.5048378442268654E-5</v>
          </cell>
          <cell r="F355">
            <v>9.5085986721953394E-3</v>
          </cell>
          <cell r="G355">
            <v>7.6949932927013204E-3</v>
          </cell>
          <cell r="J355">
            <v>1.3788454943612803E-3</v>
          </cell>
          <cell r="K355">
            <v>1.3797678828012837E-3</v>
          </cell>
        </row>
        <row r="356">
          <cell r="A356" t="str">
            <v>T_B_c-ICENGA-S1</v>
          </cell>
          <cell r="B356" t="str">
            <v>VAR_ncap</v>
          </cell>
          <cell r="C356" t="str">
            <v>-</v>
          </cell>
          <cell r="E356">
            <v>3.3218738363998098E-7</v>
          </cell>
          <cell r="F356">
            <v>2.5927031721357499E-5</v>
          </cell>
          <cell r="G356">
            <v>1.3329170570313799E-6</v>
          </cell>
          <cell r="J356">
            <v>4.8120178639716602E-6</v>
          </cell>
        </row>
        <row r="357">
          <cell r="A357" t="str">
            <v>T_B_c-ICENGA-S1</v>
          </cell>
          <cell r="B357" t="str">
            <v>VAR_cap</v>
          </cell>
          <cell r="C357" t="str">
            <v>-</v>
          </cell>
          <cell r="E357">
            <v>3.3218738363998098E-7</v>
          </cell>
          <cell r="F357">
            <v>2.6259219104997401E-5</v>
          </cell>
          <cell r="G357">
            <v>2.7548122852288199E-5</v>
          </cell>
          <cell r="H357">
            <v>4.6055407431995265E-9</v>
          </cell>
          <cell r="I357">
            <v>9.8375545387399092E-10</v>
          </cell>
          <cell r="J357">
            <v>4.8120178639716602E-6</v>
          </cell>
          <cell r="K357">
            <v>4.8120178639716602E-6</v>
          </cell>
        </row>
        <row r="358">
          <cell r="A358" t="str">
            <v>TFLGV-FCLH2O</v>
          </cell>
          <cell r="B358" t="str">
            <v>VAR_fout</v>
          </cell>
          <cell r="C358" t="str">
            <v>TFLGV</v>
          </cell>
          <cell r="E358">
            <v>8.8046500084948448E-6</v>
          </cell>
          <cell r="F358">
            <v>1.1667749260513766E-5</v>
          </cell>
          <cell r="H358">
            <v>4.0679191730376904E-8</v>
          </cell>
          <cell r="I358">
            <v>1.2477147520426189E-7</v>
          </cell>
          <cell r="K358">
            <v>8.3066124834194387E-8</v>
          </cell>
          <cell r="N358">
            <v>4.0638902800071997E-8</v>
          </cell>
          <cell r="O358">
            <v>1.0720816212271476E-6</v>
          </cell>
        </row>
        <row r="359">
          <cell r="A359" t="str">
            <v>TFLGV-FCLH2O</v>
          </cell>
          <cell r="B359" t="str">
            <v>VAR_fin</v>
          </cell>
          <cell r="C359" t="str">
            <v>TH2O</v>
          </cell>
          <cell r="E359">
            <v>1.8930520413551818E-5</v>
          </cell>
          <cell r="F359">
            <v>2.4717666339855242E-5</v>
          </cell>
          <cell r="H359">
            <v>7.3546569027512002E-8</v>
          </cell>
          <cell r="I359">
            <v>2.1935210625937272E-7</v>
          </cell>
          <cell r="K359">
            <v>1.3734419852837261E-7</v>
          </cell>
          <cell r="N359">
            <v>6.71936670368265E-8</v>
          </cell>
          <cell r="O359">
            <v>1.7726141831986287E-6</v>
          </cell>
        </row>
        <row r="360">
          <cell r="A360" t="str">
            <v>TFLGV-FCLH2O</v>
          </cell>
          <cell r="B360" t="str">
            <v>VAR_ncap</v>
          </cell>
          <cell r="C360" t="str">
            <v>-</v>
          </cell>
          <cell r="E360">
            <v>7.0412539397027599E-7</v>
          </cell>
          <cell r="F360">
            <v>3.1259481964546598E-7</v>
          </cell>
          <cell r="G360">
            <v>3.6492009782770602E-8</v>
          </cell>
          <cell r="H360">
            <v>3.8845994105968203E-8</v>
          </cell>
          <cell r="I360">
            <v>4.1953646697112701E-8</v>
          </cell>
          <cell r="J360">
            <v>3.48941740302239E-8</v>
          </cell>
          <cell r="K360">
            <v>3.9655088159746299E-8</v>
          </cell>
          <cell r="L360">
            <v>3.3106167905469303E-8</v>
          </cell>
          <cell r="M360">
            <v>3.18681728266848E-8</v>
          </cell>
          <cell r="N360">
            <v>3.8277367025812701E-8</v>
          </cell>
          <cell r="O360">
            <v>8.3100585943604299E-8</v>
          </cell>
        </row>
        <row r="361">
          <cell r="A361" t="str">
            <v>TFLGV-FCLH2O</v>
          </cell>
          <cell r="B361" t="str">
            <v>VAR_cap</v>
          </cell>
          <cell r="C361" t="str">
            <v>-</v>
          </cell>
          <cell r="E361">
            <v>7.0412539397027599E-7</v>
          </cell>
          <cell r="F361">
            <v>1.0167202136157399E-6</v>
          </cell>
          <cell r="G361">
            <v>9.9268866852041113E-8</v>
          </cell>
          <cell r="H361">
            <v>9.5211202574668004E-8</v>
          </cell>
          <cell r="I361">
            <v>8.8462851114039902E-8</v>
          </cell>
          <cell r="J361">
            <v>9.6989895823952001E-8</v>
          </cell>
          <cell r="K361">
            <v>8.8880512001863502E-8</v>
          </cell>
          <cell r="L361">
            <v>8.8457027472295805E-8</v>
          </cell>
          <cell r="M361">
            <v>8.5291379243305996E-8</v>
          </cell>
          <cell r="N361">
            <v>7.6009367983718095E-8</v>
          </cell>
          <cell r="O361">
            <v>1.42884598427108E-7</v>
          </cell>
        </row>
        <row r="362">
          <cell r="A362" t="str">
            <v>T_B_c-ICENGA-S2</v>
          </cell>
          <cell r="B362" t="str">
            <v>VAR_fout</v>
          </cell>
          <cell r="C362" t="str">
            <v>CO2_T</v>
          </cell>
          <cell r="E362">
            <v>1.5898797572057E-3</v>
          </cell>
          <cell r="F362">
            <v>8.4895794013500302E-3</v>
          </cell>
          <cell r="J362">
            <v>7.3130354764957997E-5</v>
          </cell>
          <cell r="K362">
            <v>1.02229716132197E-4</v>
          </cell>
        </row>
        <row r="363">
          <cell r="A363" t="str">
            <v>T_B_c-ICENGA-S2</v>
          </cell>
          <cell r="B363" t="str">
            <v>VAR_fout</v>
          </cell>
          <cell r="C363" t="str">
            <v>TPBSc</v>
          </cell>
          <cell r="E363">
            <v>2.3960411490291025E-6</v>
          </cell>
          <cell r="F363">
            <v>1.3307097385660107E-5</v>
          </cell>
          <cell r="J363">
            <v>1.4517060226778169E-7</v>
          </cell>
          <cell r="K363">
            <v>2.0293555949884012E-7</v>
          </cell>
        </row>
        <row r="364">
          <cell r="A364" t="str">
            <v>T_B_c-ICENGA-S2</v>
          </cell>
          <cell r="B364" t="str">
            <v>VAR_fin</v>
          </cell>
          <cell r="C364" t="str">
            <v>TNGA</v>
          </cell>
          <cell r="E364">
            <v>2.8189357397264138E-5</v>
          </cell>
          <cell r="F364">
            <v>1.5052445747074526E-4</v>
          </cell>
          <cell r="J364">
            <v>1.2966374958325891E-6</v>
          </cell>
          <cell r="K364">
            <v>1.8125836193651976E-6</v>
          </cell>
        </row>
        <row r="365">
          <cell r="A365" t="str">
            <v>T_B_c-ICENGA-S2</v>
          </cell>
          <cell r="B365" t="str">
            <v>VAR_ncap</v>
          </cell>
          <cell r="C365" t="str">
            <v>-</v>
          </cell>
          <cell r="E365">
            <v>8.3943119908762095E-8</v>
          </cell>
          <cell r="F365">
            <v>2.3869836592390202E-7</v>
          </cell>
          <cell r="J365">
            <v>1.46931350180444E-8</v>
          </cell>
        </row>
        <row r="366">
          <cell r="A366" t="str">
            <v>T_B_c-ICENGA-S2</v>
          </cell>
          <cell r="B366" t="str">
            <v>VAR_cap</v>
          </cell>
          <cell r="C366" t="str">
            <v>-</v>
          </cell>
          <cell r="E366">
            <v>8.3943119908762095E-8</v>
          </cell>
          <cell r="F366">
            <v>3.2264148583266401E-7</v>
          </cell>
          <cell r="G366">
            <v>2.1587209139490031E-9</v>
          </cell>
          <cell r="H366">
            <v>3.2775431862000181E-10</v>
          </cell>
          <cell r="J366">
            <v>1.46931350180444E-8</v>
          </cell>
          <cell r="K366">
            <v>1.46931350180444E-8</v>
          </cell>
        </row>
        <row r="367">
          <cell r="A367" t="str">
            <v>T_B_u-ICEDSL-S1</v>
          </cell>
          <cell r="B367" t="str">
            <v>VAR_fout</v>
          </cell>
          <cell r="C367" t="str">
            <v>CO2_T</v>
          </cell>
          <cell r="D367">
            <v>1.914291145250974E-2</v>
          </cell>
          <cell r="E367">
            <v>14.021599218696206</v>
          </cell>
          <cell r="F367">
            <v>29.183153191435352</v>
          </cell>
          <cell r="G367">
            <v>3.32666547501977E-3</v>
          </cell>
        </row>
        <row r="368">
          <cell r="A368" t="str">
            <v>T_B_u-ICEDSL-S1</v>
          </cell>
          <cell r="B368" t="str">
            <v>VAR_fout</v>
          </cell>
          <cell r="C368" t="str">
            <v>TPBSu</v>
          </cell>
          <cell r="D368">
            <v>3.236253274833215E-5</v>
          </cell>
          <cell r="E368">
            <v>2.4582584215239778E-2</v>
          </cell>
          <cell r="F368">
            <v>5.2591111251090034E-2</v>
          </cell>
          <cell r="G368">
            <v>5.6239783924800164E-6</v>
          </cell>
        </row>
        <row r="369">
          <cell r="A369" t="str">
            <v>T_B_u-ICEDSL-S1</v>
          </cell>
          <cell r="B369" t="str">
            <v>VAR_fin</v>
          </cell>
          <cell r="C369" t="str">
            <v>TDSL</v>
          </cell>
          <cell r="D369">
            <v>2.6115840999331192E-4</v>
          </cell>
          <cell r="E369">
            <v>0.191290575971299</v>
          </cell>
          <cell r="F369">
            <v>0.39813305854618469</v>
          </cell>
          <cell r="G369">
            <v>4.5384249318141495E-5</v>
          </cell>
        </row>
        <row r="370">
          <cell r="A370" t="str">
            <v>T_B_u-ICEDSL-S1</v>
          </cell>
          <cell r="B370" t="str">
            <v>VAR_ncap</v>
          </cell>
          <cell r="C370" t="str">
            <v>-</v>
          </cell>
          <cell r="E370">
            <v>4.62972833813945E-4</v>
          </cell>
          <cell r="F370">
            <v>5.2817498888953597E-4</v>
          </cell>
        </row>
        <row r="371">
          <cell r="A371" t="str">
            <v>T_B_u-ICEDSL-S1</v>
          </cell>
          <cell r="B371" t="str">
            <v>VAR_cap</v>
          </cell>
          <cell r="C371" t="str">
            <v>-</v>
          </cell>
          <cell r="D371">
            <v>7.0464135021097004E-7</v>
          </cell>
          <cell r="E371">
            <v>4.6380476067751746E-4</v>
          </cell>
          <cell r="F371">
            <v>9.9197974956705343E-4</v>
          </cell>
          <cell r="G371">
            <v>1.2315567350640582E-7</v>
          </cell>
          <cell r="H371">
            <v>1.7614451601954614E-10</v>
          </cell>
        </row>
        <row r="372">
          <cell r="A372" t="str">
            <v>T_B_c-ICENGA-S3</v>
          </cell>
          <cell r="B372" t="str">
            <v>VAR_fout</v>
          </cell>
          <cell r="C372" t="str">
            <v>CO2_T</v>
          </cell>
          <cell r="E372">
            <v>1.0806536029463801E-3</v>
          </cell>
          <cell r="F372">
            <v>5.2131291525509401E-3</v>
          </cell>
        </row>
        <row r="373">
          <cell r="A373" t="str">
            <v>T_B_c-ICENGA-S3</v>
          </cell>
          <cell r="B373" t="str">
            <v>VAR_fout</v>
          </cell>
          <cell r="C373" t="str">
            <v>TPBSc</v>
          </cell>
          <cell r="E373">
            <v>1.081077691680985E-6</v>
          </cell>
          <cell r="F373">
            <v>5.4184494936978191E-6</v>
          </cell>
        </row>
        <row r="374">
          <cell r="A374" t="str">
            <v>T_B_c-ICENGA-S3</v>
          </cell>
          <cell r="B374" t="str">
            <v>VAR_fin</v>
          </cell>
          <cell r="C374" t="str">
            <v>TNGA</v>
          </cell>
          <cell r="E374">
            <v>1.9160524874935852E-5</v>
          </cell>
          <cell r="F374">
            <v>9.2431367953030739E-5</v>
          </cell>
        </row>
        <row r="375">
          <cell r="A375" t="str">
            <v>T_B_c-ICENGA-S3</v>
          </cell>
          <cell r="B375" t="str">
            <v>VAR_ncap</v>
          </cell>
          <cell r="C375" t="str">
            <v>-</v>
          </cell>
          <cell r="E375">
            <v>4.7773913372694699E-8</v>
          </cell>
          <cell r="F375">
            <v>1.05429597036227E-7</v>
          </cell>
        </row>
        <row r="376">
          <cell r="A376" t="str">
            <v>T_B_c-ICENGA-S3</v>
          </cell>
          <cell r="B376" t="str">
            <v>VAR_cap</v>
          </cell>
          <cell r="C376" t="str">
            <v>-</v>
          </cell>
          <cell r="E376">
            <v>4.7773913372694699E-8</v>
          </cell>
          <cell r="F376">
            <v>1.5320351040892201E-7</v>
          </cell>
          <cell r="G376">
            <v>7.6163569256297973E-10</v>
          </cell>
        </row>
        <row r="377">
          <cell r="A377" t="str">
            <v>T_B_u-ICEDSL-S2</v>
          </cell>
          <cell r="B377" t="str">
            <v>VAR_fout</v>
          </cell>
          <cell r="C377" t="str">
            <v>CO2_T</v>
          </cell>
          <cell r="D377">
            <v>8.1301154643967806</v>
          </cell>
          <cell r="E377">
            <v>10.074440105605486</v>
          </cell>
          <cell r="F377">
            <v>17.725557473286425</v>
          </cell>
        </row>
        <row r="378">
          <cell r="A378" t="str">
            <v>T_B_u-ICEDSL-S2</v>
          </cell>
          <cell r="B378" t="str">
            <v>VAR_fout</v>
          </cell>
          <cell r="C378" t="str">
            <v>TPBSu</v>
          </cell>
          <cell r="D378">
            <v>9.7013293323655429E-3</v>
          </cell>
          <cell r="E378">
            <v>1.2070181207925645E-2</v>
          </cell>
          <cell r="F378">
            <v>2.2004068024178449E-2</v>
          </cell>
        </row>
        <row r="379">
          <cell r="A379" t="str">
            <v>T_B_u-ICEDSL-S2</v>
          </cell>
          <cell r="B379" t="str">
            <v>VAR_fin</v>
          </cell>
          <cell r="C379" t="str">
            <v>TDSL</v>
          </cell>
          <cell r="D379">
            <v>0.11091562707226174</v>
          </cell>
          <cell r="E379">
            <v>0.13744120198643217</v>
          </cell>
          <cell r="F379">
            <v>0.24182206648412602</v>
          </cell>
        </row>
        <row r="380">
          <cell r="A380" t="str">
            <v>T_B_u-ICEDSL-S2</v>
          </cell>
          <cell r="B380" t="str">
            <v>VAR_ncap</v>
          </cell>
          <cell r="C380" t="str">
            <v>-</v>
          </cell>
          <cell r="E380">
            <v>1.00828410549853E-5</v>
          </cell>
          <cell r="F380">
            <v>1.8702909348011399E-4</v>
          </cell>
        </row>
        <row r="381">
          <cell r="A381" t="str">
            <v>T_B_u-ICEDSL-S2</v>
          </cell>
          <cell r="B381" t="str">
            <v>VAR_cap</v>
          </cell>
          <cell r="C381" t="str">
            <v>-</v>
          </cell>
          <cell r="D381">
            <v>1.8461603375527399E-4</v>
          </cell>
          <cell r="E381">
            <v>2.2804767931096229E-4</v>
          </cell>
          <cell r="F381">
            <v>4.1507677279107599E-4</v>
          </cell>
          <cell r="G381">
            <v>2.4210598940140743E-9</v>
          </cell>
          <cell r="H381">
            <v>1.2685278361047013E-9</v>
          </cell>
        </row>
        <row r="382">
          <cell r="A382" t="str">
            <v>T_B_c-ICENGA-S4</v>
          </cell>
          <cell r="B382" t="str">
            <v>VAR_fout</v>
          </cell>
          <cell r="C382" t="str">
            <v>CO2_T</v>
          </cell>
          <cell r="F382">
            <v>2.8847147105888937E-4</v>
          </cell>
        </row>
        <row r="383">
          <cell r="A383" t="str">
            <v>T_B_c-ICENGA-S4</v>
          </cell>
          <cell r="B383" t="str">
            <v>VAR_fout</v>
          </cell>
          <cell r="C383" t="str">
            <v>TPBSc</v>
          </cell>
          <cell r="F383">
            <v>2.0064586217885761E-7</v>
          </cell>
        </row>
        <row r="384">
          <cell r="A384" t="str">
            <v>T_B_c-ICENGA-S4</v>
          </cell>
          <cell r="B384" t="str">
            <v>VAR_fin</v>
          </cell>
          <cell r="C384" t="str">
            <v>TNGA</v>
          </cell>
          <cell r="F384">
            <v>5.1147423946611564E-6</v>
          </cell>
        </row>
        <row r="385">
          <cell r="A385" t="str">
            <v>T_B_c-ICENGA-S4</v>
          </cell>
          <cell r="B385" t="str">
            <v>VAR_ncap</v>
          </cell>
          <cell r="C385" t="str">
            <v>-</v>
          </cell>
          <cell r="E385">
            <v>1.28331919251515E-8</v>
          </cell>
          <cell r="F385">
            <v>1.77929090060248E-8</v>
          </cell>
        </row>
        <row r="386">
          <cell r="A386" t="str">
            <v>T_B_c-ICENGA-S4</v>
          </cell>
          <cell r="B386" t="str">
            <v>VAR_cap</v>
          </cell>
          <cell r="C386" t="str">
            <v>-</v>
          </cell>
          <cell r="E386">
            <v>1.28331919251515E-8</v>
          </cell>
          <cell r="F386">
            <v>3.0626100931176298E-8</v>
          </cell>
          <cell r="G386">
            <v>1.0761852040465E-9</v>
          </cell>
        </row>
        <row r="387">
          <cell r="A387" t="str">
            <v>T_B_u-ICEDSL-S3</v>
          </cell>
          <cell r="B387" t="str">
            <v>VAR_fout</v>
          </cell>
          <cell r="C387" t="str">
            <v>CO2_T</v>
          </cell>
          <cell r="D387">
            <v>45.568210415852057</v>
          </cell>
          <cell r="E387">
            <v>67.390803526147167</v>
          </cell>
          <cell r="F387">
            <v>118.7203860164087</v>
          </cell>
        </row>
        <row r="388">
          <cell r="A388" t="str">
            <v>T_B_u-ICEDSL-S3</v>
          </cell>
          <cell r="B388" t="str">
            <v>VAR_fout</v>
          </cell>
          <cell r="C388" t="str">
            <v>TPBSu</v>
          </cell>
          <cell r="D388">
            <v>3.6025324485543866E-2</v>
          </cell>
          <cell r="E388">
            <v>5.3514447765440266E-2</v>
          </cell>
          <cell r="F388">
            <v>9.7674407033897334E-2</v>
          </cell>
        </row>
        <row r="389">
          <cell r="A389" t="str">
            <v>T_B_u-ICEDSL-S3</v>
          </cell>
          <cell r="B389" t="str">
            <v>VAR_fin</v>
          </cell>
          <cell r="C389" t="str">
            <v>TDSL</v>
          </cell>
          <cell r="D389">
            <v>0.62166726351776458</v>
          </cell>
          <cell r="E389">
            <v>0.91938340417663367</v>
          </cell>
          <cell r="F389">
            <v>1.619650559569016</v>
          </cell>
        </row>
        <row r="390">
          <cell r="A390" t="str">
            <v>T_B_u-ICEDSL-S3</v>
          </cell>
          <cell r="B390" t="str">
            <v>VAR_ncap</v>
          </cell>
          <cell r="C390" t="str">
            <v>-</v>
          </cell>
          <cell r="E390">
            <v>5.6794163198577602E-5</v>
          </cell>
          <cell r="F390">
            <v>8.3262074312358996E-4</v>
          </cell>
        </row>
        <row r="391">
          <cell r="A391" t="str">
            <v>T_B_u-ICEDSL-S3</v>
          </cell>
          <cell r="B391" t="str">
            <v>VAR_cap</v>
          </cell>
          <cell r="C391" t="str">
            <v>-</v>
          </cell>
          <cell r="D391">
            <v>8.0681434599156102E-4</v>
          </cell>
          <cell r="E391">
            <v>1.0093504219890136E-3</v>
          </cell>
          <cell r="F391">
            <v>1.841971165112603E-3</v>
          </cell>
          <cell r="G391">
            <v>-6.9067101994210733E-10</v>
          </cell>
        </row>
        <row r="392">
          <cell r="A392" t="str">
            <v>T_B_u-ICEDSL-S4</v>
          </cell>
          <cell r="B392" t="str">
            <v>VAR_fout</v>
          </cell>
          <cell r="C392" t="str">
            <v>CO2_T</v>
          </cell>
          <cell r="D392">
            <v>0.2171343007725732</v>
          </cell>
          <cell r="E392">
            <v>5.2211888979881776E-3</v>
          </cell>
          <cell r="F392">
            <v>5.0649589222173403E-3</v>
          </cell>
        </row>
        <row r="393">
          <cell r="A393" t="str">
            <v>T_B_u-ICEDSL-S4</v>
          </cell>
          <cell r="B393" t="str">
            <v>VAR_fout</v>
          </cell>
          <cell r="C393" t="str">
            <v>TPBSu</v>
          </cell>
          <cell r="D393">
            <v>1.1448126484982601E-4</v>
          </cell>
          <cell r="E393">
            <v>2.7665780960865893E-6</v>
          </cell>
          <cell r="F393">
            <v>2.7007186522759334E-6</v>
          </cell>
        </row>
        <row r="394">
          <cell r="A394" t="str">
            <v>T_B_u-ICEDSL-S4</v>
          </cell>
          <cell r="B394" t="str">
            <v>VAR_fin</v>
          </cell>
          <cell r="C394" t="str">
            <v>TDSL</v>
          </cell>
          <cell r="D394">
            <v>2.9622687690664816E-3</v>
          </cell>
          <cell r="E394">
            <v>7.1230407885241107E-5</v>
          </cell>
          <cell r="F394">
            <v>6.9099030316744148E-5</v>
          </cell>
        </row>
        <row r="395">
          <cell r="A395" t="str">
            <v>T_B_u-ICEDSL-S4</v>
          </cell>
          <cell r="B395" t="str">
            <v>VAR_ncap</v>
          </cell>
          <cell r="C395" t="str">
            <v>-</v>
          </cell>
          <cell r="E395">
            <v>1.5700636161287E-8</v>
          </cell>
          <cell r="F395">
            <v>1.5107134266899401E-8</v>
          </cell>
        </row>
        <row r="396">
          <cell r="A396" t="str">
            <v>T_B_u-ICEDSL-S4</v>
          </cell>
          <cell r="B396" t="str">
            <v>VAR_cap</v>
          </cell>
          <cell r="C396" t="str">
            <v>-</v>
          </cell>
          <cell r="D396">
            <v>2.7951988131433592E-6</v>
          </cell>
          <cell r="E396">
            <v>1.4535555598558652E-7</v>
          </cell>
          <cell r="F396">
            <v>1.3917381377106601E-7</v>
          </cell>
          <cell r="G396">
            <v>1.2805014788026183E-9</v>
          </cell>
        </row>
        <row r="397">
          <cell r="A397" t="str">
            <v>D-TBDS1intl</v>
          </cell>
          <cell r="B397" t="str">
            <v>VAR_fout</v>
          </cell>
          <cell r="C397" t="str">
            <v>TKERintl_SAF</v>
          </cell>
          <cell r="G397">
            <v>5.29992688652856</v>
          </cell>
          <cell r="H397">
            <v>18.511808427524102</v>
          </cell>
          <cell r="I397">
            <v>38.846718819577099</v>
          </cell>
          <cell r="J397">
            <v>68.659022416120905</v>
          </cell>
          <cell r="K397">
            <v>93.853199230264906</v>
          </cell>
          <cell r="L397">
            <v>93.853201118738298</v>
          </cell>
          <cell r="M397">
            <v>94.908954172014305</v>
          </cell>
          <cell r="N397">
            <v>96.620385441532704</v>
          </cell>
          <cell r="O397">
            <v>98.328896064274602</v>
          </cell>
        </row>
        <row r="398">
          <cell r="A398" t="str">
            <v>D-TBDS1intl</v>
          </cell>
          <cell r="B398" t="str">
            <v>VAR_fin</v>
          </cell>
          <cell r="C398" t="str">
            <v>BDS1</v>
          </cell>
          <cell r="G398">
            <v>5.29992688652856</v>
          </cell>
          <cell r="H398">
            <v>18.511808427524102</v>
          </cell>
          <cell r="I398">
            <v>38.846718819577099</v>
          </cell>
          <cell r="J398">
            <v>68.659022416120905</v>
          </cell>
          <cell r="K398">
            <v>93.853199230264906</v>
          </cell>
          <cell r="L398">
            <v>93.853201118738298</v>
          </cell>
          <cell r="M398">
            <v>94.908954172014305</v>
          </cell>
          <cell r="N398">
            <v>96.620385441532704</v>
          </cell>
          <cell r="O398">
            <v>98.328896064274602</v>
          </cell>
        </row>
        <row r="399">
          <cell r="A399" t="str">
            <v>T_B_c-ICENGAEXT</v>
          </cell>
          <cell r="B399" t="str">
            <v>VAR_fout</v>
          </cell>
          <cell r="C399" t="str">
            <v>CO2_T</v>
          </cell>
          <cell r="D399">
            <v>7.7520411777236902E-3</v>
          </cell>
          <cell r="E399">
            <v>7.7420003945287003E-3</v>
          </cell>
          <cell r="F399">
            <v>7.69592947274432E-3</v>
          </cell>
        </row>
        <row r="400">
          <cell r="A400" t="str">
            <v>T_B_c-ICENGAEXT</v>
          </cell>
          <cell r="B400" t="str">
            <v>VAR_fout</v>
          </cell>
          <cell r="C400" t="str">
            <v>TPBSc</v>
          </cell>
          <cell r="D400">
            <v>1.3676373152984621E-3</v>
          </cell>
          <cell r="E400">
            <v>1.094971102901083E-3</v>
          </cell>
          <cell r="F400">
            <v>6.8453104242906856E-4</v>
          </cell>
        </row>
        <row r="401">
          <cell r="A401" t="str">
            <v>T_B_c-ICENGAEXT</v>
          </cell>
          <cell r="B401" t="str">
            <v>VAR_fin</v>
          </cell>
          <cell r="C401" t="str">
            <v>TNGA</v>
          </cell>
          <cell r="D401">
            <v>1.3744753861212226E-4</v>
          </cell>
          <cell r="E401">
            <v>1.3726951054128899E-4</v>
          </cell>
          <cell r="F401">
            <v>1.3645265022596315E-4</v>
          </cell>
        </row>
        <row r="402">
          <cell r="A402" t="str">
            <v>T_B_c-ICENGAEXT</v>
          </cell>
          <cell r="B402" t="str">
            <v>VAR_cap</v>
          </cell>
          <cell r="C402" t="str">
            <v>-</v>
          </cell>
          <cell r="D402">
            <v>2.9722400223756467E-5</v>
          </cell>
          <cell r="E402">
            <v>2.3778234086242301E-5</v>
          </cell>
          <cell r="F402">
            <v>1.4861396303901497E-5</v>
          </cell>
        </row>
        <row r="403">
          <cell r="A403" t="str">
            <v>T_B_u-ICEDSLEXT</v>
          </cell>
          <cell r="B403" t="str">
            <v>VAR_fout</v>
          </cell>
          <cell r="C403" t="str">
            <v>CO2_T</v>
          </cell>
          <cell r="D403">
            <v>1.27102586354194</v>
          </cell>
          <cell r="E403">
            <v>1.26941810706461</v>
          </cell>
          <cell r="F403">
            <v>1.26444724198378</v>
          </cell>
        </row>
        <row r="404">
          <cell r="A404" t="str">
            <v>T_B_u-ICEDSLEXT</v>
          </cell>
          <cell r="B404" t="str">
            <v>VAR_fout</v>
          </cell>
          <cell r="C404" t="str">
            <v>TPBSu</v>
          </cell>
          <cell r="D404">
            <v>0.24221765986603999</v>
          </cell>
          <cell r="E404">
            <v>0.19378276208091391</v>
          </cell>
          <cell r="F404">
            <v>0.12111386778171548</v>
          </cell>
        </row>
        <row r="405">
          <cell r="A405" t="str">
            <v>T_B_u-ICEDSLEXT</v>
          </cell>
          <cell r="B405" t="str">
            <v>VAR_fin</v>
          </cell>
          <cell r="C405" t="str">
            <v>TDSL</v>
          </cell>
          <cell r="D405">
            <v>1.7340052708621354E-2</v>
          </cell>
          <cell r="E405">
            <v>1.7318118786693176E-2</v>
          </cell>
          <cell r="F405">
            <v>1.7250303437705075E-2</v>
          </cell>
        </row>
        <row r="406">
          <cell r="A406" t="str">
            <v>T_B_u-ICEDSLEXT</v>
          </cell>
          <cell r="B406" t="str">
            <v>VAR_cap</v>
          </cell>
          <cell r="C406" t="str">
            <v>-</v>
          </cell>
          <cell r="D406">
            <v>4.5678345582235401E-3</v>
          </cell>
          <cell r="E406">
            <v>3.6542689740420198E-3</v>
          </cell>
          <cell r="F406">
            <v>2.2839181087762699E-3</v>
          </cell>
        </row>
        <row r="407">
          <cell r="A407" t="str">
            <v>D-T-ELC-LGV</v>
          </cell>
          <cell r="B407" t="str">
            <v>VAR_fout</v>
          </cell>
          <cell r="C407" t="str">
            <v>T-ELC-LGV_BatSTGin</v>
          </cell>
          <cell r="D407">
            <v>3.558445729967831E-2</v>
          </cell>
          <cell r="E407">
            <v>7.8482318368611123E-2</v>
          </cell>
          <cell r="F407">
            <v>0.11652061401745624</v>
          </cell>
          <cell r="G407">
            <v>1.6799795804484059</v>
          </cell>
          <cell r="H407">
            <v>4.7328463682128632</v>
          </cell>
          <cell r="I407">
            <v>7.3596911896642059</v>
          </cell>
          <cell r="J407">
            <v>7.6666777172797564</v>
          </cell>
          <cell r="K407">
            <v>7.9737817414784731</v>
          </cell>
          <cell r="L407">
            <v>8.3469747038729718</v>
          </cell>
          <cell r="M407">
            <v>8.8716168036498004</v>
          </cell>
          <cell r="N407">
            <v>9.4537485440922122</v>
          </cell>
          <cell r="O407">
            <v>10.094140625353306</v>
          </cell>
        </row>
        <row r="408">
          <cell r="A408" t="str">
            <v>D-T-ELC-LGV</v>
          </cell>
          <cell r="B408" t="str">
            <v>VAR_fin</v>
          </cell>
          <cell r="C408" t="str">
            <v>TELC</v>
          </cell>
          <cell r="D408">
            <v>3.558445729967831E-2</v>
          </cell>
          <cell r="E408">
            <v>7.8482318368611123E-2</v>
          </cell>
          <cell r="F408">
            <v>0.11652061401745624</v>
          </cell>
          <cell r="G408">
            <v>1.6799795804484059</v>
          </cell>
          <cell r="H408">
            <v>4.7328463682128632</v>
          </cell>
          <cell r="I408">
            <v>7.3596911896642059</v>
          </cell>
          <cell r="J408">
            <v>7.6666777172797564</v>
          </cell>
          <cell r="K408">
            <v>7.9737817414784731</v>
          </cell>
          <cell r="L408">
            <v>8.3469747038729718</v>
          </cell>
          <cell r="M408">
            <v>8.8716168036498004</v>
          </cell>
          <cell r="N408">
            <v>9.4537485440922122</v>
          </cell>
          <cell r="O408">
            <v>10.094140625353306</v>
          </cell>
        </row>
        <row r="409">
          <cell r="A409" t="str">
            <v>D-T-ELC-LGV</v>
          </cell>
          <cell r="B409" t="str">
            <v>VAR_ncap</v>
          </cell>
          <cell r="C409" t="str">
            <v>-</v>
          </cell>
          <cell r="D409">
            <v>3.7620359705166301E-3</v>
          </cell>
          <cell r="E409">
            <v>4.5338360646775102E-3</v>
          </cell>
          <cell r="F409">
            <v>4.02102135032276E-3</v>
          </cell>
          <cell r="G409">
            <v>0.166865870776532</v>
          </cell>
          <cell r="H409">
            <v>0.33133269816254002</v>
          </cell>
          <cell r="I409">
            <v>0.41154027059077197</v>
          </cell>
          <cell r="J409">
            <v>0.22702266807087501</v>
          </cell>
          <cell r="K409">
            <v>0.47521972734466</v>
          </cell>
          <cell r="L409">
            <v>0.30493254995456598</v>
          </cell>
          <cell r="M409">
            <v>0.38931565450988498</v>
          </cell>
          <cell r="N409">
            <v>0.55592892258732896</v>
          </cell>
          <cell r="O409">
            <v>0.24828079277616499</v>
          </cell>
        </row>
        <row r="410">
          <cell r="A410" t="str">
            <v>D-T-ELC-LGV</v>
          </cell>
          <cell r="B410" t="str">
            <v>VAR_cap</v>
          </cell>
          <cell r="C410" t="str">
            <v>-</v>
          </cell>
          <cell r="D410">
            <v>3.7620359705166301E-3</v>
          </cell>
          <cell r="E410">
            <v>8.2958720351941507E-3</v>
          </cell>
          <cell r="F410">
            <v>1.23168933855169E-2</v>
          </cell>
          <cell r="G410">
            <v>0.17757268515466501</v>
          </cell>
          <cell r="H410">
            <v>0.50025871429291802</v>
          </cell>
          <cell r="I410">
            <v>0.77791429065073203</v>
          </cell>
          <cell r="J410">
            <v>0.81036258601135303</v>
          </cell>
          <cell r="K410">
            <v>0.84282341494098201</v>
          </cell>
          <cell r="L410">
            <v>0.88226949317542203</v>
          </cell>
          <cell r="M410">
            <v>0.93772408485655101</v>
          </cell>
          <cell r="N410">
            <v>0.999254816810069</v>
          </cell>
          <cell r="O410">
            <v>1.06694438164665</v>
          </cell>
        </row>
        <row r="411">
          <cell r="A411" t="str">
            <v>T_C-HYBGSLEXT</v>
          </cell>
          <cell r="B411" t="str">
            <v>VAR_fout</v>
          </cell>
          <cell r="C411" t="str">
            <v>CO2_T</v>
          </cell>
          <cell r="D411">
            <v>92.549447969528202</v>
          </cell>
          <cell r="E411">
            <v>91.724484847861106</v>
          </cell>
          <cell r="F411">
            <v>68.278439144682906</v>
          </cell>
          <cell r="G411">
            <v>32.395456373741702</v>
          </cell>
        </row>
        <row r="412">
          <cell r="A412" t="str">
            <v>T_C-HYBGSLEXT</v>
          </cell>
          <cell r="B412" t="str">
            <v>VAR_fout</v>
          </cell>
          <cell r="C412" t="str">
            <v>TPCAR</v>
          </cell>
          <cell r="D412">
            <v>0.61924778820930126</v>
          </cell>
          <cell r="E412">
            <v>0.6276940266347304</v>
          </cell>
          <cell r="F412">
            <v>0.48284097538317872</v>
          </cell>
          <cell r="G412">
            <v>0.24142062232115333</v>
          </cell>
        </row>
        <row r="413">
          <cell r="A413" t="str">
            <v>T_C-HYBGSLEXT</v>
          </cell>
          <cell r="B413" t="str">
            <v>VAR_fin</v>
          </cell>
          <cell r="C413" t="str">
            <v>TGSL</v>
          </cell>
          <cell r="D413">
            <v>1.2540575605627133</v>
          </cell>
          <cell r="E413">
            <v>1.2428791984805037</v>
          </cell>
          <cell r="F413">
            <v>0.92518210223147646</v>
          </cell>
          <cell r="G413">
            <v>0.43896282349243476</v>
          </cell>
        </row>
        <row r="414">
          <cell r="A414" t="str">
            <v>T_C-HYBGSLEXT</v>
          </cell>
          <cell r="B414" t="str">
            <v>VAR_cap</v>
          </cell>
          <cell r="C414" t="str">
            <v>-</v>
          </cell>
          <cell r="D414">
            <v>6.5792794701655277E-2</v>
          </cell>
          <cell r="E414">
            <v>5.7063066666666697E-2</v>
          </cell>
          <cell r="F414">
            <v>4.38946666666667E-2</v>
          </cell>
          <cell r="G414">
            <v>2.1947333333333301E-2</v>
          </cell>
        </row>
        <row r="415">
          <cell r="A415" t="str">
            <v>TPAVDKEREXT</v>
          </cell>
          <cell r="B415" t="str">
            <v>VAR_fout</v>
          </cell>
          <cell r="C415" t="str">
            <v>CO2_T</v>
          </cell>
          <cell r="D415">
            <v>79.576349423418094</v>
          </cell>
          <cell r="E415">
            <v>100.796237247683</v>
          </cell>
          <cell r="F415">
            <v>132.626068984081</v>
          </cell>
          <cell r="G415">
            <v>185.675788544743</v>
          </cell>
          <cell r="H415">
            <v>170.02894982493601</v>
          </cell>
          <cell r="I415">
            <v>154.38211110512901</v>
          </cell>
          <cell r="J415">
            <v>138.735272385321</v>
          </cell>
          <cell r="K415">
            <v>123.088433665514</v>
          </cell>
          <cell r="L415">
            <v>109.90751284479499</v>
          </cell>
          <cell r="M415">
            <v>98.138070491291401</v>
          </cell>
          <cell r="N415">
            <v>87.628958480337403</v>
          </cell>
          <cell r="O415">
            <v>78.245214379164594</v>
          </cell>
        </row>
        <row r="416">
          <cell r="A416" t="str">
            <v>TPAVDKEREXT</v>
          </cell>
          <cell r="B416" t="str">
            <v>VAR_fout</v>
          </cell>
          <cell r="C416" t="str">
            <v>TPAVD</v>
          </cell>
          <cell r="D416">
            <v>1.0930817228491501</v>
          </cell>
          <cell r="E416">
            <v>1.3845636984571901</v>
          </cell>
          <cell r="F416">
            <v>1.82178666186924</v>
          </cell>
          <cell r="G416">
            <v>2.5504916008893299</v>
          </cell>
          <cell r="H416">
            <v>2.33556249759528</v>
          </cell>
          <cell r="I416">
            <v>2.1206333943012199</v>
          </cell>
          <cell r="J416">
            <v>1.90570429100716</v>
          </cell>
          <cell r="K416">
            <v>1.6907751877131001</v>
          </cell>
          <cell r="L416">
            <v>1.5097185830329001</v>
          </cell>
          <cell r="M416">
            <v>1.34805041883642</v>
          </cell>
          <cell r="N416">
            <v>1.2036944846200199</v>
          </cell>
          <cell r="O416">
            <v>1.0747969008127001</v>
          </cell>
        </row>
        <row r="417">
          <cell r="A417" t="str">
            <v>TPAVDKEREXT</v>
          </cell>
          <cell r="B417" t="str">
            <v>VAR_fin</v>
          </cell>
          <cell r="C417" t="str">
            <v>TKER</v>
          </cell>
          <cell r="D417">
            <v>1.0930817228491501</v>
          </cell>
          <cell r="E417">
            <v>1.3845636984571901</v>
          </cell>
          <cell r="F417">
            <v>1.82178666186924</v>
          </cell>
          <cell r="G417">
            <v>2.5504916008893299</v>
          </cell>
          <cell r="H417">
            <v>2.33556249759528</v>
          </cell>
          <cell r="I417">
            <v>2.1206333943012199</v>
          </cell>
          <cell r="J417">
            <v>1.90570429100716</v>
          </cell>
          <cell r="K417">
            <v>1.6907751877131001</v>
          </cell>
          <cell r="L417">
            <v>1.5097185830329001</v>
          </cell>
          <cell r="M417">
            <v>1.34805041883642</v>
          </cell>
          <cell r="N417">
            <v>1.2036944846200199</v>
          </cell>
          <cell r="O417">
            <v>1.0747969008127001</v>
          </cell>
        </row>
        <row r="418">
          <cell r="A418" t="str">
            <v>TPAVDKEREXT</v>
          </cell>
          <cell r="B418" t="str">
            <v>VAR_ncap</v>
          </cell>
          <cell r="C418" t="str">
            <v>-</v>
          </cell>
          <cell r="D418">
            <v>1.98624782350977</v>
          </cell>
          <cell r="E418">
            <v>5.5874090008407</v>
          </cell>
          <cell r="F418">
            <v>3.2790415924323799</v>
          </cell>
          <cell r="G418">
            <v>2.0134595573720002</v>
          </cell>
          <cell r="H418">
            <v>2.1802418149379901</v>
          </cell>
          <cell r="I418">
            <v>1.7998698625340299</v>
          </cell>
          <cell r="J418">
            <v>1.0052576003411799</v>
          </cell>
          <cell r="K418">
            <v>1.1476172396423201</v>
          </cell>
          <cell r="L418">
            <v>1.08626144404034</v>
          </cell>
          <cell r="M418">
            <v>1.6086964229718499</v>
          </cell>
          <cell r="N418">
            <v>1.35565165071283</v>
          </cell>
          <cell r="O418">
            <v>1.0045306655085799</v>
          </cell>
        </row>
        <row r="419">
          <cell r="A419" t="str">
            <v>TPAVDKEREXT</v>
          </cell>
          <cell r="B419" t="str">
            <v>VAR_cap</v>
          </cell>
          <cell r="C419" t="str">
            <v>-</v>
          </cell>
          <cell r="D419">
            <v>3.0793295463589203</v>
          </cell>
          <cell r="E419">
            <v>8.6667385471996301</v>
          </cell>
          <cell r="F419">
            <v>9.3956434633099093</v>
          </cell>
          <cell r="G419">
            <v>8.1475152493407315</v>
          </cell>
          <cell r="H419">
            <v>7.4518180877569584</v>
          </cell>
          <cell r="I419">
            <v>5.6672495583073541</v>
          </cell>
          <cell r="J419">
            <v>3.2408030066285498</v>
          </cell>
          <cell r="K419">
            <v>3.0173402388097199</v>
          </cell>
          <cell r="L419">
            <v>2.5414052604206097</v>
          </cell>
          <cell r="M419">
            <v>3.0212410452563701</v>
          </cell>
          <cell r="N419">
            <v>2.9633775121002697</v>
          </cell>
          <cell r="O419">
            <v>2.2898149568359898</v>
          </cell>
        </row>
        <row r="420">
          <cell r="A420" t="str">
            <v>T_C-ICE-GSL-S1</v>
          </cell>
          <cell r="B420" t="str">
            <v>VAR_fout</v>
          </cell>
          <cell r="C420" t="str">
            <v>CO2_T</v>
          </cell>
          <cell r="D420">
            <v>36.570342042840679</v>
          </cell>
          <cell r="E420">
            <v>40.632056805464586</v>
          </cell>
          <cell r="F420">
            <v>100.99373705598731</v>
          </cell>
          <cell r="G420">
            <v>85.379059088773218</v>
          </cell>
          <cell r="H420">
            <v>46.708010664367272</v>
          </cell>
          <cell r="I420">
            <v>7.3168009178182798</v>
          </cell>
        </row>
        <row r="421">
          <cell r="A421" t="str">
            <v>T_C-ICE-GSL-S1</v>
          </cell>
          <cell r="B421" t="str">
            <v>VAR_fout</v>
          </cell>
          <cell r="C421" t="str">
            <v>TPCAR</v>
          </cell>
          <cell r="D421">
            <v>0.33858398566874615</v>
          </cell>
          <cell r="E421">
            <v>0.37225101609813488</v>
          </cell>
          <cell r="F421">
            <v>0.84955576739885563</v>
          </cell>
          <cell r="G421">
            <v>0.7177716776335451</v>
          </cell>
          <cell r="H421">
            <v>0.37933621367634879</v>
          </cell>
          <cell r="I421">
            <v>5.9387808570030544E-2</v>
          </cell>
        </row>
        <row r="422">
          <cell r="A422" t="str">
            <v>T_C-ICE-GSL-S1</v>
          </cell>
          <cell r="B422" t="str">
            <v>VAR_fin</v>
          </cell>
          <cell r="C422" t="str">
            <v>TGSL</v>
          </cell>
          <cell r="D422">
            <v>0.49553309001139018</v>
          </cell>
          <cell r="E422">
            <v>0.55056987541279989</v>
          </cell>
          <cell r="F422">
            <v>1.3684788218968469</v>
          </cell>
          <cell r="G422">
            <v>1.1568978196310715</v>
          </cell>
          <cell r="H422">
            <v>0.63289987350091259</v>
          </cell>
          <cell r="I422">
            <v>9.9143643872876289E-2</v>
          </cell>
        </row>
        <row r="423">
          <cell r="A423" t="str">
            <v>T_C-ICE-GSL-S1</v>
          </cell>
          <cell r="B423" t="str">
            <v>VAR_ncap</v>
          </cell>
          <cell r="C423" t="str">
            <v>-</v>
          </cell>
          <cell r="E423">
            <v>1.4404669478480301E-5</v>
          </cell>
          <cell r="F423">
            <v>9.10106484423161E-2</v>
          </cell>
          <cell r="G423">
            <v>3.7188383189005703E-5</v>
          </cell>
        </row>
        <row r="424">
          <cell r="A424" t="str">
            <v>T_C-ICE-GSL-S1</v>
          </cell>
          <cell r="B424" t="str">
            <v>VAR_cap</v>
          </cell>
          <cell r="C424" t="str">
            <v>-</v>
          </cell>
          <cell r="D424">
            <v>3.6542739245049152E-2</v>
          </cell>
          <cell r="E424">
            <v>3.9771482754000401E-2</v>
          </cell>
          <cell r="F424">
            <v>0.12910558106340531</v>
          </cell>
          <cell r="G424">
            <v>0.10907974209258241</v>
          </cell>
          <cell r="H424">
            <v>5.7647140731992307E-2</v>
          </cell>
          <cell r="I424">
            <v>9.0244096693014968E-3</v>
          </cell>
        </row>
        <row r="425">
          <cell r="A425" t="str">
            <v>V2G</v>
          </cell>
          <cell r="B425" t="str">
            <v>VAR_fout</v>
          </cell>
          <cell r="C425" t="str">
            <v>ELC35</v>
          </cell>
          <cell r="G425">
            <v>0.21673120219436529</v>
          </cell>
          <cell r="H425">
            <v>1.3981945408098519</v>
          </cell>
          <cell r="I425">
            <v>1.1377831128456597</v>
          </cell>
          <cell r="J425">
            <v>2.1756329024578038</v>
          </cell>
          <cell r="K425">
            <v>2.3541001087426285</v>
          </cell>
          <cell r="L425">
            <v>2.7060759578024154</v>
          </cell>
          <cell r="M425">
            <v>2.1764545901078942</v>
          </cell>
          <cell r="N425">
            <v>2.2079910810777656</v>
          </cell>
          <cell r="O425">
            <v>2.6162034863869956</v>
          </cell>
        </row>
        <row r="426">
          <cell r="A426" t="str">
            <v>V2G</v>
          </cell>
          <cell r="B426" t="str">
            <v>VAR_fin</v>
          </cell>
          <cell r="C426" t="str">
            <v>T-ELC-Bus_c_BatSTGout_S1</v>
          </cell>
          <cell r="G426">
            <v>7.5785516398135875E-4</v>
          </cell>
          <cell r="H426">
            <v>2.9125535874326824E-3</v>
          </cell>
          <cell r="I426">
            <v>1.9061186458438541E-3</v>
          </cell>
          <cell r="J426">
            <v>1.9724665477204042E-3</v>
          </cell>
          <cell r="K426">
            <v>2.0544788243620658E-3</v>
          </cell>
          <cell r="L426">
            <v>1.5426231547502119E-3</v>
          </cell>
          <cell r="M426">
            <v>1.9955856961701465E-3</v>
          </cell>
          <cell r="N426">
            <v>1.6063333572725429E-3</v>
          </cell>
          <cell r="O426">
            <v>2.8799799469926097E-3</v>
          </cell>
        </row>
        <row r="427">
          <cell r="A427" t="str">
            <v>V2G</v>
          </cell>
          <cell r="B427" t="str">
            <v>VAR_fin</v>
          </cell>
          <cell r="C427" t="str">
            <v>T-ELC-Bus_c_BatSTGout_S2</v>
          </cell>
          <cell r="G427">
            <v>7.272916513444014E-4</v>
          </cell>
          <cell r="H427">
            <v>1.8513549559296722E-3</v>
          </cell>
          <cell r="I427">
            <v>2.055828413033351E-3</v>
          </cell>
          <cell r="J427">
            <v>2.066467484270155E-3</v>
          </cell>
          <cell r="K427">
            <v>2.4427357462496525E-3</v>
          </cell>
          <cell r="L427">
            <v>1.5973516093631714E-3</v>
          </cell>
          <cell r="M427">
            <v>2.1182732030964359E-3</v>
          </cell>
          <cell r="N427">
            <v>1.6862735888748506E-3</v>
          </cell>
          <cell r="O427">
            <v>3.0011402027885262E-3</v>
          </cell>
        </row>
        <row r="428">
          <cell r="A428" t="str">
            <v>V2G</v>
          </cell>
          <cell r="B428" t="str">
            <v>VAR_fin</v>
          </cell>
          <cell r="C428" t="str">
            <v>T-ELC-Bus_c_BatSTGout_S3</v>
          </cell>
          <cell r="G428">
            <v>1.5662215994917319E-4</v>
          </cell>
          <cell r="H428">
            <v>9.8242046856179582E-4</v>
          </cell>
          <cell r="I428">
            <v>1.1531206015318065E-3</v>
          </cell>
          <cell r="J428">
            <v>1.1413108649524118E-3</v>
          </cell>
          <cell r="K428">
            <v>1.5918572241982241E-3</v>
          </cell>
          <cell r="L428">
            <v>1.0513324671243469E-3</v>
          </cell>
          <cell r="M428">
            <v>1.449571242202428E-3</v>
          </cell>
          <cell r="N428">
            <v>1.1609616485117457E-3</v>
          </cell>
          <cell r="O428">
            <v>1.9236843578578021E-3</v>
          </cell>
        </row>
        <row r="429">
          <cell r="A429" t="str">
            <v>V2G</v>
          </cell>
          <cell r="B429" t="str">
            <v>VAR_fin</v>
          </cell>
          <cell r="C429" t="str">
            <v>T-ELC-Bus_c_BatSTGout_S4</v>
          </cell>
          <cell r="G429">
            <v>3.2773653688580244E-6</v>
          </cell>
          <cell r="H429">
            <v>7.3615461512539379E-6</v>
          </cell>
          <cell r="I429">
            <v>9.388103284493782E-5</v>
          </cell>
          <cell r="J429">
            <v>1.3063990424682761E-4</v>
          </cell>
          <cell r="K429">
            <v>2.2367003795619489E-4</v>
          </cell>
          <cell r="L429">
            <v>2.1040849588828186E-4</v>
          </cell>
          <cell r="M429">
            <v>2.2542634874173358E-4</v>
          </cell>
          <cell r="N429">
            <v>2.7925953561153821E-4</v>
          </cell>
          <cell r="O429">
            <v>4.283551790709697E-4</v>
          </cell>
        </row>
        <row r="430">
          <cell r="A430" t="str">
            <v>V2G</v>
          </cell>
          <cell r="B430" t="str">
            <v>VAR_fin</v>
          </cell>
          <cell r="C430" t="str">
            <v>T-ELC-car-BatSTGOut_S1</v>
          </cell>
          <cell r="G430">
            <v>4.1313057959848049E-2</v>
          </cell>
          <cell r="H430">
            <v>0.3961150372232996</v>
          </cell>
          <cell r="I430">
            <v>0.45615693279908609</v>
          </cell>
          <cell r="J430">
            <v>0.90765416365248652</v>
          </cell>
          <cell r="K430">
            <v>0.94626440201231965</v>
          </cell>
          <cell r="L430">
            <v>0.84586162206471749</v>
          </cell>
          <cell r="M430">
            <v>0.74612027779473533</v>
          </cell>
          <cell r="N430">
            <v>0.80653489437498727</v>
          </cell>
          <cell r="O430">
            <v>0.85189965460390493</v>
          </cell>
        </row>
        <row r="431">
          <cell r="A431" t="str">
            <v>V2G</v>
          </cell>
          <cell r="B431" t="str">
            <v>VAR_fin</v>
          </cell>
          <cell r="C431" t="str">
            <v>T-ELC-car-BatSTGOut_S2</v>
          </cell>
          <cell r="G431">
            <v>3.2101419679117331E-2</v>
          </cell>
          <cell r="H431">
            <v>0.16863772664118235</v>
          </cell>
          <cell r="I431">
            <v>0.17026649452360726</v>
          </cell>
          <cell r="J431">
            <v>0.26190972892494546</v>
          </cell>
          <cell r="K431">
            <v>0.31106068843967694</v>
          </cell>
          <cell r="L431">
            <v>0.31030079546001793</v>
          </cell>
          <cell r="M431">
            <v>0.27191373949348957</v>
          </cell>
          <cell r="N431">
            <v>0.26211205833254753</v>
          </cell>
          <cell r="O431">
            <v>0.33211082791792579</v>
          </cell>
        </row>
        <row r="432">
          <cell r="A432" t="str">
            <v>V2G</v>
          </cell>
          <cell r="B432" t="str">
            <v>VAR_fin</v>
          </cell>
          <cell r="C432" t="str">
            <v>T-ELC-car-BatSTGOut_S3</v>
          </cell>
          <cell r="G432">
            <v>1.5574022899871061E-2</v>
          </cell>
          <cell r="H432">
            <v>0.31287869626630938</v>
          </cell>
          <cell r="I432">
            <v>0.16935741177200025</v>
          </cell>
          <cell r="J432">
            <v>0.4027764914317965</v>
          </cell>
          <cell r="K432">
            <v>0.30269147928018209</v>
          </cell>
          <cell r="L432">
            <v>0.29004805363101288</v>
          </cell>
          <cell r="M432">
            <v>0.27126427398496478</v>
          </cell>
          <cell r="N432">
            <v>0.25326994313295764</v>
          </cell>
          <cell r="O432">
            <v>0.28527251894335326</v>
          </cell>
        </row>
        <row r="433">
          <cell r="A433" t="str">
            <v>V2G</v>
          </cell>
          <cell r="B433" t="str">
            <v>VAR_fin</v>
          </cell>
          <cell r="C433" t="str">
            <v>T-ELC-car-BatSTGOut_S4</v>
          </cell>
          <cell r="G433">
            <v>3.7109003598858645E-2</v>
          </cell>
          <cell r="H433">
            <v>0.17217381804526022</v>
          </cell>
          <cell r="I433">
            <v>0.16857028251899664</v>
          </cell>
          <cell r="J433">
            <v>0.24626486789130309</v>
          </cell>
          <cell r="K433">
            <v>0.30563086474790557</v>
          </cell>
          <cell r="L433">
            <v>0.30634837840440937</v>
          </cell>
          <cell r="M433">
            <v>0.26684448113583925</v>
          </cell>
          <cell r="N433">
            <v>0.27089761355533215</v>
          </cell>
          <cell r="O433">
            <v>0.32378321626447742</v>
          </cell>
        </row>
        <row r="434">
          <cell r="A434" t="str">
            <v>V2G</v>
          </cell>
          <cell r="B434" t="str">
            <v>VAR_fin</v>
          </cell>
          <cell r="C434" t="str">
            <v>T-ELC-car-PlgSTGOut_S1</v>
          </cell>
          <cell r="G434">
            <v>1.4745243980411439E-4</v>
          </cell>
          <cell r="H434">
            <v>3.1860531029293698E-4</v>
          </cell>
          <cell r="I434">
            <v>2.4859181849083185E-4</v>
          </cell>
          <cell r="J434">
            <v>7.0078000331786218E-4</v>
          </cell>
          <cell r="K434">
            <v>6.1517441235005386E-4</v>
          </cell>
          <cell r="L434">
            <v>2.8961023970032152E-3</v>
          </cell>
          <cell r="M434">
            <v>3.2755125238801588E-3</v>
          </cell>
          <cell r="N434">
            <v>2.8360027756207246E-3</v>
          </cell>
          <cell r="O434">
            <v>2.2616788875876887E-3</v>
          </cell>
        </row>
        <row r="435">
          <cell r="A435" t="str">
            <v>V2G</v>
          </cell>
          <cell r="B435" t="str">
            <v>VAR_fin</v>
          </cell>
          <cell r="C435" t="str">
            <v>T-ELC-car-PlgSTGOut_S2</v>
          </cell>
          <cell r="G435">
            <v>4.8561071640023278E-5</v>
          </cell>
          <cell r="H435">
            <v>1.7804357209143579E-4</v>
          </cell>
          <cell r="I435">
            <v>7.8887640158440081E-4</v>
          </cell>
          <cell r="J435">
            <v>4.2738815101082213E-4</v>
          </cell>
          <cell r="K435">
            <v>1.1332545482214877E-3</v>
          </cell>
          <cell r="L435">
            <v>1.1975821546654252E-3</v>
          </cell>
          <cell r="M435">
            <v>1.972933587280329E-3</v>
          </cell>
          <cell r="N435">
            <v>2.1112769266834813E-3</v>
          </cell>
          <cell r="O435">
            <v>3.2001004571478777E-3</v>
          </cell>
        </row>
        <row r="436">
          <cell r="A436" t="str">
            <v>V2G</v>
          </cell>
          <cell r="B436" t="str">
            <v>VAR_fin</v>
          </cell>
          <cell r="C436" t="str">
            <v>T-ELC-car-PlgSTGOut_S3</v>
          </cell>
          <cell r="G436">
            <v>8.4519141135202286E-2</v>
          </cell>
          <cell r="H436">
            <v>0.31852162390122402</v>
          </cell>
          <cell r="I436">
            <v>0.13457656042042646</v>
          </cell>
          <cell r="J436">
            <v>0.316843998071415</v>
          </cell>
          <cell r="K436">
            <v>0.42528815535241193</v>
          </cell>
          <cell r="L436">
            <v>0.35000456595090096</v>
          </cell>
          <cell r="M436">
            <v>2.8788680896679546E-3</v>
          </cell>
          <cell r="N436">
            <v>2.6286787086079273E-3</v>
          </cell>
          <cell r="O436">
            <v>1.5560323736568493E-3</v>
          </cell>
        </row>
        <row r="437">
          <cell r="A437" t="str">
            <v>V2G</v>
          </cell>
          <cell r="B437" t="str">
            <v>VAR_fin</v>
          </cell>
          <cell r="C437" t="str">
            <v>T-ELC-TWSTGout_S1</v>
          </cell>
          <cell r="G437">
            <v>5.7611968882146953E-4</v>
          </cell>
          <cell r="H437">
            <v>1.3372406817017731E-3</v>
          </cell>
          <cell r="I437">
            <v>1.1778647568367563E-3</v>
          </cell>
          <cell r="J437">
            <v>8.7141392244559194E-4</v>
          </cell>
          <cell r="K437">
            <v>1.2204231981238144E-3</v>
          </cell>
          <cell r="L437">
            <v>6.2804310096184837E-4</v>
          </cell>
          <cell r="M437">
            <v>1.3069847860850653E-3</v>
          </cell>
          <cell r="N437">
            <v>9.6355659704406486E-4</v>
          </cell>
          <cell r="O437">
            <v>2.4487995516720299E-3</v>
          </cell>
        </row>
        <row r="438">
          <cell r="A438" t="str">
            <v>V2G</v>
          </cell>
          <cell r="B438" t="str">
            <v>VAR_fin</v>
          </cell>
          <cell r="C438" t="str">
            <v>T-ELC-car-PlgSTGOut_S4</v>
          </cell>
          <cell r="G438">
            <v>3.988769969793988E-5</v>
          </cell>
          <cell r="H438">
            <v>4.3304372718562414E-4</v>
          </cell>
          <cell r="I438">
            <v>4.3181045097970272E-3</v>
          </cell>
          <cell r="J438">
            <v>5.1628129390981813E-3</v>
          </cell>
          <cell r="K438">
            <v>4.7277391964069913E-3</v>
          </cell>
          <cell r="L438">
            <v>0.56155308258899916</v>
          </cell>
          <cell r="M438">
            <v>0.54875586895531614</v>
          </cell>
          <cell r="N438">
            <v>0.55594429709754989</v>
          </cell>
          <cell r="O438">
            <v>0.71419719305920792</v>
          </cell>
        </row>
        <row r="439">
          <cell r="A439" t="str">
            <v>V2G</v>
          </cell>
          <cell r="B439" t="str">
            <v>VAR_fin</v>
          </cell>
          <cell r="C439" t="str">
            <v>T-ELC-TWSTGout_S2</v>
          </cell>
          <cell r="G439">
            <v>8.163651722699097E-4</v>
          </cell>
          <cell r="H439">
            <v>1.608563962479761E-3</v>
          </cell>
          <cell r="I439">
            <v>1.5204771981433009E-3</v>
          </cell>
          <cell r="J439">
            <v>1.4480342039732293E-3</v>
          </cell>
          <cell r="K439">
            <v>2.8256299324839296E-3</v>
          </cell>
          <cell r="L439">
            <v>2.482857516214609E-3</v>
          </cell>
          <cell r="M439">
            <v>4.004747125093743E-3</v>
          </cell>
          <cell r="N439">
            <v>3.0624878477782239E-3</v>
          </cell>
          <cell r="O439">
            <v>6.5679403399399386E-3</v>
          </cell>
        </row>
        <row r="440">
          <cell r="A440" t="str">
            <v>V2G</v>
          </cell>
          <cell r="B440" t="str">
            <v>VAR_fin</v>
          </cell>
          <cell r="C440" t="str">
            <v>T-ELC-TWSTGout_S3</v>
          </cell>
          <cell r="G440">
            <v>1.0822172856875005E-3</v>
          </cell>
          <cell r="H440">
            <v>2.6652967741469863E-3</v>
          </cell>
          <cell r="I440">
            <v>2.5684163970698909E-3</v>
          </cell>
          <cell r="J440">
            <v>2.2698502015123549E-3</v>
          </cell>
          <cell r="K440">
            <v>4.6975048333389039E-3</v>
          </cell>
          <cell r="L440">
            <v>3.5786204737912712E-3</v>
          </cell>
          <cell r="M440">
            <v>5.1164043522886841E-3</v>
          </cell>
          <cell r="N440">
            <v>5.0164682810437278E-3</v>
          </cell>
          <cell r="O440">
            <v>9.402212206543234E-3</v>
          </cell>
        </row>
        <row r="441">
          <cell r="A441" t="str">
            <v>V2G</v>
          </cell>
          <cell r="B441" t="str">
            <v>VAR_fin</v>
          </cell>
          <cell r="C441" t="str">
            <v>T-ELC-TWSTGout_S4</v>
          </cell>
          <cell r="G441">
            <v>1.3315233207122775E-3</v>
          </cell>
          <cell r="H441">
            <v>2.7467187911117642E-3</v>
          </cell>
          <cell r="I441">
            <v>2.9577552771982885E-3</v>
          </cell>
          <cell r="J441">
            <v>3.1198893631449289E-3</v>
          </cell>
          <cell r="K441">
            <v>5.5670361044274745E-3</v>
          </cell>
          <cell r="L441">
            <v>4.513755022152198E-3</v>
          </cell>
          <cell r="M441">
            <v>6.7887395765336813E-3</v>
          </cell>
          <cell r="N441">
            <v>6.5087865002247045E-3</v>
          </cell>
          <cell r="O441">
            <v>1.2359449009172503E-2</v>
          </cell>
        </row>
        <row r="442">
          <cell r="A442" t="str">
            <v>V2G</v>
          </cell>
          <cell r="B442" t="str">
            <v>VAR_fin</v>
          </cell>
          <cell r="C442" t="str">
            <v>T-ELC-Bus_u_BatSTGout_S1</v>
          </cell>
          <cell r="G442">
            <v>3.4135552177163711E-5</v>
          </cell>
          <cell r="H442">
            <v>6.0186082989000657E-5</v>
          </cell>
          <cell r="I442">
            <v>5.4408556163202377E-5</v>
          </cell>
          <cell r="J442">
            <v>6.8080299646038436E-5</v>
          </cell>
          <cell r="K442">
            <v>1.5991489919076472E-4</v>
          </cell>
          <cell r="L442">
            <v>9.5713074210274153E-5</v>
          </cell>
          <cell r="M442">
            <v>1.9036104978419906E-4</v>
          </cell>
          <cell r="N442">
            <v>1.3882732001531403E-4</v>
          </cell>
          <cell r="O442">
            <v>3.4186767721369553E-4</v>
          </cell>
        </row>
        <row r="443">
          <cell r="A443" t="str">
            <v>V2G</v>
          </cell>
          <cell r="B443" t="str">
            <v>VAR_fin</v>
          </cell>
          <cell r="C443" t="str">
            <v>T-ELC-Bus_u_BatSTGout_S2</v>
          </cell>
          <cell r="G443">
            <v>2.7814652816674594E-5</v>
          </cell>
          <cell r="H443">
            <v>5.0865842173194736E-5</v>
          </cell>
          <cell r="I443">
            <v>4.6968405411176243E-5</v>
          </cell>
          <cell r="J443">
            <v>6.0201621103034166E-5</v>
          </cell>
          <cell r="K443">
            <v>1.4400786414054832E-4</v>
          </cell>
          <cell r="L443">
            <v>8.9337872428207682E-5</v>
          </cell>
          <cell r="M443">
            <v>1.7816153224061273E-4</v>
          </cell>
          <cell r="N443">
            <v>1.2976313212330115E-4</v>
          </cell>
          <cell r="O443">
            <v>3.2057484388557569E-4</v>
          </cell>
        </row>
        <row r="444">
          <cell r="A444" t="str">
            <v>V2G</v>
          </cell>
          <cell r="B444" t="str">
            <v>VAR_fin</v>
          </cell>
          <cell r="C444" t="str">
            <v>T-ELC-Bus_u_BatSTGout_S3</v>
          </cell>
          <cell r="G444">
            <v>1.5051479299026668E-5</v>
          </cell>
          <cell r="H444">
            <v>2.4074446237743693E-5</v>
          </cell>
          <cell r="I444">
            <v>2.4335068374637136E-5</v>
          </cell>
          <cell r="J444">
            <v>3.2985364041702575E-5</v>
          </cell>
          <cell r="K444">
            <v>7.607933745860567E-5</v>
          </cell>
          <cell r="L444">
            <v>4.668630885994308E-5</v>
          </cell>
          <cell r="M444">
            <v>7.7040565909639185E-5</v>
          </cell>
          <cell r="N444">
            <v>6.2758547123223339E-5</v>
          </cell>
          <cell r="O444">
            <v>1.3774831478046459E-4</v>
          </cell>
        </row>
        <row r="445">
          <cell r="A445" t="str">
            <v>V2G</v>
          </cell>
          <cell r="B445" t="str">
            <v>VAR_fin</v>
          </cell>
          <cell r="C445" t="str">
            <v>T-ELC-Bus_u_BatSTGout_S4</v>
          </cell>
          <cell r="G445">
            <v>3.4373070470768331E-5</v>
          </cell>
          <cell r="H445">
            <v>1.8581987792179371E-3</v>
          </cell>
          <cell r="I445">
            <v>6.7935060061959847E-5</v>
          </cell>
          <cell r="J445">
            <v>7.5104189939758262E-5</v>
          </cell>
          <cell r="K445">
            <v>1.6834897028404535E-4</v>
          </cell>
          <cell r="L445">
            <v>1.2345640048154715E-4</v>
          </cell>
          <cell r="M445">
            <v>1.6819768647915643E-4</v>
          </cell>
          <cell r="N445">
            <v>1.7158588211718201E-4</v>
          </cell>
          <cell r="O445">
            <v>2.9910897508070712E-4</v>
          </cell>
        </row>
        <row r="446">
          <cell r="A446" t="str">
            <v>V2G</v>
          </cell>
          <cell r="B446" t="str">
            <v>VAR_fin</v>
          </cell>
          <cell r="C446" t="str">
            <v>T-ELC-LGV_BatSTGout</v>
          </cell>
          <cell r="G446">
            <v>1.6871696550928473E-4</v>
          </cell>
          <cell r="H446">
            <v>2.0504878902297835E-4</v>
          </cell>
          <cell r="I446">
            <v>1.7162485482921454E-4</v>
          </cell>
          <cell r="J446">
            <v>1.8210895272008744E-4</v>
          </cell>
          <cell r="K446">
            <v>3.8528239112956757E-4</v>
          </cell>
          <cell r="L446">
            <v>2.0218476689624283E-4</v>
          </cell>
          <cell r="M446">
            <v>3.9869975949035822E-4</v>
          </cell>
          <cell r="N446">
            <v>2.9399560752522589E-4</v>
          </cell>
          <cell r="O446">
            <v>6.7767130022031565E-4</v>
          </cell>
        </row>
        <row r="447">
          <cell r="A447" t="str">
            <v>V2G</v>
          </cell>
          <cell r="B447" t="str">
            <v>VAR_fin</v>
          </cell>
          <cell r="C447" t="str">
            <v>T-ELC-HGV_BatSTGout</v>
          </cell>
          <cell r="G447">
            <v>1.6030012181407084E-4</v>
          </cell>
          <cell r="H447">
            <v>1.2642497610375251E-2</v>
          </cell>
          <cell r="I447">
            <v>1.9716691691267579E-2</v>
          </cell>
          <cell r="J447">
            <v>2.0470788776621996E-2</v>
          </cell>
          <cell r="K447">
            <v>3.5157032942761041E-2</v>
          </cell>
          <cell r="L447">
            <v>2.1722883453043736E-2</v>
          </cell>
          <cell r="M447">
            <v>3.9442224158512229E-2</v>
          </cell>
          <cell r="N447">
            <v>3.0598281931116633E-2</v>
          </cell>
          <cell r="O447">
            <v>6.1167235066885234E-2</v>
          </cell>
        </row>
        <row r="448">
          <cell r="A448" t="str">
            <v>V2G</v>
          </cell>
          <cell r="B448" t="str">
            <v>VAR_ncap</v>
          </cell>
          <cell r="C448" t="str">
            <v>-</v>
          </cell>
          <cell r="G448">
            <v>7.6693216814990806E-2</v>
          </cell>
          <cell r="H448">
            <v>1.23520234106711</v>
          </cell>
          <cell r="I448">
            <v>1.2881746857787699</v>
          </cell>
          <cell r="J448">
            <v>1.48173210608268</v>
          </cell>
          <cell r="K448">
            <v>1.2245841269989099</v>
          </cell>
          <cell r="L448">
            <v>1.33660235211397</v>
          </cell>
          <cell r="M448">
            <v>1.2990478832010199</v>
          </cell>
          <cell r="N448">
            <v>1.4382583561592399</v>
          </cell>
          <cell r="O448">
            <v>1.46726919748783</v>
          </cell>
        </row>
        <row r="449">
          <cell r="A449" t="str">
            <v>V2G</v>
          </cell>
          <cell r="B449" t="str">
            <v>VAR_cap</v>
          </cell>
          <cell r="C449" t="str">
            <v>-</v>
          </cell>
          <cell r="G449">
            <v>7.6693216814990806E-2</v>
          </cell>
          <cell r="H449">
            <v>1.3118946318934146</v>
          </cell>
          <cell r="I449">
            <v>2.5854766051650158</v>
          </cell>
          <cell r="J449">
            <v>4.0051061961224157</v>
          </cell>
          <cell r="K449">
            <v>3.9944858849495617</v>
          </cell>
          <cell r="L449">
            <v>4.0445235475295265</v>
          </cell>
          <cell r="M449">
            <v>3.8602289945990171</v>
          </cell>
          <cell r="N449">
            <v>3.8670799295772187</v>
          </cell>
          <cell r="O449">
            <v>4.2045695470613946</v>
          </cell>
        </row>
        <row r="450">
          <cell r="A450" t="str">
            <v>TPSHPELCEXT</v>
          </cell>
          <cell r="B450" t="str">
            <v>VAR_fout</v>
          </cell>
          <cell r="C450" t="str">
            <v>TPSHP</v>
          </cell>
          <cell r="E450">
            <v>4.4950885031848504E-6</v>
          </cell>
          <cell r="F450">
            <v>6.8747766779139602E-6</v>
          </cell>
          <cell r="G450">
            <v>3.2390245779084602E-4</v>
          </cell>
          <cell r="H450">
            <v>0.53329700014102399</v>
          </cell>
          <cell r="I450">
            <v>4.7739244694689402</v>
          </cell>
          <cell r="J450">
            <v>11.3384318995264</v>
          </cell>
          <cell r="K450">
            <v>14.125985694872501</v>
          </cell>
          <cell r="L450">
            <v>14.1259867466764</v>
          </cell>
          <cell r="M450">
            <v>14.1260289201436</v>
          </cell>
          <cell r="N450">
            <v>14.1260208694311</v>
          </cell>
          <cell r="O450">
            <v>14.1260171822027</v>
          </cell>
        </row>
        <row r="451">
          <cell r="A451" t="str">
            <v>TPSHPELCEXT</v>
          </cell>
          <cell r="B451" t="str">
            <v>VAR_fin</v>
          </cell>
          <cell r="C451" t="str">
            <v>TELC</v>
          </cell>
          <cell r="E451">
            <v>1.8217979836696376E-6</v>
          </cell>
          <cell r="F451">
            <v>2.7862531029430931E-6</v>
          </cell>
          <cell r="G451">
            <v>1.312732428051003E-4</v>
          </cell>
          <cell r="H451">
            <v>0.21613799124658131</v>
          </cell>
          <cell r="I451">
            <v>1.9348063929125141</v>
          </cell>
          <cell r="J451">
            <v>4.595311606856491</v>
          </cell>
          <cell r="K451">
            <v>5.7250690921950085</v>
          </cell>
          <cell r="L451">
            <v>5.7250695184767428</v>
          </cell>
          <cell r="M451">
            <v>5.7250866108070761</v>
          </cell>
          <cell r="N451">
            <v>5.7250833479632606</v>
          </cell>
          <cell r="O451">
            <v>5.7250818535799208</v>
          </cell>
        </row>
        <row r="452">
          <cell r="A452" t="str">
            <v>TPSHPELCEXT</v>
          </cell>
          <cell r="B452" t="str">
            <v>VAR_ncap</v>
          </cell>
          <cell r="C452" t="str">
            <v>-</v>
          </cell>
          <cell r="D452">
            <v>1.0137798020567101E-6</v>
          </cell>
          <cell r="E452">
            <v>3.8427672293410802E-6</v>
          </cell>
          <cell r="F452">
            <v>2.20965360497195E-6</v>
          </cell>
          <cell r="G452">
            <v>3.1755568743736801E-4</v>
          </cell>
          <cell r="H452">
            <v>0.53297476584992798</v>
          </cell>
          <cell r="I452">
            <v>4.2406048375125103</v>
          </cell>
          <cell r="J452">
            <v>6.5646298778689696</v>
          </cell>
          <cell r="K452">
            <v>2.7877746332648199</v>
          </cell>
          <cell r="L452">
            <v>0.93303705162415795</v>
          </cell>
          <cell r="M452">
            <v>3.8405667591914598</v>
          </cell>
          <cell r="N452">
            <v>6.5646331292476701</v>
          </cell>
          <cell r="O452">
            <v>2.7877787326955001</v>
          </cell>
        </row>
        <row r="453">
          <cell r="A453" t="str">
            <v>TPSHPELCEXT</v>
          </cell>
          <cell r="B453" t="str">
            <v>VAR_cap</v>
          </cell>
          <cell r="C453" t="str">
            <v>-</v>
          </cell>
          <cell r="D453">
            <v>1.0137798020567101E-6</v>
          </cell>
          <cell r="E453">
            <v>4.7001403465352517E-6</v>
          </cell>
          <cell r="F453">
            <v>6.4958542488977507E-6</v>
          </cell>
          <cell r="G453">
            <v>3.2355585905442363E-4</v>
          </cell>
          <cell r="H453">
            <v>0.53329701121921025</v>
          </cell>
          <cell r="I453">
            <v>4.7738987041022494</v>
          </cell>
          <cell r="J453">
            <v>11.338424367922258</v>
          </cell>
          <cell r="K453">
            <v>14.12598019797888</v>
          </cell>
          <cell r="L453">
            <v>14.125970630336036</v>
          </cell>
          <cell r="M453">
            <v>14.126001718641543</v>
          </cell>
          <cell r="N453">
            <v>14.126004457567515</v>
          </cell>
          <cell r="O453">
            <v>14.126007646443295</v>
          </cell>
        </row>
        <row r="454">
          <cell r="A454" t="str">
            <v>TFLGV-ICEGSL</v>
          </cell>
          <cell r="B454" t="str">
            <v>VAR_fout</v>
          </cell>
          <cell r="C454" t="str">
            <v>CO2_T</v>
          </cell>
          <cell r="D454">
            <v>26.41048718495329</v>
          </cell>
          <cell r="E454">
            <v>42.579184310522542</v>
          </cell>
          <cell r="F454">
            <v>56.408242589050751</v>
          </cell>
          <cell r="G454">
            <v>100.41590022894533</v>
          </cell>
          <cell r="H454">
            <v>71.748689438570707</v>
          </cell>
          <cell r="I454">
            <v>3.3842944443315099E-3</v>
          </cell>
        </row>
        <row r="455">
          <cell r="A455" t="str">
            <v>TFLGV-ICEGSL</v>
          </cell>
          <cell r="B455" t="str">
            <v>VAR_fout</v>
          </cell>
          <cell r="C455" t="str">
            <v>TFLGV</v>
          </cell>
          <cell r="D455">
            <v>0.12569302399495905</v>
          </cell>
          <cell r="E455">
            <v>0.20264323023459432</v>
          </cell>
          <cell r="F455">
            <v>0.26845860659845966</v>
          </cell>
          <cell r="G455">
            <v>0.47790023972534207</v>
          </cell>
          <cell r="H455">
            <v>0.3414669968052354</v>
          </cell>
          <cell r="I455">
            <v>1.6106564025813144E-5</v>
          </cell>
        </row>
        <row r="456">
          <cell r="A456" t="str">
            <v>TFLGV-ICEGSL</v>
          </cell>
          <cell r="B456" t="str">
            <v>VAR_fin</v>
          </cell>
          <cell r="C456" t="str">
            <v>TGSL</v>
          </cell>
          <cell r="D456">
            <v>0.35786568001291735</v>
          </cell>
          <cell r="E456">
            <v>0.57695371694474995</v>
          </cell>
          <cell r="F456">
            <v>0.76433933047494218</v>
          </cell>
          <cell r="G456">
            <v>1.3606490545927552</v>
          </cell>
          <cell r="H456">
            <v>0.97220446393727344</v>
          </cell>
          <cell r="I456">
            <v>4.5857648297174941E-5</v>
          </cell>
        </row>
        <row r="457">
          <cell r="A457" t="str">
            <v>TFLGV-ICEGSL</v>
          </cell>
          <cell r="B457" t="str">
            <v>VAR_ncap</v>
          </cell>
          <cell r="C457" t="str">
            <v>-</v>
          </cell>
          <cell r="E457">
            <v>8.0549258717621603E-6</v>
          </cell>
          <cell r="F457">
            <v>1.23793577479679E-2</v>
          </cell>
          <cell r="G457">
            <v>2.7479920998682E-2</v>
          </cell>
        </row>
        <row r="458">
          <cell r="A458" t="str">
            <v>TFLGV-ICEGSL</v>
          </cell>
          <cell r="B458" t="str">
            <v>VAR_cap</v>
          </cell>
          <cell r="C458" t="str">
            <v>-</v>
          </cell>
          <cell r="D458">
            <v>1.2435E-2</v>
          </cell>
          <cell r="E458">
            <v>1.4130054925871761E-2</v>
          </cell>
          <cell r="F458">
            <v>2.6509412673839699E-2</v>
          </cell>
          <cell r="G458">
            <v>4.7565953675301892E-2</v>
          </cell>
          <cell r="H458">
            <v>3.38224081744916E-2</v>
          </cell>
          <cell r="I458">
            <v>1.2996583642500142E-6</v>
          </cell>
        </row>
        <row r="459">
          <cell r="A459" t="str">
            <v>T_C-ICE-GSL-S2</v>
          </cell>
          <cell r="B459" t="str">
            <v>VAR_fout</v>
          </cell>
          <cell r="C459" t="str">
            <v>CO2_T</v>
          </cell>
          <cell r="D459">
            <v>277.88967864227493</v>
          </cell>
          <cell r="E459">
            <v>391.6433443159849</v>
          </cell>
          <cell r="F459">
            <v>323.75164752977901</v>
          </cell>
          <cell r="G459">
            <v>303.06409427690437</v>
          </cell>
          <cell r="H459">
            <v>12.096250820707894</v>
          </cell>
          <cell r="I459">
            <v>5.1165354244422298E-2</v>
          </cell>
        </row>
        <row r="460">
          <cell r="A460" t="str">
            <v>T_C-ICE-GSL-S2</v>
          </cell>
          <cell r="B460" t="str">
            <v>VAR_fout</v>
          </cell>
          <cell r="C460" t="str">
            <v>TPCAR</v>
          </cell>
          <cell r="D460">
            <v>2.2833380765151952</v>
          </cell>
          <cell r="E460">
            <v>3.2077521920703935</v>
          </cell>
          <cell r="F460">
            <v>2.6774331250504426</v>
          </cell>
          <cell r="G460">
            <v>2.5023917431295168</v>
          </cell>
          <cell r="H460">
            <v>9.9370843646661516E-2</v>
          </cell>
          <cell r="I460">
            <v>3.6412773862401244E-4</v>
          </cell>
        </row>
        <row r="461">
          <cell r="A461" t="str">
            <v>T_C-ICE-GSL-S2</v>
          </cell>
          <cell r="B461" t="str">
            <v>VAR_fin</v>
          </cell>
          <cell r="C461" t="str">
            <v>TGSL</v>
          </cell>
          <cell r="D461">
            <v>3.765442800030824</v>
          </cell>
          <cell r="E461">
            <v>5.3068203836854311</v>
          </cell>
          <cell r="F461">
            <v>4.3868786928154337</v>
          </cell>
          <cell r="G461">
            <v>4.1065595430474939</v>
          </cell>
          <cell r="H461">
            <v>0.16390583767896888</v>
          </cell>
          <cell r="I461">
            <v>6.9329748298675253E-4</v>
          </cell>
        </row>
        <row r="462">
          <cell r="A462" t="str">
            <v>T_C-ICE-GSL-S2</v>
          </cell>
          <cell r="B462" t="str">
            <v>VAR_ncap</v>
          </cell>
          <cell r="C462" t="str">
            <v>-</v>
          </cell>
          <cell r="E462">
            <v>1.00446779425108E-5</v>
          </cell>
          <cell r="F462">
            <v>2.5994513801159101E-4</v>
          </cell>
          <cell r="G462">
            <v>2.1381605408761399E-5</v>
          </cell>
        </row>
        <row r="463">
          <cell r="A463" t="str">
            <v>T_C-ICE-GSL-S2</v>
          </cell>
          <cell r="B463" t="str">
            <v>VAR_cap</v>
          </cell>
          <cell r="C463" t="str">
            <v>-</v>
          </cell>
          <cell r="D463">
            <v>0.217431041824514</v>
          </cell>
          <cell r="E463">
            <v>0.24338212472528717</v>
          </cell>
          <cell r="F463">
            <v>0.24029430299347632</v>
          </cell>
          <cell r="G463">
            <v>0.18986746747972857</v>
          </cell>
          <cell r="H463">
            <v>1.0416953065368465E-2</v>
          </cell>
          <cell r="I463">
            <v>3.5435924506526634E-5</v>
          </cell>
        </row>
        <row r="464">
          <cell r="A464" t="str">
            <v>T_C-ICE-DSL-S1</v>
          </cell>
          <cell r="B464" t="str">
            <v>VAR_fout</v>
          </cell>
          <cell r="C464" t="str">
            <v>CO2_T</v>
          </cell>
          <cell r="D464">
            <v>0.38973781765578203</v>
          </cell>
          <cell r="E464">
            <v>0.43527618239605964</v>
          </cell>
          <cell r="F464">
            <v>0.32163184922259075</v>
          </cell>
          <cell r="G464">
            <v>0.2344404636258661</v>
          </cell>
          <cell r="H464">
            <v>2.7019106589937468E-2</v>
          </cell>
          <cell r="I464">
            <v>7.6664074509269599E-3</v>
          </cell>
        </row>
        <row r="465">
          <cell r="A465" t="str">
            <v>T_C-ICE-DSL-S1</v>
          </cell>
          <cell r="B465" t="str">
            <v>VAR_fout</v>
          </cell>
          <cell r="C465" t="str">
            <v>TPCAR</v>
          </cell>
          <cell r="D465">
            <v>3.9872588290008129E-3</v>
          </cell>
          <cell r="E465">
            <v>4.5560422258234048E-3</v>
          </cell>
          <cell r="F465">
            <v>3.3761557404278853E-3</v>
          </cell>
          <cell r="G465">
            <v>2.5172491633782359E-3</v>
          </cell>
          <cell r="H465">
            <v>2.8871365342947319E-4</v>
          </cell>
          <cell r="I465">
            <v>6.8350425654391652E-5</v>
          </cell>
        </row>
        <row r="466">
          <cell r="A466" t="str">
            <v>T_C-ICE-DSL-S1</v>
          </cell>
          <cell r="B466" t="str">
            <v>VAR_fin</v>
          </cell>
          <cell r="C466" t="str">
            <v>TDSL</v>
          </cell>
          <cell r="D466">
            <v>5.3170234332303289E-3</v>
          </cell>
          <cell r="E466">
            <v>5.9382835251849935E-3</v>
          </cell>
          <cell r="F466">
            <v>4.3878833454650866E-3</v>
          </cell>
          <cell r="G466">
            <v>3.1983692172696636E-3</v>
          </cell>
          <cell r="H466">
            <v>3.6860991255030664E-4</v>
          </cell>
          <cell r="I466">
            <v>1.0458946044920827E-4</v>
          </cell>
        </row>
        <row r="467">
          <cell r="A467" t="str">
            <v>T_C-ICE-DSL-S1</v>
          </cell>
          <cell r="B467" t="str">
            <v>VAR_ncap</v>
          </cell>
          <cell r="C467" t="str">
            <v>-</v>
          </cell>
          <cell r="E467">
            <v>1.5653432175893299E-5</v>
          </cell>
          <cell r="F467">
            <v>2.4839894946164299E-5</v>
          </cell>
          <cell r="G467">
            <v>1.6091359376071401E-5</v>
          </cell>
        </row>
        <row r="468">
          <cell r="A468" t="str">
            <v>T_C-ICE-DSL-S1</v>
          </cell>
          <cell r="B468" t="str">
            <v>VAR_cap</v>
          </cell>
          <cell r="C468" t="str">
            <v>-</v>
          </cell>
          <cell r="D468">
            <v>4.4470251404026223E-4</v>
          </cell>
          <cell r="E468">
            <v>4.8842038209008032E-4</v>
          </cell>
          <cell r="F468">
            <v>5.0884221439223575E-4</v>
          </cell>
          <cell r="G468">
            <v>3.7983194781910778E-4</v>
          </cell>
          <cell r="H468">
            <v>4.2119325603645284E-5</v>
          </cell>
          <cell r="I468">
            <v>9.7651042347814834E-6</v>
          </cell>
        </row>
        <row r="469">
          <cell r="A469" t="str">
            <v>T_C-ICE-GSL-S3</v>
          </cell>
          <cell r="B469" t="str">
            <v>VAR_fout</v>
          </cell>
          <cell r="C469" t="str">
            <v>CO2_T</v>
          </cell>
          <cell r="D469">
            <v>278.1623495709905</v>
          </cell>
          <cell r="E469">
            <v>423.6368567672813</v>
          </cell>
          <cell r="F469">
            <v>524.4013590623332</v>
          </cell>
          <cell r="G469">
            <v>430.24222816541072</v>
          </cell>
          <cell r="H469">
            <v>86.247004450105337</v>
          </cell>
          <cell r="I469">
            <v>10.761016104683561</v>
          </cell>
        </row>
        <row r="470">
          <cell r="A470" t="str">
            <v>T_C-ICE-GSL-S3</v>
          </cell>
          <cell r="B470" t="str">
            <v>VAR_fout</v>
          </cell>
          <cell r="C470" t="str">
            <v>TPCAR</v>
          </cell>
          <cell r="D470">
            <v>1.9476495604258284</v>
          </cell>
          <cell r="E470">
            <v>2.9621708743219863</v>
          </cell>
          <cell r="F470">
            <v>3.6177287819625894</v>
          </cell>
          <cell r="G470">
            <v>2.9847922237963336</v>
          </cell>
          <cell r="H470">
            <v>0.57300993143640044</v>
          </cell>
          <cell r="I470">
            <v>7.0318830772772317E-2</v>
          </cell>
        </row>
        <row r="471">
          <cell r="A471" t="str">
            <v>T_C-ICE-GSL-S3</v>
          </cell>
          <cell r="B471" t="str">
            <v>VAR_fin</v>
          </cell>
          <cell r="C471" t="str">
            <v>TGSL</v>
          </cell>
          <cell r="D471">
            <v>3.7691375280622035</v>
          </cell>
          <cell r="E471">
            <v>5.7403368125647845</v>
          </cell>
          <cell r="F471">
            <v>7.1057094723893401</v>
          </cell>
          <cell r="G471">
            <v>5.8298404900461946</v>
          </cell>
          <cell r="H471">
            <v>1.1686585968848984</v>
          </cell>
          <cell r="I471">
            <v>0.14581322635072583</v>
          </cell>
        </row>
        <row r="472">
          <cell r="A472" t="str">
            <v>T_C-ICE-GSL-S3</v>
          </cell>
          <cell r="B472" t="str">
            <v>VAR_ncap</v>
          </cell>
          <cell r="C472" t="str">
            <v>-</v>
          </cell>
          <cell r="E472">
            <v>1.8520904325025399E-5</v>
          </cell>
          <cell r="F472">
            <v>4.8865644685900898E-2</v>
          </cell>
          <cell r="G472">
            <v>1.39728544283423E-5</v>
          </cell>
        </row>
        <row r="473">
          <cell r="A473" t="str">
            <v>T_C-ICE-GSL-S3</v>
          </cell>
          <cell r="B473" t="str">
            <v>VAR_cap</v>
          </cell>
          <cell r="C473" t="str">
            <v>-</v>
          </cell>
          <cell r="D473">
            <v>0.18201269564256456</v>
          </cell>
          <cell r="E473">
            <v>0.20367220116404261</v>
          </cell>
          <cell r="F473">
            <v>0.24875203399274037</v>
          </cell>
          <cell r="G473">
            <v>0.2052321735629184</v>
          </cell>
          <cell r="H473">
            <v>3.9405972867946434E-2</v>
          </cell>
          <cell r="I473">
            <v>4.8426842657667279E-3</v>
          </cell>
        </row>
        <row r="474">
          <cell r="A474" t="str">
            <v>T_C-ICE-DSL-S2</v>
          </cell>
          <cell r="B474" t="str">
            <v>VAR_fout</v>
          </cell>
          <cell r="C474" t="str">
            <v>CO2_T</v>
          </cell>
          <cell r="D474">
            <v>89.57749565065059</v>
          </cell>
          <cell r="E474">
            <v>94.053167488926306</v>
          </cell>
          <cell r="F474">
            <v>81.47369558196344</v>
          </cell>
          <cell r="G474">
            <v>60.740184077295638</v>
          </cell>
          <cell r="H474">
            <v>1.5158911087232556</v>
          </cell>
          <cell r="I474">
            <v>7.75496024099617E-3</v>
          </cell>
        </row>
        <row r="475">
          <cell r="A475" t="str">
            <v>T_C-ICE-DSL-S2</v>
          </cell>
          <cell r="B475" t="str">
            <v>VAR_fout</v>
          </cell>
          <cell r="C475" t="str">
            <v>TPCAR</v>
          </cell>
          <cell r="D475">
            <v>0.85098284131824475</v>
          </cell>
          <cell r="E475">
            <v>0.90298592940032474</v>
          </cell>
          <cell r="F475">
            <v>0.81689729029355862</v>
          </cell>
          <cell r="G475">
            <v>0.63224147495696581</v>
          </cell>
          <cell r="H475">
            <v>1.7144217947767798E-2</v>
          </cell>
          <cell r="I475">
            <v>5.6322243762505685E-5</v>
          </cell>
        </row>
        <row r="476">
          <cell r="A476" t="str">
            <v>T_C-ICE-DSL-S2</v>
          </cell>
          <cell r="B476" t="str">
            <v>VAR_fin</v>
          </cell>
          <cell r="C476" t="str">
            <v>TDSL</v>
          </cell>
          <cell r="D476">
            <v>1.2220667892312493</v>
          </cell>
          <cell r="E476">
            <v>1.2831264323182292</v>
          </cell>
          <cell r="F476">
            <v>1.1115101716502525</v>
          </cell>
          <cell r="G476">
            <v>0.82865189737102141</v>
          </cell>
          <cell r="H476">
            <v>2.068064268380981E-2</v>
          </cell>
          <cell r="I476">
            <v>1.057975476261414E-4</v>
          </cell>
        </row>
        <row r="477">
          <cell r="A477" t="str">
            <v>T_C-ICE-DSL-S2</v>
          </cell>
          <cell r="B477" t="str">
            <v>VAR_ncap</v>
          </cell>
          <cell r="C477" t="str">
            <v>-</v>
          </cell>
          <cell r="E477">
            <v>7.6042514058238903E-6</v>
          </cell>
          <cell r="F477">
            <v>1.3966127379255699E-5</v>
          </cell>
          <cell r="G477">
            <v>8.0909127390020605E-6</v>
          </cell>
        </row>
        <row r="478">
          <cell r="A478" t="str">
            <v>T_C-ICE-DSL-S2</v>
          </cell>
          <cell r="B478" t="str">
            <v>VAR_cap</v>
          </cell>
          <cell r="C478" t="str">
            <v>-</v>
          </cell>
          <cell r="D478">
            <v>6.4569762372090694E-2</v>
          </cell>
          <cell r="E478">
            <v>6.8512375699156525E-2</v>
          </cell>
          <cell r="F478">
            <v>6.7905280456219907E-2</v>
          </cell>
          <cell r="G478">
            <v>5.148688630352543E-2</v>
          </cell>
          <cell r="H478">
            <v>1.7821923828712915E-3</v>
          </cell>
          <cell r="I478">
            <v>5.0568166680582898E-6</v>
          </cell>
        </row>
        <row r="479">
          <cell r="A479" t="str">
            <v>TPRLPH2OFCL</v>
          </cell>
          <cell r="B479" t="str">
            <v>VAR_fout</v>
          </cell>
          <cell r="C479" t="str">
            <v>TPRLP</v>
          </cell>
          <cell r="I479">
            <v>1.7065034910896143E-6</v>
          </cell>
          <cell r="J479">
            <v>2.0997118683376958E-6</v>
          </cell>
          <cell r="K479">
            <v>1.7053017368856519E-6</v>
          </cell>
          <cell r="L479">
            <v>1.7045914716400533E-6</v>
          </cell>
          <cell r="M479">
            <v>2.0685826498425797E-6</v>
          </cell>
          <cell r="N479">
            <v>1.8210487522062056E-6</v>
          </cell>
          <cell r="O479">
            <v>5.1938625974190197E-6</v>
          </cell>
        </row>
        <row r="480">
          <cell r="A480" t="str">
            <v>TPRLPH2OFCL</v>
          </cell>
          <cell r="B480" t="str">
            <v>VAR_fin</v>
          </cell>
          <cell r="C480" t="str">
            <v>TH2O</v>
          </cell>
          <cell r="I480">
            <v>9.5112838184782507E-5</v>
          </cell>
          <cell r="J480">
            <v>1.1270001908596778E-4</v>
          </cell>
          <cell r="K480">
            <v>8.8265781932490893E-5</v>
          </cell>
          <cell r="L480">
            <v>8.8229018868262338E-5</v>
          </cell>
          <cell r="M480">
            <v>1.0706906650654655E-4</v>
          </cell>
          <cell r="N480">
            <v>9.4256804279233328E-5</v>
          </cell>
          <cell r="O480">
            <v>2.6883239106314735E-4</v>
          </cell>
        </row>
        <row r="481">
          <cell r="A481" t="str">
            <v>TPRLPH2OFCL</v>
          </cell>
          <cell r="B481" t="str">
            <v>VAR_ncap</v>
          </cell>
          <cell r="C481" t="str">
            <v>-</v>
          </cell>
          <cell r="I481">
            <v>3.9366440997939098E-8</v>
          </cell>
          <cell r="O481">
            <v>8.3649970501990299E-8</v>
          </cell>
        </row>
        <row r="482">
          <cell r="A482" t="str">
            <v>TPRLPH2OFCL</v>
          </cell>
          <cell r="B482" t="str">
            <v>VAR_cap</v>
          </cell>
          <cell r="C482" t="str">
            <v>-</v>
          </cell>
          <cell r="I482">
            <v>3.9366440997939098E-8</v>
          </cell>
          <cell r="J482">
            <v>3.9366440997939098E-8</v>
          </cell>
          <cell r="K482">
            <v>3.9366440997939098E-8</v>
          </cell>
          <cell r="L482">
            <v>3.9366440997939098E-8</v>
          </cell>
          <cell r="M482">
            <v>3.9366440997939098E-8</v>
          </cell>
          <cell r="N482">
            <v>3.3203625850243798E-8</v>
          </cell>
          <cell r="O482">
            <v>8.3649970501990299E-8</v>
          </cell>
        </row>
        <row r="483">
          <cell r="A483" t="str">
            <v>T_C-ICE-GSL-S4</v>
          </cell>
          <cell r="B483" t="str">
            <v>VAR_fout</v>
          </cell>
          <cell r="C483" t="str">
            <v>CO2_T</v>
          </cell>
          <cell r="D483">
            <v>286.93058375320771</v>
          </cell>
          <cell r="E483">
            <v>387.78387084298538</v>
          </cell>
          <cell r="F483">
            <v>817.81228613849476</v>
          </cell>
          <cell r="G483">
            <v>686.0085757831348</v>
          </cell>
          <cell r="H483">
            <v>287.43037499357467</v>
          </cell>
          <cell r="I483">
            <v>32.016091236635972</v>
          </cell>
        </row>
        <row r="484">
          <cell r="A484" t="str">
            <v>T_C-ICE-GSL-S4</v>
          </cell>
          <cell r="B484" t="str">
            <v>VAR_fout</v>
          </cell>
          <cell r="C484" t="str">
            <v>TPCAR</v>
          </cell>
          <cell r="D484">
            <v>1.7118742561433353</v>
          </cell>
          <cell r="E484">
            <v>2.2767671227598751</v>
          </cell>
          <cell r="F484">
            <v>4.8088929843701544</v>
          </cell>
          <cell r="G484">
            <v>4.0597470952534556</v>
          </cell>
          <cell r="H484">
            <v>1.6911419347042789</v>
          </cell>
          <cell r="I484">
            <v>0.18847507485838319</v>
          </cell>
        </row>
        <row r="485">
          <cell r="A485" t="str">
            <v>T_C-ICE-GSL-S4</v>
          </cell>
          <cell r="B485" t="str">
            <v>VAR_fin</v>
          </cell>
          <cell r="C485" t="str">
            <v>TGSL</v>
          </cell>
          <cell r="D485">
            <v>3.8879482893388579</v>
          </cell>
          <cell r="E485">
            <v>5.2545239951623905</v>
          </cell>
          <cell r="F485">
            <v>11.081467291849533</v>
          </cell>
          <cell r="G485">
            <v>9.2955091569530328</v>
          </cell>
          <cell r="H485">
            <v>3.8947205283682167</v>
          </cell>
          <cell r="I485">
            <v>0.4338223744801612</v>
          </cell>
        </row>
        <row r="486">
          <cell r="A486" t="str">
            <v>T_C-ICE-GSL-S4</v>
          </cell>
          <cell r="B486" t="str">
            <v>VAR_ncap</v>
          </cell>
          <cell r="C486" t="str">
            <v>-</v>
          </cell>
          <cell r="E486">
            <v>1.2980994111158001E-5</v>
          </cell>
          <cell r="F486">
            <v>0.20507606492765201</v>
          </cell>
          <cell r="G486">
            <v>5.52540803619256E-5</v>
          </cell>
        </row>
        <row r="487">
          <cell r="A487" t="str">
            <v>T_C-ICE-GSL-S4</v>
          </cell>
          <cell r="B487" t="str">
            <v>VAR_cap</v>
          </cell>
          <cell r="C487" t="str">
            <v>-</v>
          </cell>
          <cell r="D487">
            <v>0.15707590147649575</v>
          </cell>
          <cell r="E487">
            <v>0.17927693706075951</v>
          </cell>
          <cell r="F487">
            <v>0.37872094558045</v>
          </cell>
          <cell r="G487">
            <v>0.31968367768175998</v>
          </cell>
          <cell r="H487">
            <v>0.13563478287938882</v>
          </cell>
          <cell r="I487">
            <v>2.0321920174245028E-2</v>
          </cell>
        </row>
        <row r="488">
          <cell r="A488" t="str">
            <v>T_C-ICE-DSL-S3</v>
          </cell>
          <cell r="B488" t="str">
            <v>VAR_fout</v>
          </cell>
          <cell r="C488" t="str">
            <v>CO2_T</v>
          </cell>
          <cell r="D488">
            <v>369.92291063472874</v>
          </cell>
          <cell r="E488">
            <v>390.45786844832162</v>
          </cell>
          <cell r="F488">
            <v>386.73258300893178</v>
          </cell>
          <cell r="G488">
            <v>295.33138377055519</v>
          </cell>
          <cell r="H488">
            <v>10.132458497920512</v>
          </cell>
          <cell r="I488">
            <v>6.9597419789291298E-3</v>
          </cell>
        </row>
        <row r="489">
          <cell r="A489" t="str">
            <v>T_C-ICE-DSL-S3</v>
          </cell>
          <cell r="B489" t="str">
            <v>VAR_fout</v>
          </cell>
          <cell r="C489" t="str">
            <v>TPCAR</v>
          </cell>
          <cell r="D489">
            <v>2.6637784419309347</v>
          </cell>
          <cell r="E489">
            <v>2.836112312770191</v>
          </cell>
          <cell r="F489">
            <v>2.8065998136943806</v>
          </cell>
          <cell r="G489">
            <v>2.1806097242582174</v>
          </cell>
          <cell r="H489">
            <v>8.1740702314355845E-2</v>
          </cell>
          <cell r="I489">
            <v>4.5203574078680305E-5</v>
          </cell>
        </row>
        <row r="490">
          <cell r="A490" t="str">
            <v>T_C-ICE-DSL-S3</v>
          </cell>
          <cell r="B490" t="str">
            <v>VAR_fin</v>
          </cell>
          <cell r="C490" t="str">
            <v>TDSL</v>
          </cell>
          <cell r="D490">
            <v>5.0466972801463665</v>
          </cell>
          <cell r="E490">
            <v>5.3268467728283948</v>
          </cell>
          <cell r="F490">
            <v>5.2760243248149132</v>
          </cell>
          <cell r="G490">
            <v>4.0290775412081166</v>
          </cell>
          <cell r="H490">
            <v>0.13823272166330866</v>
          </cell>
          <cell r="I490">
            <v>9.4948730954012812E-5</v>
          </cell>
        </row>
        <row r="491">
          <cell r="A491" t="str">
            <v>T_C-ICE-DSL-S3</v>
          </cell>
          <cell r="B491" t="str">
            <v>VAR_ncap</v>
          </cell>
          <cell r="C491" t="str">
            <v>-</v>
          </cell>
          <cell r="E491">
            <v>8.0769454508708592E-6</v>
          </cell>
          <cell r="F491">
            <v>1.0101996846452499E-5</v>
          </cell>
          <cell r="G491">
            <v>5.6304901604293496E-6</v>
          </cell>
        </row>
        <row r="492">
          <cell r="A492" t="str">
            <v>T_C-ICE-DSL-S3</v>
          </cell>
          <cell r="B492" t="str">
            <v>VAR_cap</v>
          </cell>
          <cell r="C492" t="str">
            <v>-</v>
          </cell>
          <cell r="D492">
            <v>0.18324161795676716</v>
          </cell>
          <cell r="E492">
            <v>0.19500449305171713</v>
          </cell>
          <cell r="F492">
            <v>0.19298015419158177</v>
          </cell>
          <cell r="G492">
            <v>0.14993986059272982</v>
          </cell>
          <cell r="H492">
            <v>5.624664808485602E-3</v>
          </cell>
          <cell r="I492">
            <v>3.5569528750378402E-6</v>
          </cell>
        </row>
        <row r="493">
          <cell r="A493" t="str">
            <v>T_C-ICE-DSL-S4</v>
          </cell>
          <cell r="B493" t="str">
            <v>VAR_fout</v>
          </cell>
          <cell r="C493" t="str">
            <v>CO2_T</v>
          </cell>
          <cell r="D493">
            <v>142.22314811545348</v>
          </cell>
          <cell r="E493">
            <v>162.0542903894578</v>
          </cell>
          <cell r="F493">
            <v>159.32837681170068</v>
          </cell>
          <cell r="G493">
            <v>122.65144124420343</v>
          </cell>
          <cell r="H493">
            <v>6.4835048782304794</v>
          </cell>
          <cell r="I493">
            <v>4.5579947751896522E-3</v>
          </cell>
        </row>
        <row r="494">
          <cell r="A494" t="str">
            <v>T_C-ICE-DSL-S4</v>
          </cell>
          <cell r="B494" t="str">
            <v>VAR_fout</v>
          </cell>
          <cell r="C494" t="str">
            <v>TPCAR</v>
          </cell>
          <cell r="D494">
            <v>0.90419594316051066</v>
          </cell>
          <cell r="E494">
            <v>1.0075862446505011</v>
          </cell>
          <cell r="F494">
            <v>0.99284275559868962</v>
          </cell>
          <cell r="G494">
            <v>0.7750863125997699</v>
          </cell>
          <cell r="H494">
            <v>3.4691428022434335E-2</v>
          </cell>
          <cell r="I494">
            <v>2.6429653123195565E-5</v>
          </cell>
        </row>
        <row r="495">
          <cell r="A495" t="str">
            <v>T_C-ICE-DSL-S4</v>
          </cell>
          <cell r="B495" t="str">
            <v>VAR_fin</v>
          </cell>
          <cell r="C495" t="str">
            <v>TDSL</v>
          </cell>
          <cell r="D495">
            <v>1.9402885145355144</v>
          </cell>
          <cell r="E495">
            <v>2.2108361581099309</v>
          </cell>
          <cell r="F495">
            <v>2.173647705480231</v>
          </cell>
          <cell r="G495">
            <v>1.6732802352551654</v>
          </cell>
          <cell r="H495">
            <v>8.8451635446527566E-2</v>
          </cell>
          <cell r="I495">
            <v>6.218273908853554E-5</v>
          </cell>
        </row>
        <row r="496">
          <cell r="A496" t="str">
            <v>T_C-ICE-DSL-S4</v>
          </cell>
          <cell r="B496" t="str">
            <v>VAR_ncap</v>
          </cell>
          <cell r="C496" t="str">
            <v>-</v>
          </cell>
          <cell r="E496">
            <v>3.1926877077699499E-6</v>
          </cell>
          <cell r="F496">
            <v>5.0780423364450698E-6</v>
          </cell>
          <cell r="G496">
            <v>4.3124333464964503E-6</v>
          </cell>
        </row>
        <row r="497">
          <cell r="A497" t="str">
            <v>T_C-ICE-DSL-S4</v>
          </cell>
          <cell r="B497" t="str">
            <v>VAR_cap</v>
          </cell>
          <cell r="C497" t="str">
            <v>-</v>
          </cell>
          <cell r="D497">
            <v>7.1262491432148189E-2</v>
          </cell>
          <cell r="E497">
            <v>7.9340735343653671E-2</v>
          </cell>
          <cell r="F497">
            <v>7.8209658727928233E-2</v>
          </cell>
          <cell r="G497">
            <v>6.1060883127162E-2</v>
          </cell>
          <cell r="H497">
            <v>3.3722915673084245E-3</v>
          </cell>
          <cell r="I497">
            <v>2.46111410819492E-6</v>
          </cell>
        </row>
        <row r="498">
          <cell r="A498" t="str">
            <v>TFLGV-ICENGAExt</v>
          </cell>
          <cell r="B498" t="str">
            <v>VAR_fout</v>
          </cell>
          <cell r="C498" t="str">
            <v>CO2_T</v>
          </cell>
          <cell r="D498">
            <v>6.067622609481</v>
          </cell>
          <cell r="E498">
            <v>1.8271946136269599</v>
          </cell>
          <cell r="F498">
            <v>3.9555547318928301</v>
          </cell>
        </row>
        <row r="499">
          <cell r="A499" t="str">
            <v>TFLGV-ICENGAExt</v>
          </cell>
          <cell r="B499" t="str">
            <v>VAR_fout</v>
          </cell>
          <cell r="C499" t="str">
            <v>TFLGV</v>
          </cell>
          <cell r="D499">
            <v>2.9862951080657157E-2</v>
          </cell>
          <cell r="E499">
            <v>9.076697466108204E-3</v>
          </cell>
          <cell r="F499">
            <v>1.992161608065578E-2</v>
          </cell>
        </row>
        <row r="500">
          <cell r="A500" t="str">
            <v>TFLGV-ICENGAExt</v>
          </cell>
          <cell r="B500" t="str">
            <v>VAR_fin</v>
          </cell>
          <cell r="C500" t="str">
            <v>TNGA</v>
          </cell>
          <cell r="D500">
            <v>0.10758196116101061</v>
          </cell>
          <cell r="E500">
            <v>3.239706761749931E-2</v>
          </cell>
          <cell r="F500">
            <v>7.0133949147035982E-2</v>
          </cell>
        </row>
        <row r="501">
          <cell r="A501" t="str">
            <v>TFLGV-ICENGAExt</v>
          </cell>
          <cell r="B501" t="str">
            <v>VAR_cap</v>
          </cell>
          <cell r="C501" t="str">
            <v>-</v>
          </cell>
          <cell r="D501">
            <v>2.0849789857811845E-3</v>
          </cell>
          <cell r="E501">
            <v>1.807E-3</v>
          </cell>
          <cell r="F501">
            <v>1.39E-3</v>
          </cell>
        </row>
        <row r="502">
          <cell r="A502" t="str">
            <v>D-TGSL</v>
          </cell>
          <cell r="B502" t="str">
            <v>VAR_fout</v>
          </cell>
          <cell r="C502" t="str">
            <v>CO2</v>
          </cell>
          <cell r="D502">
            <v>5885.3485365656497</v>
          </cell>
          <cell r="E502">
            <v>5605.5626876064898</v>
          </cell>
          <cell r="F502">
            <v>5842.7274471728197</v>
          </cell>
          <cell r="G502">
            <v>3571.0516144942098</v>
          </cell>
          <cell r="H502">
            <v>1606.2412518250001</v>
          </cell>
          <cell r="I502">
            <v>743.066806360638</v>
          </cell>
          <cell r="J502">
            <v>232.50952416969699</v>
          </cell>
          <cell r="K502">
            <v>23.599663852807598</v>
          </cell>
          <cell r="L502">
            <v>22.4177107288488</v>
          </cell>
          <cell r="M502">
            <v>19.247329040481599</v>
          </cell>
          <cell r="N502">
            <v>17.662806913444701</v>
          </cell>
          <cell r="O502">
            <v>14.219385984399</v>
          </cell>
        </row>
        <row r="503">
          <cell r="A503" t="str">
            <v>D-TGSL</v>
          </cell>
          <cell r="B503" t="str">
            <v>VAR_fout</v>
          </cell>
          <cell r="C503" t="str">
            <v>TGSL</v>
          </cell>
          <cell r="D503">
            <v>83.125613542638547</v>
          </cell>
          <cell r="E503">
            <v>79.173866162006902</v>
          </cell>
          <cell r="F503">
            <v>82.523623726897199</v>
          </cell>
          <cell r="G503">
            <v>50.438770185987686</v>
          </cell>
          <cell r="H503">
            <v>22.755017149504248</v>
          </cell>
          <cell r="I503">
            <v>10.495361827849695</v>
          </cell>
          <cell r="J503">
            <v>7.593549862566169</v>
          </cell>
          <cell r="K503">
            <v>2.1000050875177658</v>
          </cell>
          <cell r="L503">
            <v>1.9949648622100928</v>
          </cell>
          <cell r="M503">
            <v>1.712559771001618</v>
          </cell>
          <cell r="N503">
            <v>1.5715586634190757</v>
          </cell>
          <cell r="O503">
            <v>1.2646604849436183</v>
          </cell>
        </row>
        <row r="504">
          <cell r="A504" t="str">
            <v>D-TGSL</v>
          </cell>
          <cell r="B504" t="str">
            <v>VAR_fin</v>
          </cell>
          <cell r="C504" t="str">
            <v>GSL</v>
          </cell>
          <cell r="D504">
            <v>79.747270143165935</v>
          </cell>
          <cell r="E504">
            <v>75.956133978407706</v>
          </cell>
          <cell r="F504">
            <v>79.1697486066778</v>
          </cell>
          <cell r="G504">
            <v>48.388233258729166</v>
          </cell>
          <cell r="H504">
            <v>21.764786610094884</v>
          </cell>
          <cell r="I504">
            <v>10.068655912745772</v>
          </cell>
          <cell r="J504">
            <v>3.1505355578549672</v>
          </cell>
          <cell r="K504">
            <v>0.31977864299197328</v>
          </cell>
          <cell r="L504">
            <v>0.30376301800608063</v>
          </cell>
          <cell r="M504">
            <v>0.26080391653769053</v>
          </cell>
          <cell r="N504">
            <v>0.23933342701144558</v>
          </cell>
          <cell r="O504">
            <v>0.19267460683467424</v>
          </cell>
        </row>
        <row r="505">
          <cell r="A505" t="str">
            <v>D-TGSL</v>
          </cell>
          <cell r="B505" t="str">
            <v>VAR_fin</v>
          </cell>
          <cell r="C505" t="str">
            <v>ETH</v>
          </cell>
          <cell r="D505">
            <v>4.6181870088501089</v>
          </cell>
          <cell r="E505">
            <v>4.3986342733666275</v>
          </cell>
          <cell r="F505">
            <v>4.5847398542323994</v>
          </cell>
          <cell r="G505">
            <v>2.8028462148174484</v>
          </cell>
          <cell r="H505">
            <v>1.3296284822805666</v>
          </cell>
          <cell r="I505">
            <v>0.58324740178606604</v>
          </cell>
          <cell r="J505">
            <v>4.5562743908500858</v>
          </cell>
          <cell r="K505">
            <v>1.8115486536913474</v>
          </cell>
          <cell r="L505">
            <v>1.7209573467327866</v>
          </cell>
          <cell r="M505">
            <v>1.4772991998942138</v>
          </cell>
          <cell r="N505">
            <v>1.3556655077975117</v>
          </cell>
          <cell r="O505">
            <v>1.0908486706175269</v>
          </cell>
        </row>
        <row r="506">
          <cell r="A506" t="str">
            <v>T_TW-BEVELC-S1</v>
          </cell>
          <cell r="B506" t="str">
            <v>VAR_fout</v>
          </cell>
          <cell r="C506" t="str">
            <v>TPTWL</v>
          </cell>
          <cell r="D506">
            <v>1.7270665132625481E-2</v>
          </cell>
          <cell r="E506">
            <v>2.3181854371645379E-2</v>
          </cell>
          <cell r="F506">
            <v>2.3270306386324234E-2</v>
          </cell>
          <cell r="G506">
            <v>1.557661480943818E-2</v>
          </cell>
          <cell r="H506">
            <v>1.2916184395822541E-3</v>
          </cell>
          <cell r="I506">
            <v>2.1014183834400127E-3</v>
          </cell>
          <cell r="J506">
            <v>1.2589426077990131E-2</v>
          </cell>
          <cell r="K506">
            <v>1.0935480786414837</v>
          </cell>
          <cell r="L506">
            <v>1.5610772503894497</v>
          </cell>
          <cell r="M506">
            <v>1.8274683708617903</v>
          </cell>
          <cell r="N506">
            <v>1.7928497394517597</v>
          </cell>
          <cell r="O506">
            <v>1.7542604786903824</v>
          </cell>
        </row>
        <row r="507">
          <cell r="A507" t="str">
            <v>T_TW-BEVELC-S1</v>
          </cell>
          <cell r="B507" t="str">
            <v>VAR_fin</v>
          </cell>
          <cell r="C507" t="str">
            <v>T-ELC-TWSTGout_S1</v>
          </cell>
          <cell r="D507">
            <v>1.5560661957034784E-3</v>
          </cell>
          <cell r="E507">
            <v>2.0872578643325954E-3</v>
          </cell>
          <cell r="F507">
            <v>2.0950945875445126E-3</v>
          </cell>
          <cell r="G507">
            <v>1.4016407986123705E-3</v>
          </cell>
          <cell r="H507">
            <v>1.1248366773541275E-4</v>
          </cell>
          <cell r="I507">
            <v>1.8151221228298873E-4</v>
          </cell>
          <cell r="J507">
            <v>1.0706436874819568E-3</v>
          </cell>
          <cell r="K507">
            <v>9.1797701156080172E-2</v>
          </cell>
          <cell r="L507">
            <v>0.13103445097594443</v>
          </cell>
          <cell r="M507">
            <v>0.15339008412569727</v>
          </cell>
          <cell r="N507">
            <v>0.15048434038262101</v>
          </cell>
          <cell r="O507">
            <v>0.14724531854841841</v>
          </cell>
        </row>
        <row r="508">
          <cell r="A508" t="str">
            <v>T_TW-BEVELC-S1</v>
          </cell>
          <cell r="B508" t="str">
            <v>VAR_ncap</v>
          </cell>
          <cell r="C508" t="str">
            <v>-</v>
          </cell>
          <cell r="D508">
            <v>1.4686872269677499E-5</v>
          </cell>
          <cell r="E508">
            <v>6.9479641222766199E-5</v>
          </cell>
          <cell r="F508">
            <v>4.48165859298644E-5</v>
          </cell>
          <cell r="G508">
            <v>7.3151001065860594E-5</v>
          </cell>
          <cell r="H508">
            <v>3.6889005483637998E-4</v>
          </cell>
          <cell r="I508">
            <v>3.6026347805076899E-4</v>
          </cell>
          <cell r="J508">
            <v>3.7948415799114901E-3</v>
          </cell>
          <cell r="K508">
            <v>0.40179601360692702</v>
          </cell>
          <cell r="L508">
            <v>0.24759210386041799</v>
          </cell>
          <cell r="M508">
            <v>0.34637311383859798</v>
          </cell>
          <cell r="N508">
            <v>0.40936797361035798</v>
          </cell>
          <cell r="O508">
            <v>0.154059246739016</v>
          </cell>
        </row>
        <row r="509">
          <cell r="A509" t="str">
            <v>T_TW-BEVELC-S1</v>
          </cell>
          <cell r="B509" t="str">
            <v>VAR_cap</v>
          </cell>
          <cell r="C509" t="str">
            <v>-</v>
          </cell>
          <cell r="D509">
            <v>5.9555940493830053E-3</v>
          </cell>
          <cell r="E509">
            <v>7.9790814951260589E-3</v>
          </cell>
          <cell r="F509">
            <v>8.0238007398970822E-3</v>
          </cell>
          <cell r="G509">
            <v>5.384820401162187E-3</v>
          </cell>
          <cell r="H509">
            <v>4.6496017284908026E-4</v>
          </cell>
          <cell r="I509">
            <v>7.444733968589932E-4</v>
          </cell>
          <cell r="J509">
            <v>4.3463163857090491E-3</v>
          </cell>
          <cell r="K509">
            <v>0.40571379394128687</v>
          </cell>
          <cell r="L509">
            <v>0.65109499086286959</v>
          </cell>
          <cell r="M509">
            <v>0.79982273003366211</v>
          </cell>
          <cell r="N509">
            <v>0.79959495211363718</v>
          </cell>
          <cell r="O509">
            <v>0.79718126215999252</v>
          </cell>
        </row>
        <row r="510">
          <cell r="A510" t="str">
            <v>T_TW-BEVELC-S2</v>
          </cell>
          <cell r="B510" t="str">
            <v>VAR_fout</v>
          </cell>
          <cell r="C510" t="str">
            <v>TPTWL</v>
          </cell>
          <cell r="D510">
            <v>2.2450459925267242E-3</v>
          </cell>
          <cell r="E510">
            <v>2.7147355472750055E-3</v>
          </cell>
          <cell r="F510">
            <v>2.7311744755167504E-3</v>
          </cell>
          <cell r="G510">
            <v>2.2873192832390081E-3</v>
          </cell>
          <cell r="H510">
            <v>4.02762466105636E-4</v>
          </cell>
          <cell r="I510">
            <v>4.056626321555801E-4</v>
          </cell>
          <cell r="J510">
            <v>6.0304746457819026E-4</v>
          </cell>
          <cell r="K510">
            <v>8.1296430099489308E-4</v>
          </cell>
          <cell r="L510">
            <v>9.4619597439532326E-4</v>
          </cell>
          <cell r="M510">
            <v>1.2613229389325687E-3</v>
          </cell>
          <cell r="N510">
            <v>1.2023655973193324E-3</v>
          </cell>
          <cell r="O510">
            <v>1.7667017112349857E-3</v>
          </cell>
        </row>
        <row r="511">
          <cell r="A511" t="str">
            <v>T_TW-BEVELC-S2</v>
          </cell>
          <cell r="B511" t="str">
            <v>VAR_fin</v>
          </cell>
          <cell r="C511" t="str">
            <v>T-ELC-TWSTGout_S2</v>
          </cell>
          <cell r="D511">
            <v>3.5723403441114028E-4</v>
          </cell>
          <cell r="E511">
            <v>4.3177321825226152E-4</v>
          </cell>
          <cell r="F511">
            <v>4.3428181347196482E-4</v>
          </cell>
          <cell r="G511">
            <v>3.6339197735787255E-4</v>
          </cell>
          <cell r="H511">
            <v>6.2575292570056658E-5</v>
          </cell>
          <cell r="I511">
            <v>6.1950654195531786E-5</v>
          </cell>
          <cell r="J511">
            <v>9.1232605791622916E-5</v>
          </cell>
          <cell r="K511">
            <v>1.2147793546031718E-4</v>
          </cell>
          <cell r="L511">
            <v>1.4054532793576833E-4</v>
          </cell>
          <cell r="M511">
            <v>1.8695546403945748E-4</v>
          </cell>
          <cell r="N511">
            <v>1.7821670505901484E-4</v>
          </cell>
          <cell r="O511">
            <v>2.6186357834954028E-4</v>
          </cell>
        </row>
        <row r="512">
          <cell r="A512" t="str">
            <v>T_TW-BEVELC-S2</v>
          </cell>
          <cell r="B512" t="str">
            <v>VAR_ncap</v>
          </cell>
          <cell r="C512" t="str">
            <v>-</v>
          </cell>
          <cell r="D512">
            <v>9.1873610526754402E-6</v>
          </cell>
          <cell r="E512">
            <v>2.3980310446440901E-5</v>
          </cell>
          <cell r="F512">
            <v>2.05396572304723E-5</v>
          </cell>
          <cell r="G512">
            <v>2.49820882818927E-5</v>
          </cell>
          <cell r="H512">
            <v>7.0656657756012196E-5</v>
          </cell>
          <cell r="I512">
            <v>6.6649982072847298E-5</v>
          </cell>
          <cell r="J512">
            <v>9.6726955006964997E-5</v>
          </cell>
          <cell r="K512">
            <v>1.5502825241647499E-4</v>
          </cell>
          <cell r="L512">
            <v>1.4625060149830099E-4</v>
          </cell>
          <cell r="M512">
            <v>1.9461465963517999E-4</v>
          </cell>
          <cell r="N512">
            <v>2.0273153437599801E-4</v>
          </cell>
          <cell r="O512">
            <v>3.0076133667605301E-4</v>
          </cell>
        </row>
        <row r="513">
          <cell r="A513" t="str">
            <v>T_TW-BEVELC-S2</v>
          </cell>
          <cell r="B513" t="str">
            <v>VAR_cap</v>
          </cell>
          <cell r="C513" t="str">
            <v>-</v>
          </cell>
          <cell r="D513">
            <v>7.9413453028270332E-4</v>
          </cell>
          <cell r="E513">
            <v>9.3608321591990954E-4</v>
          </cell>
          <cell r="F513">
            <v>9.5658636212347166E-4</v>
          </cell>
          <cell r="G513">
            <v>8.1663042979860029E-4</v>
          </cell>
          <cell r="H513">
            <v>1.5293813714674722E-4</v>
          </cell>
          <cell r="I513">
            <v>1.5263446027585865E-4</v>
          </cell>
          <cell r="J513">
            <v>2.229312220325886E-4</v>
          </cell>
          <cell r="K513">
            <v>3.1833516280654477E-4</v>
          </cell>
          <cell r="L513">
            <v>3.7199884836766069E-4</v>
          </cell>
          <cell r="M513">
            <v>4.9577960203476439E-4</v>
          </cell>
          <cell r="N513">
            <v>4.7310290313520457E-4</v>
          </cell>
          <cell r="O513">
            <v>6.9799079573411814E-4</v>
          </cell>
        </row>
        <row r="514">
          <cell r="A514" t="str">
            <v>TFRLFH2OFCL</v>
          </cell>
          <cell r="B514" t="str">
            <v>VAR_fout</v>
          </cell>
          <cell r="C514" t="str">
            <v>TFRLF</v>
          </cell>
          <cell r="M514">
            <v>3.5890249585110285E-7</v>
          </cell>
          <cell r="N514">
            <v>3.0396871006899064E-7</v>
          </cell>
          <cell r="O514">
            <v>1.7413580118166482E-6</v>
          </cell>
        </row>
        <row r="515">
          <cell r="A515" t="str">
            <v>TFRLFH2OFCL</v>
          </cell>
          <cell r="B515" t="str">
            <v>VAR_fin</v>
          </cell>
          <cell r="C515" t="str">
            <v>TH2O</v>
          </cell>
          <cell r="M515">
            <v>6.0481371461780388E-5</v>
          </cell>
          <cell r="N515">
            <v>5.1224064137096339E-5</v>
          </cell>
          <cell r="O515">
            <v>2.9344939636286038E-4</v>
          </cell>
        </row>
        <row r="516">
          <cell r="A516" t="str">
            <v>TFRLFH2OFCL</v>
          </cell>
          <cell r="B516" t="str">
            <v>VAR_ncap</v>
          </cell>
          <cell r="C516" t="str">
            <v>-</v>
          </cell>
          <cell r="I516">
            <v>6.5872000584509494E-8</v>
          </cell>
          <cell r="K516">
            <v>3.0229745845154097E-8</v>
          </cell>
          <cell r="M516">
            <v>3.7664875027956901E-8</v>
          </cell>
          <cell r="O516">
            <v>1.89294912357613E-7</v>
          </cell>
        </row>
        <row r="517">
          <cell r="A517" t="str">
            <v>TFRLFH2OFCL</v>
          </cell>
          <cell r="B517" t="str">
            <v>VAR_cap</v>
          </cell>
          <cell r="C517" t="str">
            <v>-</v>
          </cell>
          <cell r="I517">
            <v>6.5872000584509494E-8</v>
          </cell>
          <cell r="J517">
            <v>6.5872000584509494E-8</v>
          </cell>
          <cell r="K517">
            <v>9.6101746429663604E-8</v>
          </cell>
          <cell r="L517">
            <v>9.6101746429663604E-8</v>
          </cell>
          <cell r="M517">
            <v>1.3376662145761999E-7</v>
          </cell>
          <cell r="N517">
            <v>1.23454361758237E-7</v>
          </cell>
          <cell r="O517">
            <v>2.5718953323072398E-7</v>
          </cell>
        </row>
        <row r="518">
          <cell r="A518" t="str">
            <v>T_TW-BEVELC-S3</v>
          </cell>
          <cell r="B518" t="str">
            <v>VAR_fout</v>
          </cell>
          <cell r="C518" t="str">
            <v>TPTWL</v>
          </cell>
          <cell r="D518">
            <v>3.1860354572818653E-4</v>
          </cell>
          <cell r="E518">
            <v>5.321875848325596E-4</v>
          </cell>
          <cell r="F518">
            <v>5.5907302467196607E-4</v>
          </cell>
          <cell r="G518">
            <v>5.82554196607492E-4</v>
          </cell>
          <cell r="H518">
            <v>6.6535863035529867E-4</v>
          </cell>
          <cell r="I518">
            <v>5.0472796445562404E-4</v>
          </cell>
          <cell r="J518">
            <v>4.0181680033071407E-4</v>
          </cell>
          <cell r="K518">
            <v>5.2381382981069415E-4</v>
          </cell>
          <cell r="L518">
            <v>6.2284838111635653E-4</v>
          </cell>
          <cell r="M518">
            <v>7.5679665278536429E-4</v>
          </cell>
          <cell r="N518">
            <v>8.5749986669721233E-4</v>
          </cell>
          <cell r="O518">
            <v>1.076189591046012E-3</v>
          </cell>
        </row>
        <row r="519">
          <cell r="A519" t="str">
            <v>T_TW-BEVELC-S3</v>
          </cell>
          <cell r="B519" t="str">
            <v>VAR_fin</v>
          </cell>
          <cell r="C519" t="str">
            <v>T-ELC-TWSTGout_S3</v>
          </cell>
          <cell r="D519">
            <v>7.7895448745639361E-5</v>
          </cell>
          <cell r="E519">
            <v>1.2993810885465331E-4</v>
          </cell>
          <cell r="F519">
            <v>1.3635794450563116E-4</v>
          </cell>
          <cell r="G519">
            <v>1.4181552860645919E-4</v>
          </cell>
          <cell r="H519">
            <v>1.6107962287176416E-4</v>
          </cell>
          <cell r="I519">
            <v>1.2040348332394953E-4</v>
          </cell>
          <cell r="J519">
            <v>9.288519230994751E-5</v>
          </cell>
          <cell r="K519">
            <v>1.1987635735125326E-4</v>
          </cell>
          <cell r="L519">
            <v>1.4153179356877178E-4</v>
          </cell>
          <cell r="M519">
            <v>1.7092974450922679E-4</v>
          </cell>
          <cell r="N519">
            <v>1.9317446093238181E-4</v>
          </cell>
          <cell r="O519">
            <v>2.4244008913037134E-4</v>
          </cell>
        </row>
        <row r="520">
          <cell r="A520" t="str">
            <v>T_TW-BEVELC-S3</v>
          </cell>
          <cell r="B520" t="str">
            <v>VAR_ncap</v>
          </cell>
          <cell r="C520" t="str">
            <v>-</v>
          </cell>
          <cell r="D520">
            <v>1.0289689355842099E-5</v>
          </cell>
          <cell r="E520">
            <v>1.3539220184025599E-5</v>
          </cell>
          <cell r="F520">
            <v>1.5694721049097599E-5</v>
          </cell>
          <cell r="G520">
            <v>1.51880204700735E-5</v>
          </cell>
          <cell r="H520">
            <v>3.6188945111315598E-5</v>
          </cell>
          <cell r="I520">
            <v>4.16039065125976E-5</v>
          </cell>
          <cell r="J520">
            <v>6.0700502667430302E-5</v>
          </cell>
          <cell r="K520">
            <v>6.6429079948892799E-5</v>
          </cell>
          <cell r="L520">
            <v>7.0767045617555898E-5</v>
          </cell>
          <cell r="M520">
            <v>9.9301092658563402E-5</v>
          </cell>
          <cell r="N520">
            <v>1.00824144220786E-4</v>
          </cell>
          <cell r="O520">
            <v>1.5301085791693899E-4</v>
          </cell>
        </row>
        <row r="521">
          <cell r="A521" t="str">
            <v>T_TW-BEVELC-S3</v>
          </cell>
          <cell r="B521" t="str">
            <v>VAR_cap</v>
          </cell>
          <cell r="C521" t="str">
            <v>-</v>
          </cell>
          <cell r="D521">
            <v>1.172896893558421E-4</v>
          </cell>
          <cell r="E521">
            <v>1.8579055482768366E-4</v>
          </cell>
          <cell r="F521">
            <v>2.0149433157366333E-4</v>
          </cell>
          <cell r="G521">
            <v>2.166276760992617E-4</v>
          </cell>
          <cell r="H521">
            <v>2.5226618062179721E-4</v>
          </cell>
          <cell r="I521">
            <v>1.9275722756571369E-4</v>
          </cell>
          <cell r="J521">
            <v>1.5160943130799518E-4</v>
          </cell>
          <cell r="K521">
            <v>2.0485159963119792E-4</v>
          </cell>
          <cell r="L521">
            <v>2.4488942066563159E-4</v>
          </cell>
          <cell r="M521">
            <v>2.9709933916539981E-4</v>
          </cell>
          <cell r="N521">
            <v>3.3723394388144635E-4</v>
          </cell>
          <cell r="O521">
            <v>4.2379692241786181E-4</v>
          </cell>
        </row>
        <row r="522">
          <cell r="A522" t="str">
            <v>T_TW-BEVELC-S4</v>
          </cell>
          <cell r="B522" t="str">
            <v>VAR_fout</v>
          </cell>
          <cell r="C522" t="str">
            <v>TPTWL</v>
          </cell>
          <cell r="D522">
            <v>5.9169337167547648E-5</v>
          </cell>
          <cell r="E522">
            <v>1.3838492977184957E-4</v>
          </cell>
          <cell r="F522">
            <v>1.711221111804166E-4</v>
          </cell>
          <cell r="G522">
            <v>2.0294370041198638E-4</v>
          </cell>
          <cell r="H522">
            <v>2.6302938867201213E-4</v>
          </cell>
          <cell r="I522">
            <v>3.369181865773835E-4</v>
          </cell>
          <cell r="J522">
            <v>3.6363118572262944E-4</v>
          </cell>
          <cell r="K522">
            <v>3.9874397764067871E-4</v>
          </cell>
          <cell r="L522">
            <v>4.7452535920191306E-4</v>
          </cell>
          <cell r="M522">
            <v>5.7121907373878014E-4</v>
          </cell>
          <cell r="N522">
            <v>6.3827522745320763E-4</v>
          </cell>
          <cell r="O522">
            <v>8.071652641538701E-4</v>
          </cell>
        </row>
        <row r="523">
          <cell r="A523" t="str">
            <v>T_TW-BEVELC-S4</v>
          </cell>
          <cell r="B523" t="str">
            <v>VAR_fin</v>
          </cell>
          <cell r="C523" t="str">
            <v>T-ELC-TWSTGout_S4</v>
          </cell>
          <cell r="D523">
            <v>1.571540415968525E-5</v>
          </cell>
          <cell r="E523">
            <v>3.6653016776427154E-5</v>
          </cell>
          <cell r="F523">
            <v>4.5190708224480322E-5</v>
          </cell>
          <cell r="G523">
            <v>5.3319658148397478E-5</v>
          </cell>
          <cell r="H523">
            <v>6.8513848664369397E-5</v>
          </cell>
          <cell r="I523">
            <v>8.6943381686067976E-5</v>
          </cell>
          <cell r="J523">
            <v>9.2058112264297405E-5</v>
          </cell>
          <cell r="K523">
            <v>9.8713973405771733E-5</v>
          </cell>
          <cell r="L523">
            <v>1.1655192552429424E-4</v>
          </cell>
          <cell r="M523">
            <v>1.3936243675932182E-4</v>
          </cell>
          <cell r="N523">
            <v>1.5506614060949891E-4</v>
          </cell>
          <cell r="O523">
            <v>1.9573537449139606E-4</v>
          </cell>
        </row>
        <row r="524">
          <cell r="A524" t="str">
            <v>T_TW-BEVELC-S4</v>
          </cell>
          <cell r="B524" t="str">
            <v>VAR_ncap</v>
          </cell>
          <cell r="C524" t="str">
            <v>-</v>
          </cell>
          <cell r="D524">
            <v>9.8103778892070096E-6</v>
          </cell>
          <cell r="E524">
            <v>1.3255914456475599E-5</v>
          </cell>
          <cell r="F524">
            <v>1.3243495753604099E-5</v>
          </cell>
          <cell r="G524">
            <v>1.44251018072625E-5</v>
          </cell>
          <cell r="H524">
            <v>2.35737071911877E-5</v>
          </cell>
          <cell r="I524">
            <v>2.8310583025471399E-5</v>
          </cell>
          <cell r="J524">
            <v>3.87225733641742E-5</v>
          </cell>
          <cell r="K524">
            <v>5.0449677039833801E-5</v>
          </cell>
          <cell r="L524">
            <v>4.4889619021383201E-5</v>
          </cell>
          <cell r="M524">
            <v>6.1133289866236197E-5</v>
          </cell>
          <cell r="N524">
            <v>6.0907799119578301E-5</v>
          </cell>
          <cell r="O524">
            <v>9.9127651610846106E-5</v>
          </cell>
        </row>
        <row r="525">
          <cell r="A525" t="str">
            <v>T_TW-BEVELC-S4</v>
          </cell>
          <cell r="B525" t="str">
            <v>VAR_cap</v>
          </cell>
          <cell r="C525" t="str">
            <v>-</v>
          </cell>
          <cell r="D525">
            <v>2.2810377889207007E-5</v>
          </cell>
          <cell r="E525">
            <v>5.0066292345682599E-5</v>
          </cell>
          <cell r="F525">
            <v>6.3309788099286799E-5</v>
          </cell>
          <cell r="G525">
            <v>7.7671651106819186E-5</v>
          </cell>
          <cell r="H525">
            <v>1.0122101142354683E-4</v>
          </cell>
          <cell r="I525">
            <v>1.293375913089706E-4</v>
          </cell>
          <cell r="J525">
            <v>1.3892455142788603E-4</v>
          </cell>
          <cell r="K525">
            <v>1.5541665192804957E-4</v>
          </cell>
          <cell r="L525">
            <v>1.8587491765597613E-4</v>
          </cell>
          <cell r="M525">
            <v>2.2340556676907512E-4</v>
          </cell>
          <cell r="N525">
            <v>2.4994932477712058E-4</v>
          </cell>
          <cell r="O525">
            <v>3.1644391806564371E-4</v>
          </cell>
        </row>
        <row r="526">
          <cell r="A526" t="str">
            <v>T_B_u-BeVELCEXT</v>
          </cell>
          <cell r="B526" t="str">
            <v>VAR_fout</v>
          </cell>
          <cell r="C526" t="str">
            <v>TPBSu</v>
          </cell>
          <cell r="D526">
            <v>1.9977069083028367E-3</v>
          </cell>
          <cell r="E526">
            <v>1.6035614991149526E-3</v>
          </cell>
          <cell r="F526">
            <v>1.0023590806008595E-3</v>
          </cell>
        </row>
        <row r="527">
          <cell r="A527" t="str">
            <v>T_B_u-BeVELCEXT</v>
          </cell>
          <cell r="B527" t="str">
            <v>VAR_fin</v>
          </cell>
          <cell r="C527" t="str">
            <v>TELC</v>
          </cell>
          <cell r="D527">
            <v>4.7671094812693616E-4</v>
          </cell>
          <cell r="E527">
            <v>4.7530526887481795E-4</v>
          </cell>
          <cell r="F527">
            <v>4.6654542193172785E-4</v>
          </cell>
        </row>
        <row r="528">
          <cell r="A528" t="str">
            <v>T_B_u-BeVELCEXT</v>
          </cell>
          <cell r="B528" t="str">
            <v>VAR_cap</v>
          </cell>
          <cell r="C528" t="str">
            <v>-</v>
          </cell>
          <cell r="D528">
            <v>3.7788598138859112E-5</v>
          </cell>
          <cell r="E528">
            <v>3.02316440049444E-5</v>
          </cell>
          <cell r="F528">
            <v>1.8894777503090199E-5</v>
          </cell>
        </row>
        <row r="529">
          <cell r="A529" t="str">
            <v>T_B_u-HYBDSL-S1</v>
          </cell>
          <cell r="B529" t="str">
            <v>VAR_fout</v>
          </cell>
          <cell r="C529" t="str">
            <v>CO2_T</v>
          </cell>
          <cell r="E529">
            <v>4.5439956917032402</v>
          </cell>
          <cell r="F529">
            <v>4.5540639363138702</v>
          </cell>
        </row>
        <row r="530">
          <cell r="A530" t="str">
            <v>T_B_u-HYBDSL-S1</v>
          </cell>
          <cell r="B530" t="str">
            <v>VAR_fout</v>
          </cell>
          <cell r="C530" t="str">
            <v>TPBSu</v>
          </cell>
          <cell r="E530">
            <v>1.007450956655985E-2</v>
          </cell>
          <cell r="F530">
            <v>1.0098004727575034E-2</v>
          </cell>
        </row>
        <row r="531">
          <cell r="A531" t="str">
            <v>T_B_u-HYBDSL-S1</v>
          </cell>
          <cell r="B531" t="str">
            <v>VAR_fin</v>
          </cell>
          <cell r="C531" t="str">
            <v>TDSL</v>
          </cell>
          <cell r="E531">
            <v>6.1991755684901034E-2</v>
          </cell>
          <cell r="F531">
            <v>6.2129112364445772E-2</v>
          </cell>
        </row>
        <row r="532">
          <cell r="A532" t="str">
            <v>T_B_u-HYBDSL-S1</v>
          </cell>
          <cell r="B532" t="str">
            <v>VAR_ncap</v>
          </cell>
          <cell r="C532" t="str">
            <v>-</v>
          </cell>
          <cell r="E532">
            <v>1.90022960504491E-4</v>
          </cell>
          <cell r="F532">
            <v>4.9713285168119599E-7</v>
          </cell>
        </row>
        <row r="533">
          <cell r="A533" t="str">
            <v>T_B_u-HYBDSL-S1</v>
          </cell>
          <cell r="B533" t="str">
            <v>VAR_cap</v>
          </cell>
          <cell r="C533" t="str">
            <v>-</v>
          </cell>
          <cell r="E533">
            <v>1.90022960504491E-4</v>
          </cell>
          <cell r="F533">
            <v>1.9052009335617201E-4</v>
          </cell>
          <cell r="G533">
            <v>3.2308794200674833E-10</v>
          </cell>
          <cell r="H533">
            <v>2.0665140533798296E-10</v>
          </cell>
        </row>
        <row r="534">
          <cell r="A534" t="str">
            <v>T_B_u-HYBDSL-S2</v>
          </cell>
          <cell r="B534" t="str">
            <v>VAR_fout</v>
          </cell>
          <cell r="C534" t="str">
            <v>CO2_T</v>
          </cell>
          <cell r="E534">
            <v>1.4301176794836499E-2</v>
          </cell>
          <cell r="F534">
            <v>2.0723947916373421E-2</v>
          </cell>
        </row>
        <row r="535">
          <cell r="A535" t="str">
            <v>T_B_u-HYBDSL-S2</v>
          </cell>
          <cell r="B535" t="str">
            <v>VAR_fout</v>
          </cell>
          <cell r="C535" t="str">
            <v>TPBSu</v>
          </cell>
          <cell r="E535">
            <v>2.2728517745864231E-5</v>
          </cell>
          <cell r="F535">
            <v>3.3439406406689304E-5</v>
          </cell>
        </row>
        <row r="536">
          <cell r="A536" t="str">
            <v>T_B_u-HYBDSL-S2</v>
          </cell>
          <cell r="B536" t="str">
            <v>VAR_fin</v>
          </cell>
          <cell r="C536" t="str">
            <v>TDSL</v>
          </cell>
          <cell r="E536">
            <v>1.9510473117103009E-4</v>
          </cell>
          <cell r="F536">
            <v>2.8272780240618542E-4</v>
          </cell>
        </row>
        <row r="537">
          <cell r="A537" t="str">
            <v>T_B_u-HYBDSL-S2</v>
          </cell>
          <cell r="B537" t="str">
            <v>VAR_ncap</v>
          </cell>
          <cell r="C537" t="str">
            <v>-</v>
          </cell>
          <cell r="E537">
            <v>4.46294999085135E-7</v>
          </cell>
          <cell r="F537">
            <v>2.1051350335060999E-7</v>
          </cell>
        </row>
        <row r="538">
          <cell r="A538" t="str">
            <v>T_B_u-HYBDSL-S2</v>
          </cell>
          <cell r="B538" t="str">
            <v>VAR_cap</v>
          </cell>
          <cell r="C538" t="str">
            <v>-</v>
          </cell>
          <cell r="E538">
            <v>4.46294999085135E-7</v>
          </cell>
          <cell r="F538">
            <v>6.5680850243574502E-7</v>
          </cell>
          <cell r="G538">
            <v>2.3495046567239854E-9</v>
          </cell>
          <cell r="H538">
            <v>1.5574999423080095E-9</v>
          </cell>
        </row>
        <row r="539">
          <cell r="A539" t="str">
            <v>T_B_u-HYBDSL-S3</v>
          </cell>
          <cell r="B539" t="str">
            <v>VAR_fout</v>
          </cell>
          <cell r="C539" t="str">
            <v>CO2_T</v>
          </cell>
          <cell r="E539">
            <v>1.4576796691755999E-2</v>
          </cell>
          <cell r="F539">
            <v>2.027954897837517E-2</v>
          </cell>
        </row>
        <row r="540">
          <cell r="A540" t="str">
            <v>T_B_u-HYBDSL-S3</v>
          </cell>
          <cell r="B540" t="str">
            <v>VAR_fout</v>
          </cell>
          <cell r="C540" t="str">
            <v>TPBSu</v>
          </cell>
          <cell r="E540">
            <v>1.5558359633918514E-5</v>
          </cell>
          <cell r="F540">
            <v>2.194498296482896E-5</v>
          </cell>
        </row>
        <row r="541">
          <cell r="A541" t="str">
            <v>T_B_u-HYBDSL-S3</v>
          </cell>
          <cell r="B541" t="str">
            <v>VAR_fin</v>
          </cell>
          <cell r="C541" t="str">
            <v>TDSL</v>
          </cell>
          <cell r="E541">
            <v>1.9886489347552567E-4</v>
          </cell>
          <cell r="F541">
            <v>2.7666506109652367E-4</v>
          </cell>
        </row>
        <row r="542">
          <cell r="A542" t="str">
            <v>T_B_u-HYBDSL-S3</v>
          </cell>
          <cell r="B542" t="str">
            <v>VAR_ncap</v>
          </cell>
          <cell r="C542" t="str">
            <v>-</v>
          </cell>
          <cell r="E542">
            <v>3.0566892882995701E-7</v>
          </cell>
          <cell r="F542">
            <v>1.2925116592093201E-7</v>
          </cell>
        </row>
        <row r="543">
          <cell r="A543" t="str">
            <v>T_B_u-HYBDSL-S3</v>
          </cell>
          <cell r="B543" t="str">
            <v>VAR_cap</v>
          </cell>
          <cell r="C543" t="str">
            <v>-</v>
          </cell>
          <cell r="E543">
            <v>3.0566892882995701E-7</v>
          </cell>
          <cell r="F543">
            <v>4.3492009475088899E-7</v>
          </cell>
          <cell r="G543">
            <v>-6.3226815667499078E-10</v>
          </cell>
        </row>
        <row r="544">
          <cell r="A544" t="str">
            <v>T_C-HY-GSL-S1</v>
          </cell>
          <cell r="B544" t="str">
            <v>VAR_fout</v>
          </cell>
          <cell r="C544" t="str">
            <v>CO2_T</v>
          </cell>
          <cell r="D544">
            <v>3.4230932830371499</v>
          </cell>
          <cell r="E544">
            <v>3.9410760900607387</v>
          </cell>
          <cell r="F544">
            <v>2.7749226525540145</v>
          </cell>
          <cell r="G544">
            <v>2.1351787187337723</v>
          </cell>
          <cell r="H544">
            <v>0.15757489485194454</v>
          </cell>
          <cell r="I544">
            <v>9.533770422673879E-3</v>
          </cell>
        </row>
        <row r="545">
          <cell r="A545" t="str">
            <v>T_C-HY-GSL-S1</v>
          </cell>
          <cell r="B545" t="str">
            <v>VAR_fout</v>
          </cell>
          <cell r="C545" t="str">
            <v>TPCAR</v>
          </cell>
          <cell r="D545">
            <v>5.255469208053816E-2</v>
          </cell>
          <cell r="E545">
            <v>6.1872363034159966E-2</v>
          </cell>
          <cell r="F545">
            <v>4.345114601991297E-2</v>
          </cell>
          <cell r="G545">
            <v>3.4733913818252839E-2</v>
          </cell>
          <cell r="H545">
            <v>2.8296893806689476E-3</v>
          </cell>
          <cell r="I545">
            <v>1.3020932355066974E-4</v>
          </cell>
        </row>
        <row r="546">
          <cell r="A546" t="str">
            <v>T_C-HY-GSL-S1</v>
          </cell>
          <cell r="B546" t="str">
            <v>VAR_fin</v>
          </cell>
          <cell r="C546" t="str">
            <v>TGSL</v>
          </cell>
          <cell r="D546">
            <v>4.6383377818931551E-2</v>
          </cell>
          <cell r="E546">
            <v>5.3402115041473519E-2</v>
          </cell>
          <cell r="F546">
            <v>3.7600577947886328E-2</v>
          </cell>
          <cell r="G546">
            <v>2.8931960958452168E-2</v>
          </cell>
          <cell r="H546">
            <v>2.135161176855617E-3</v>
          </cell>
          <cell r="I546">
            <v>1.2918388106604168E-4</v>
          </cell>
        </row>
        <row r="547">
          <cell r="A547" t="str">
            <v>T_C-HY-GSL-S1</v>
          </cell>
          <cell r="B547" t="str">
            <v>VAR_ncap</v>
          </cell>
          <cell r="C547" t="str">
            <v>-</v>
          </cell>
          <cell r="E547">
            <v>5.1835866540357198E-5</v>
          </cell>
          <cell r="F547">
            <v>9.8330270814176506E-5</v>
          </cell>
          <cell r="G547">
            <v>2.02753696139496E-5</v>
          </cell>
        </row>
        <row r="548">
          <cell r="A548" t="str">
            <v>T_C-HY-GSL-S1</v>
          </cell>
          <cell r="B548" t="str">
            <v>VAR_cap</v>
          </cell>
          <cell r="C548" t="str">
            <v>-</v>
          </cell>
          <cell r="D548">
            <v>5.6690445739918842E-3</v>
          </cell>
          <cell r="E548">
            <v>6.6109349520742308E-3</v>
          </cell>
          <cell r="F548">
            <v>6.5975904217746243E-3</v>
          </cell>
          <cell r="G548">
            <v>5.2746974392343954E-3</v>
          </cell>
          <cell r="H548">
            <v>4.2739582786385604E-4</v>
          </cell>
          <cell r="I548">
            <v>1.8937644866930727E-5</v>
          </cell>
        </row>
        <row r="549">
          <cell r="A549" t="str">
            <v>T_B_u-HYBDSL-S4</v>
          </cell>
          <cell r="B549" t="str">
            <v>VAR_fout</v>
          </cell>
          <cell r="C549" t="str">
            <v>CO2_T</v>
          </cell>
          <cell r="E549">
            <v>1.8658401634465E-4</v>
          </cell>
          <cell r="F549">
            <v>3.2017756476646802E-4</v>
          </cell>
        </row>
        <row r="550">
          <cell r="A550" t="str">
            <v>T_B_u-HYBDSL-S4</v>
          </cell>
          <cell r="B550" t="str">
            <v>VAR_fout</v>
          </cell>
          <cell r="C550" t="str">
            <v>TPBSu</v>
          </cell>
          <cell r="E550">
            <v>1.3427797423652672E-7</v>
          </cell>
          <cell r="F550">
            <v>2.346150392507812E-7</v>
          </cell>
        </row>
        <row r="551">
          <cell r="A551" t="str">
            <v>T_B_u-HYBDSL-S4</v>
          </cell>
          <cell r="B551" t="str">
            <v>VAR_fin</v>
          </cell>
          <cell r="C551" t="str">
            <v>TDSL</v>
          </cell>
          <cell r="E551">
            <v>2.545484534033421E-6</v>
          </cell>
          <cell r="F551">
            <v>4.3680431755316224E-6</v>
          </cell>
        </row>
        <row r="552">
          <cell r="A552" t="str">
            <v>T_B_u-HYBDSL-S4</v>
          </cell>
          <cell r="B552" t="str">
            <v>VAR_ncap</v>
          </cell>
          <cell r="C552" t="str">
            <v>-</v>
          </cell>
          <cell r="E552">
            <v>1.4322213621780701E-8</v>
          </cell>
          <cell r="F552">
            <v>1.1990642623356599E-8</v>
          </cell>
        </row>
        <row r="553">
          <cell r="A553" t="str">
            <v>T_B_u-HYBDSL-S4</v>
          </cell>
          <cell r="B553" t="str">
            <v>VAR_cap</v>
          </cell>
          <cell r="C553" t="str">
            <v>-</v>
          </cell>
          <cell r="E553">
            <v>1.4322213621780701E-8</v>
          </cell>
          <cell r="F553">
            <v>2.63128562451373E-8</v>
          </cell>
          <cell r="G553">
            <v>1.1973802594136003E-9</v>
          </cell>
        </row>
        <row r="554">
          <cell r="A554" t="str">
            <v>TFRLFDSLEXT</v>
          </cell>
          <cell r="B554" t="str">
            <v>VAR_fout</v>
          </cell>
          <cell r="C554" t="str">
            <v>CO2_T</v>
          </cell>
          <cell r="D554">
            <v>29.033500130912799</v>
          </cell>
          <cell r="O554">
            <v>3.0750050090294599E-3</v>
          </cell>
        </row>
        <row r="555">
          <cell r="A555" t="str">
            <v>TFRLFDSLEXT</v>
          </cell>
          <cell r="B555" t="str">
            <v>VAR_fout</v>
          </cell>
          <cell r="C555" t="str">
            <v>TFRLF</v>
          </cell>
          <cell r="D555">
            <v>1.6053877383708907E-3</v>
          </cell>
          <cell r="O555">
            <v>1.7003032065255018E-7</v>
          </cell>
        </row>
        <row r="556">
          <cell r="A556" t="str">
            <v>TFRLFDSLEXT</v>
          </cell>
          <cell r="B556" t="str">
            <v>VAR_fin</v>
          </cell>
          <cell r="C556" t="str">
            <v>TDSL</v>
          </cell>
          <cell r="D556">
            <v>0.39609140697016032</v>
          </cell>
          <cell r="O556">
            <v>4.1950955102721097E-5</v>
          </cell>
        </row>
        <row r="557">
          <cell r="A557" t="str">
            <v>TFRLFDSLEXT</v>
          </cell>
          <cell r="B557" t="str">
            <v>VAR_ncap</v>
          </cell>
          <cell r="C557" t="str">
            <v>-</v>
          </cell>
          <cell r="D557">
            <v>1.48208448757788E-4</v>
          </cell>
          <cell r="K557">
            <v>2.9071900995123101E-8</v>
          </cell>
          <cell r="M557">
            <v>2.51698485719991E-8</v>
          </cell>
          <cell r="O557">
            <v>7.02520000186219E-8</v>
          </cell>
        </row>
        <row r="558">
          <cell r="A558" t="str">
            <v>TFRLFDSLEXT</v>
          </cell>
          <cell r="B558" t="str">
            <v>VAR_cap</v>
          </cell>
          <cell r="C558" t="str">
            <v>-</v>
          </cell>
          <cell r="D558">
            <v>1.48208448757788E-4</v>
          </cell>
          <cell r="E558">
            <v>8.1443496330996755E-8</v>
          </cell>
          <cell r="F558">
            <v>8.1397009576988921E-8</v>
          </cell>
          <cell r="G558">
            <v>8.1330527141004576E-8</v>
          </cell>
          <cell r="H558">
            <v>8.1253707404993838E-8</v>
          </cell>
          <cell r="I558">
            <v>8.0756015999002874E-8</v>
          </cell>
          <cell r="J558">
            <v>7.8062727922989083E-8</v>
          </cell>
          <cell r="K558">
            <v>5.5577423234198569E-8</v>
          </cell>
          <cell r="L558">
            <v>2.9071900995123101E-8</v>
          </cell>
          <cell r="M558">
            <v>5.4241749567122102E-8</v>
          </cell>
          <cell r="N558">
            <v>5.4241749567122102E-8</v>
          </cell>
          <cell r="O558">
            <v>1.24493749585744E-7</v>
          </cell>
        </row>
        <row r="559">
          <cell r="A559" t="str">
            <v>T_C-HY-GSL-S2</v>
          </cell>
          <cell r="B559" t="str">
            <v>VAR_fout</v>
          </cell>
          <cell r="C559" t="str">
            <v>CO2_T</v>
          </cell>
          <cell r="D559">
            <v>10.075065168697019</v>
          </cell>
          <cell r="E559">
            <v>15.670648466536665</v>
          </cell>
          <cell r="F559">
            <v>57.731081580344224</v>
          </cell>
          <cell r="G559">
            <v>49.993173300011144</v>
          </cell>
          <cell r="H559">
            <v>21.379314495714752</v>
          </cell>
          <cell r="I559">
            <v>3.1691290053966132</v>
          </cell>
        </row>
        <row r="560">
          <cell r="A560" t="str">
            <v>T_C-HY-GSL-S2</v>
          </cell>
          <cell r="B560" t="str">
            <v>VAR_fout</v>
          </cell>
          <cell r="C560" t="str">
            <v>TPCAR</v>
          </cell>
          <cell r="D560">
            <v>0.22053683180322239</v>
          </cell>
          <cell r="E560">
            <v>0.40722602628529264</v>
          </cell>
          <cell r="F560">
            <v>1.4800566960396226</v>
          </cell>
          <cell r="G560">
            <v>1.2777809307064911</v>
          </cell>
          <cell r="H560">
            <v>0.55371675000902132</v>
          </cell>
          <cell r="I560">
            <v>7.9729894270051394E-2</v>
          </cell>
        </row>
        <row r="561">
          <cell r="A561" t="str">
            <v>T_C-HY-GSL-S2</v>
          </cell>
          <cell r="B561" t="str">
            <v>VAR_fin</v>
          </cell>
          <cell r="C561" t="str">
            <v>TGSL</v>
          </cell>
          <cell r="D561">
            <v>0.13651849822082665</v>
          </cell>
          <cell r="E561">
            <v>0.21233941011567267</v>
          </cell>
          <cell r="F561">
            <v>0.78226397805344472</v>
          </cell>
          <cell r="G561">
            <v>0.67741427235787377</v>
          </cell>
          <cell r="H561">
            <v>0.28969260834301847</v>
          </cell>
          <cell r="I561">
            <v>4.2942127444398612E-2</v>
          </cell>
        </row>
        <row r="562">
          <cell r="A562" t="str">
            <v>T_C-HY-GSL-S2</v>
          </cell>
          <cell r="B562" t="str">
            <v>VAR_ncap</v>
          </cell>
          <cell r="C562" t="str">
            <v>-</v>
          </cell>
          <cell r="E562">
            <v>1.68939607884271E-3</v>
          </cell>
          <cell r="F562">
            <v>8.4356308128019197E-2</v>
          </cell>
          <cell r="G562">
            <v>1.40446017153372E-5</v>
          </cell>
        </row>
        <row r="563">
          <cell r="A563" t="str">
            <v>T_C-HY-GSL-S2</v>
          </cell>
          <cell r="B563" t="str">
            <v>VAR_cap</v>
          </cell>
          <cell r="C563" t="str">
            <v>-</v>
          </cell>
          <cell r="D563">
            <v>1.722714736809056E-2</v>
          </cell>
          <cell r="E563">
            <v>3.0897446479380742E-2</v>
          </cell>
          <cell r="F563">
            <v>0.11295268898991359</v>
          </cell>
          <cell r="G563">
            <v>9.6950123322319698E-2</v>
          </cell>
          <cell r="H563">
            <v>5.6449536723804324E-2</v>
          </cell>
          <cell r="I563">
            <v>8.3553054476468436E-3</v>
          </cell>
        </row>
        <row r="564">
          <cell r="A564" t="str">
            <v>TPSHPNGAEXT</v>
          </cell>
          <cell r="B564" t="str">
            <v>VAR_ncap</v>
          </cell>
          <cell r="C564" t="str">
            <v>-</v>
          </cell>
          <cell r="D564">
            <v>1.02287217997511E-6</v>
          </cell>
          <cell r="E564">
            <v>1.1645555642813901E-6</v>
          </cell>
          <cell r="F564">
            <v>1.09765854296266E-6</v>
          </cell>
          <cell r="G564">
            <v>1.30102446605296E-6</v>
          </cell>
          <cell r="H564">
            <v>4.6534703651563796E-6</v>
          </cell>
          <cell r="I564">
            <v>4.1396150938557397E-5</v>
          </cell>
          <cell r="J564">
            <v>2.1320956842726501E-6</v>
          </cell>
          <cell r="K564">
            <v>1.5159635749264501E-6</v>
          </cell>
          <cell r="L564">
            <v>1.46481637624613E-6</v>
          </cell>
          <cell r="M564">
            <v>2.0309898417625901E-6</v>
          </cell>
          <cell r="N564">
            <v>1.22104107931003E-6</v>
          </cell>
          <cell r="O564">
            <v>4.2346618253499502E-6</v>
          </cell>
        </row>
        <row r="565">
          <cell r="A565" t="str">
            <v>TPSHPNGAEXT</v>
          </cell>
          <cell r="B565" t="str">
            <v>VAR_cap</v>
          </cell>
          <cell r="C565" t="str">
            <v>-</v>
          </cell>
          <cell r="D565">
            <v>1.02287217997511E-6</v>
          </cell>
          <cell r="E565">
            <v>1.835544070575744E-6</v>
          </cell>
          <cell r="F565">
            <v>2.07818698786822E-6</v>
          </cell>
          <cell r="G565">
            <v>2.62688791444853E-6</v>
          </cell>
          <cell r="H565">
            <v>6.0828415192870289E-6</v>
          </cell>
          <cell r="I565">
            <v>4.6691229729452249E-5</v>
          </cell>
          <cell r="J565">
            <v>4.5431733098530963E-5</v>
          </cell>
          <cell r="K565">
            <v>2.6289616245248897E-5</v>
          </cell>
          <cell r="L565">
            <v>4.6924275952760967E-6</v>
          </cell>
          <cell r="M565">
            <v>3.57543082720866E-6</v>
          </cell>
          <cell r="N565">
            <v>2.8765378011708302E-6</v>
          </cell>
          <cell r="O565">
            <v>6.6072872600944088E-6</v>
          </cell>
        </row>
        <row r="566">
          <cell r="A566" t="str">
            <v>T_C-HY-DSL-S1</v>
          </cell>
          <cell r="B566" t="str">
            <v>VAR_fout</v>
          </cell>
          <cell r="C566" t="str">
            <v>CO2_T</v>
          </cell>
          <cell r="D566">
            <v>2.2592829585180601E-3</v>
          </cell>
          <cell r="E566">
            <v>12.147817331321882</v>
          </cell>
          <cell r="F566">
            <v>8.2010154244281885</v>
          </cell>
          <cell r="G566">
            <v>6.6121868638985806</v>
          </cell>
          <cell r="H566">
            <v>2.3295471884400833</v>
          </cell>
          <cell r="I566">
            <v>2.361191378560519E-2</v>
          </cell>
        </row>
        <row r="567">
          <cell r="A567" t="str">
            <v>T_C-HY-DSL-S1</v>
          </cell>
          <cell r="B567" t="str">
            <v>VAR_fout</v>
          </cell>
          <cell r="C567" t="str">
            <v>TPCAR</v>
          </cell>
          <cell r="D567">
            <v>1.2891202763308923E-5</v>
          </cell>
          <cell r="E567">
            <v>0.28133509231468801</v>
          </cell>
          <cell r="F567">
            <v>0.18929688733577957</v>
          </cell>
          <cell r="G567">
            <v>0.15239208662737674</v>
          </cell>
          <cell r="H567">
            <v>5.3407116996309852E-2</v>
          </cell>
          <cell r="I567">
            <v>3.8888923278431121E-4</v>
          </cell>
        </row>
        <row r="568">
          <cell r="A568" t="str">
            <v>T_C-HY-DSL-S1</v>
          </cell>
          <cell r="B568" t="str">
            <v>VAR_fin</v>
          </cell>
          <cell r="C568" t="str">
            <v>TDSL</v>
          </cell>
          <cell r="D568">
            <v>3.0822414168049924E-5</v>
          </cell>
          <cell r="E568">
            <v>0.16572738514763832</v>
          </cell>
          <cell r="F568">
            <v>0.11188288437146254</v>
          </cell>
          <cell r="G568">
            <v>9.0207187774878447E-2</v>
          </cell>
          <cell r="H568">
            <v>3.178099847803656E-2</v>
          </cell>
          <cell r="I568">
            <v>3.2212706392367193E-4</v>
          </cell>
        </row>
        <row r="569">
          <cell r="A569" t="str">
            <v>T_C-HY-DSL-S1</v>
          </cell>
          <cell r="B569" t="str">
            <v>VAR_ncap</v>
          </cell>
          <cell r="C569" t="str">
            <v>-</v>
          </cell>
          <cell r="E569">
            <v>3.0461344586469999E-2</v>
          </cell>
          <cell r="F569">
            <v>4.3525829480503298E-4</v>
          </cell>
          <cell r="G569">
            <v>3.3156362745482299E-5</v>
          </cell>
        </row>
        <row r="570">
          <cell r="A570" t="str">
            <v>T_C-HY-DSL-S1</v>
          </cell>
          <cell r="B570" t="str">
            <v>VAR_cap</v>
          </cell>
          <cell r="C570" t="str">
            <v>-</v>
          </cell>
          <cell r="D570">
            <v>1.5999999999999999E-6</v>
          </cell>
          <cell r="E570">
            <v>3.00574081088258E-2</v>
          </cell>
          <cell r="F570">
            <v>2.8766516889327201E-2</v>
          </cell>
          <cell r="G570">
            <v>2.3158503607467861E-2</v>
          </cell>
          <cell r="H570">
            <v>8.1146269269200943E-3</v>
          </cell>
          <cell r="I570">
            <v>5.8134686042088917E-5</v>
          </cell>
        </row>
        <row r="571">
          <cell r="A571" t="str">
            <v>T_C-HY-GSL-S3</v>
          </cell>
          <cell r="B571" t="str">
            <v>VAR_fout</v>
          </cell>
          <cell r="C571" t="str">
            <v>CO2_T</v>
          </cell>
          <cell r="D571">
            <v>7.4841546452460825</v>
          </cell>
          <cell r="E571">
            <v>82.637410034671234</v>
          </cell>
          <cell r="F571">
            <v>78.175206008917456</v>
          </cell>
          <cell r="G571">
            <v>62.487969020087014</v>
          </cell>
          <cell r="H571">
            <v>19.770065146941807</v>
          </cell>
          <cell r="I571">
            <v>3.610805650420457E-3</v>
          </cell>
        </row>
        <row r="572">
          <cell r="A572" t="str">
            <v>T_C-HY-GSL-S3</v>
          </cell>
          <cell r="B572" t="str">
            <v>VAR_fout</v>
          </cell>
          <cell r="C572" t="str">
            <v>TPCAR</v>
          </cell>
          <cell r="D572">
            <v>0.20230114911530134</v>
          </cell>
          <cell r="E572">
            <v>2.7885467753708406</v>
          </cell>
          <cell r="F572">
            <v>2.6349021904910259</v>
          </cell>
          <cell r="G572">
            <v>2.1217228410229625</v>
          </cell>
          <cell r="H572">
            <v>0.6829582078088744</v>
          </cell>
          <cell r="I572">
            <v>4.1568738217395334E-5</v>
          </cell>
        </row>
        <row r="573">
          <cell r="A573" t="str">
            <v>T_C-HY-GSL-S3</v>
          </cell>
          <cell r="B573" t="str">
            <v>VAR_fin</v>
          </cell>
          <cell r="C573" t="str">
            <v>TGSL</v>
          </cell>
          <cell r="D573">
            <v>0.10141130955617994</v>
          </cell>
          <cell r="E573">
            <v>1.1197481034508288</v>
          </cell>
          <cell r="F573">
            <v>1.0592846342671731</v>
          </cell>
          <cell r="G573">
            <v>0.84672044742665376</v>
          </cell>
          <cell r="H573">
            <v>0.26788706161167752</v>
          </cell>
          <cell r="I573">
            <v>4.8926905832255456E-5</v>
          </cell>
        </row>
        <row r="574">
          <cell r="A574" t="str">
            <v>T_C-HY-GSL-S3</v>
          </cell>
          <cell r="B574" t="str">
            <v>VAR_ncap</v>
          </cell>
          <cell r="C574" t="str">
            <v>-</v>
          </cell>
          <cell r="E574">
            <v>0.16803554056320599</v>
          </cell>
          <cell r="F574">
            <v>1.1646179175495801E-5</v>
          </cell>
          <cell r="G574">
            <v>4.5745160433988702E-6</v>
          </cell>
        </row>
        <row r="575">
          <cell r="A575" t="str">
            <v>T_C-HY-GSL-S3</v>
          </cell>
          <cell r="B575" t="str">
            <v>VAR_cap</v>
          </cell>
          <cell r="C575" t="str">
            <v>-</v>
          </cell>
          <cell r="D575">
            <v>1.4248878755944095E-2</v>
          </cell>
          <cell r="E575">
            <v>0.1917331756259078</v>
          </cell>
          <cell r="F575">
            <v>0.18117360272827071</v>
          </cell>
          <cell r="G575">
            <v>0.14588743738424989</v>
          </cell>
          <cell r="H575">
            <v>4.6962111995034757E-2</v>
          </cell>
          <cell r="I575">
            <v>3.2302041563993898E-6</v>
          </cell>
        </row>
        <row r="576">
          <cell r="A576" t="str">
            <v>T_C-HY-DSL-S2</v>
          </cell>
          <cell r="B576" t="str">
            <v>VAR_fout</v>
          </cell>
          <cell r="C576" t="str">
            <v>CO2_T</v>
          </cell>
          <cell r="D576">
            <v>0.21086071228316361</v>
          </cell>
          <cell r="E576">
            <v>42.66694640515859</v>
          </cell>
          <cell r="F576">
            <v>85.381659046857806</v>
          </cell>
          <cell r="G576">
            <v>72.007257822189104</v>
          </cell>
          <cell r="H576">
            <v>35.203991784837008</v>
          </cell>
          <cell r="I576">
            <v>3.2824957816563121</v>
          </cell>
        </row>
        <row r="577">
          <cell r="A577" t="str">
            <v>T_C-HY-DSL-S2</v>
          </cell>
          <cell r="B577" t="str">
            <v>VAR_fout</v>
          </cell>
          <cell r="C577" t="str">
            <v>TPCAR</v>
          </cell>
          <cell r="D577">
            <v>3.3715449199458215E-3</v>
          </cell>
          <cell r="E577">
            <v>1.5602760395194404</v>
          </cell>
          <cell r="F577">
            <v>2.6742943260700272</v>
          </cell>
          <cell r="G577">
            <v>2.2390222831536883</v>
          </cell>
          <cell r="H577">
            <v>1.0483073366590718</v>
          </cell>
          <cell r="I577">
            <v>8.7348268944549362E-2</v>
          </cell>
        </row>
        <row r="578">
          <cell r="A578" t="str">
            <v>T_C-HY-DSL-S2</v>
          </cell>
          <cell r="B578" t="str">
            <v>VAR_fin</v>
          </cell>
          <cell r="C578" t="str">
            <v>TDSL</v>
          </cell>
          <cell r="D578">
            <v>2.8766809315574795E-3</v>
          </cell>
          <cell r="E578">
            <v>0.58208658124363744</v>
          </cell>
          <cell r="F578">
            <v>1.1648248164646375</v>
          </cell>
          <cell r="G578">
            <v>0.9823636810666988</v>
          </cell>
          <cell r="H578">
            <v>0.48027273922015051</v>
          </cell>
          <cell r="I578">
            <v>4.4781661414137947E-2</v>
          </cell>
        </row>
        <row r="579">
          <cell r="A579" t="str">
            <v>T_C-HY-DSL-S2</v>
          </cell>
          <cell r="B579" t="str">
            <v>VAR_ncap</v>
          </cell>
          <cell r="C579" t="str">
            <v>-</v>
          </cell>
          <cell r="E579">
            <v>0.11945260988156101</v>
          </cell>
          <cell r="F579">
            <v>9.2530231253052805E-2</v>
          </cell>
          <cell r="G579">
            <v>1.4309408623287599E-5</v>
          </cell>
        </row>
        <row r="580">
          <cell r="A580" t="str">
            <v>T_C-HY-DSL-S2</v>
          </cell>
          <cell r="B580" t="str">
            <v>VAR_cap</v>
          </cell>
          <cell r="C580" t="str">
            <v>-</v>
          </cell>
          <cell r="D580">
            <v>2.5983972844112192E-4</v>
          </cell>
          <cell r="E580">
            <v>0.11838297100228139</v>
          </cell>
          <cell r="F580">
            <v>0.20290812468017835</v>
          </cell>
          <cell r="G580">
            <v>0.16988418063542718</v>
          </cell>
          <cell r="H580">
            <v>8.795907034179351E-2</v>
          </cell>
          <cell r="I580">
            <v>9.1644171427345301E-3</v>
          </cell>
        </row>
        <row r="581">
          <cell r="A581" t="str">
            <v>D-T-ELC-Bus_c_S1</v>
          </cell>
          <cell r="B581" t="str">
            <v>VAR_fout</v>
          </cell>
          <cell r="C581" t="str">
            <v>T-ELC-Bus_c_BatSTGin_S1</v>
          </cell>
          <cell r="D581">
            <v>3.5305177411007466E-4</v>
          </cell>
          <cell r="E581">
            <v>9.8993741707174929E-4</v>
          </cell>
          <cell r="F581">
            <v>1.3538783408939728E-3</v>
          </cell>
          <cell r="G581">
            <v>0.14197403686947208</v>
          </cell>
          <cell r="H581">
            <v>0.1406088435269591</v>
          </cell>
          <cell r="I581">
            <v>0.1395820514831872</v>
          </cell>
          <cell r="J581">
            <v>0.13334041601615118</v>
          </cell>
          <cell r="K581">
            <v>0.12434723507972248</v>
          </cell>
          <cell r="L581">
            <v>0.12674089033766872</v>
          </cell>
          <cell r="M581">
            <v>0.12969151679062119</v>
          </cell>
          <cell r="N581">
            <v>0.13282882359865583</v>
          </cell>
          <cell r="O581">
            <v>0.13749049418120188</v>
          </cell>
        </row>
        <row r="582">
          <cell r="A582" t="str">
            <v>D-T-ELC-Bus_c_S1</v>
          </cell>
          <cell r="B582" t="str">
            <v>VAR_fin</v>
          </cell>
          <cell r="C582" t="str">
            <v>TELC</v>
          </cell>
          <cell r="D582">
            <v>3.5305177411007466E-4</v>
          </cell>
          <cell r="E582">
            <v>9.8993741707174929E-4</v>
          </cell>
          <cell r="F582">
            <v>1.3538783408939728E-3</v>
          </cell>
          <cell r="G582">
            <v>0.14197403686947208</v>
          </cell>
          <cell r="H582">
            <v>0.1406088435269591</v>
          </cell>
          <cell r="I582">
            <v>0.1395820514831872</v>
          </cell>
          <cell r="J582">
            <v>0.13334041601615118</v>
          </cell>
          <cell r="K582">
            <v>0.12434723507972248</v>
          </cell>
          <cell r="L582">
            <v>0.12674089033766872</v>
          </cell>
          <cell r="M582">
            <v>0.12969151679062119</v>
          </cell>
          <cell r="N582">
            <v>0.13282882359865583</v>
          </cell>
          <cell r="O582">
            <v>0.13749049418120188</v>
          </cell>
        </row>
        <row r="583">
          <cell r="A583" t="str">
            <v>D-T-ELC-Bus_c_S1</v>
          </cell>
          <cell r="B583" t="str">
            <v>VAR_ncap</v>
          </cell>
          <cell r="C583" t="str">
            <v>-</v>
          </cell>
          <cell r="D583">
            <v>3.9653409624328097E-5</v>
          </cell>
          <cell r="E583">
            <v>1.5482476159984899E-4</v>
          </cell>
          <cell r="F583">
            <v>6.5531238502271596E-5</v>
          </cell>
          <cell r="G583">
            <v>1.8200337041502399E-2</v>
          </cell>
          <cell r="H583">
            <v>1.3002902788784599E-6</v>
          </cell>
          <cell r="I583">
            <v>1.37381479549992E-2</v>
          </cell>
          <cell r="J583">
            <v>3.0216959625245401E-3</v>
          </cell>
          <cell r="K583">
            <v>7.9104166913291692E-3</v>
          </cell>
          <cell r="L583">
            <v>6.7076766849932697E-3</v>
          </cell>
          <cell r="M583">
            <v>5.5528351464317997E-3</v>
          </cell>
          <cell r="N583">
            <v>1.0011552535640501E-2</v>
          </cell>
          <cell r="O583">
            <v>3.46969746657564E-3</v>
          </cell>
        </row>
        <row r="584">
          <cell r="A584" t="str">
            <v>D-T-ELC-Bus_c_S1</v>
          </cell>
          <cell r="B584" t="str">
            <v>VAR_cap</v>
          </cell>
          <cell r="C584" t="str">
            <v>-</v>
          </cell>
          <cell r="D584">
            <v>3.9653409624328097E-5</v>
          </cell>
          <cell r="E584">
            <v>1.94478171224177E-4</v>
          </cell>
          <cell r="F584">
            <v>2.6000940972644901E-4</v>
          </cell>
          <cell r="G584">
            <v>1.8429193739656201E-2</v>
          </cell>
          <cell r="H584">
            <v>1.8235211855458299E-2</v>
          </cell>
          <cell r="I584">
            <v>1.7561463292123301E-2</v>
          </cell>
          <cell r="J584">
            <v>1.6760518132331401E-2</v>
          </cell>
          <cell r="K584">
            <v>1.5625026042700899E-2</v>
          </cell>
          <cell r="L584">
            <v>1.5977284427768499E-2</v>
          </cell>
          <cell r="M584">
            <v>1.6313364769478499E-2</v>
          </cell>
          <cell r="N584">
            <v>1.6752464277131798E-2</v>
          </cell>
          <cell r="O584">
            <v>1.7228652071007301E-2</v>
          </cell>
        </row>
        <row r="585">
          <cell r="A585" t="str">
            <v>T_C-HY-GSL-S4</v>
          </cell>
          <cell r="B585" t="str">
            <v>VAR_fout</v>
          </cell>
          <cell r="C585" t="str">
            <v>CO2_T</v>
          </cell>
          <cell r="D585">
            <v>6.697718809230528</v>
          </cell>
          <cell r="E585">
            <v>9.9731203165535138</v>
          </cell>
          <cell r="F585">
            <v>9.3870917318928413</v>
          </cell>
          <cell r="G585">
            <v>7.9457639499063211</v>
          </cell>
          <cell r="H585">
            <v>1.1535064630475735</v>
          </cell>
          <cell r="I585">
            <v>4.0541825428729002E-3</v>
          </cell>
        </row>
        <row r="586">
          <cell r="A586" t="str">
            <v>T_C-HY-GSL-S4</v>
          </cell>
          <cell r="B586" t="str">
            <v>VAR_fout</v>
          </cell>
          <cell r="C586" t="str">
            <v>TPCAR</v>
          </cell>
          <cell r="D586">
            <v>0.10430748228427131</v>
          </cell>
          <cell r="E586">
            <v>0.17911724417429664</v>
          </cell>
          <cell r="F586">
            <v>0.17072640538850339</v>
          </cell>
          <cell r="G586">
            <v>0.14375747560311328</v>
          </cell>
          <cell r="H586">
            <v>2.5080722082841997E-2</v>
          </cell>
          <cell r="I586">
            <v>4.1552618016357902E-5</v>
          </cell>
        </row>
        <row r="587">
          <cell r="A587" t="str">
            <v>T_C-HY-GSL-S4</v>
          </cell>
          <cell r="B587" t="str">
            <v>VAR_fin</v>
          </cell>
          <cell r="C587" t="str">
            <v>TGSL</v>
          </cell>
          <cell r="D587">
            <v>9.0754997415047792E-2</v>
          </cell>
          <cell r="E587">
            <v>0.13513713166061678</v>
          </cell>
          <cell r="F587">
            <v>0.12719636493079761</v>
          </cell>
          <cell r="G587">
            <v>0.10766617818301248</v>
          </cell>
          <cell r="H587">
            <v>1.5630168875983393E-2</v>
          </cell>
          <cell r="I587">
            <v>5.4934722803155856E-5</v>
          </cell>
        </row>
        <row r="588">
          <cell r="A588" t="str">
            <v>T_C-HY-GSL-S4</v>
          </cell>
          <cell r="B588" t="str">
            <v>VAR_ncap</v>
          </cell>
          <cell r="C588" t="str">
            <v>-</v>
          </cell>
          <cell r="E588">
            <v>2.6848229349108401E-5</v>
          </cell>
          <cell r="F588">
            <v>1.10236756887377E-5</v>
          </cell>
          <cell r="G588">
            <v>5.9061755264069102E-6</v>
          </cell>
        </row>
        <row r="589">
          <cell r="A589" t="str">
            <v>T_C-HY-GSL-S4</v>
          </cell>
          <cell r="B589" t="str">
            <v>VAR_cap</v>
          </cell>
          <cell r="C589" t="str">
            <v>-</v>
          </cell>
          <cell r="D589">
            <v>8.3205066523172628E-3</v>
          </cell>
          <cell r="E589">
            <v>1.4105751246238604E-2</v>
          </cell>
          <cell r="F589">
            <v>1.3537299680855323E-2</v>
          </cell>
          <cell r="G589">
            <v>1.1327164200028626E-2</v>
          </cell>
          <cell r="H589">
            <v>1.98224169183069E-3</v>
          </cell>
          <cell r="I589">
            <v>3.77337835911435E-6</v>
          </cell>
        </row>
        <row r="590">
          <cell r="A590" t="str">
            <v>T_C-HY-DSL-S3</v>
          </cell>
          <cell r="B590" t="str">
            <v>VAR_fout</v>
          </cell>
          <cell r="C590" t="str">
            <v>CO2_T</v>
          </cell>
          <cell r="D590">
            <v>2.1875640104685354</v>
          </cell>
          <cell r="E590">
            <v>3.3208145337107182</v>
          </cell>
          <cell r="F590">
            <v>3.1804265594768961</v>
          </cell>
          <cell r="G590">
            <v>2.3789944642002196</v>
          </cell>
          <cell r="H590">
            <v>0.4501665385640633</v>
          </cell>
          <cell r="I590">
            <v>3.655123821714088E-3</v>
          </cell>
        </row>
        <row r="591">
          <cell r="A591" t="str">
            <v>T_C-HY-DSL-S3</v>
          </cell>
          <cell r="B591" t="str">
            <v>VAR_fout</v>
          </cell>
          <cell r="C591" t="str">
            <v>TPCAR</v>
          </cell>
          <cell r="D591">
            <v>2.6667657153202937E-2</v>
          </cell>
          <cell r="E591">
            <v>5.3789115786383873E-2</v>
          </cell>
          <cell r="F591">
            <v>5.1304502695572046E-2</v>
          </cell>
          <cell r="G591">
            <v>4.0783469816874085E-2</v>
          </cell>
          <cell r="H591">
            <v>9.0437231198924224E-3</v>
          </cell>
          <cell r="I591">
            <v>3.8663512513115151E-5</v>
          </cell>
        </row>
        <row r="592">
          <cell r="A592" t="str">
            <v>T_C-HY-DSL-S3</v>
          </cell>
          <cell r="B592" t="str">
            <v>VAR_fin</v>
          </cell>
          <cell r="C592" t="str">
            <v>TDSL</v>
          </cell>
          <cell r="D592">
            <v>2.9843983771739926E-2</v>
          </cell>
          <cell r="E592">
            <v>4.5304427472178992E-2</v>
          </cell>
          <cell r="F592">
            <v>4.3389175436246902E-2</v>
          </cell>
          <cell r="G592">
            <v>3.2455586141885706E-2</v>
          </cell>
          <cell r="H592">
            <v>6.1414261741345663E-3</v>
          </cell>
          <cell r="I592">
            <v>4.9865263597736552E-5</v>
          </cell>
        </row>
        <row r="593">
          <cell r="A593" t="str">
            <v>T_C-HY-DSL-S3</v>
          </cell>
          <cell r="B593" t="str">
            <v>VAR_ncap</v>
          </cell>
          <cell r="C593" t="str">
            <v>-</v>
          </cell>
          <cell r="E593">
            <v>2.5642726767362901E-5</v>
          </cell>
          <cell r="F593">
            <v>9.8593547331154506E-6</v>
          </cell>
          <cell r="G593">
            <v>4.5198054561906398E-6</v>
          </cell>
        </row>
        <row r="594">
          <cell r="A594" t="str">
            <v>T_C-HY-DSL-S3</v>
          </cell>
          <cell r="B594" t="str">
            <v>VAR_cap</v>
          </cell>
          <cell r="C594" t="str">
            <v>-</v>
          </cell>
          <cell r="D594">
            <v>1.8564345760788421E-3</v>
          </cell>
          <cell r="E594">
            <v>3.6996332671309102E-3</v>
          </cell>
          <cell r="F594">
            <v>3.5315675492919017E-3</v>
          </cell>
          <cell r="G594">
            <v>2.8086192701488096E-3</v>
          </cell>
          <cell r="H594">
            <v>6.2477949395926596E-4</v>
          </cell>
          <cell r="I594">
            <v>3.0285109324551499E-6</v>
          </cell>
        </row>
        <row r="595">
          <cell r="A595" t="str">
            <v>D-T-ELC-Bus_c_S2</v>
          </cell>
          <cell r="B595" t="str">
            <v>VAR_fout</v>
          </cell>
          <cell r="C595" t="str">
            <v>T-ELC-Bus_c_BatSTGin_S2</v>
          </cell>
          <cell r="D595">
            <v>4.9646046896356058E-4</v>
          </cell>
          <cell r="E595">
            <v>5.3544377619121582E-4</v>
          </cell>
          <cell r="F595">
            <v>6.1428823375984096E-4</v>
          </cell>
          <cell r="G595">
            <v>0.17774123724514038</v>
          </cell>
          <cell r="H595">
            <v>0.17848561811796071</v>
          </cell>
          <cell r="I595">
            <v>0.16650383096582111</v>
          </cell>
          <cell r="J595">
            <v>0.16165285695927648</v>
          </cell>
          <cell r="K595">
            <v>0.15483236600080796</v>
          </cell>
          <cell r="L595">
            <v>0.15433948447735171</v>
          </cell>
          <cell r="M595">
            <v>0.15866485182318049</v>
          </cell>
          <cell r="N595">
            <v>0.16256531996173035</v>
          </cell>
          <cell r="O595">
            <v>0.16804718784810768</v>
          </cell>
        </row>
        <row r="596">
          <cell r="A596" t="str">
            <v>D-T-ELC-Bus_c_S2</v>
          </cell>
          <cell r="B596" t="str">
            <v>VAR_fin</v>
          </cell>
          <cell r="C596" t="str">
            <v>TELC</v>
          </cell>
          <cell r="D596">
            <v>4.9646046896356058E-4</v>
          </cell>
          <cell r="E596">
            <v>5.3544377619121582E-4</v>
          </cell>
          <cell r="F596">
            <v>6.1428823375984096E-4</v>
          </cell>
          <cell r="G596">
            <v>0.17774123724514038</v>
          </cell>
          <cell r="H596">
            <v>0.17848561811796071</v>
          </cell>
          <cell r="I596">
            <v>0.16650383096582111</v>
          </cell>
          <cell r="J596">
            <v>0.16165285695927648</v>
          </cell>
          <cell r="K596">
            <v>0.15483236600080796</v>
          </cell>
          <cell r="L596">
            <v>0.15433948447735171</v>
          </cell>
          <cell r="M596">
            <v>0.15866485182318049</v>
          </cell>
          <cell r="N596">
            <v>0.16256531996173035</v>
          </cell>
          <cell r="O596">
            <v>0.16804718784810768</v>
          </cell>
        </row>
        <row r="597">
          <cell r="A597" t="str">
            <v>D-T-ELC-Bus_c_S2</v>
          </cell>
          <cell r="B597" t="str">
            <v>VAR_ncap</v>
          </cell>
          <cell r="C597" t="str">
            <v>-</v>
          </cell>
          <cell r="D597">
            <v>5.4226566289591898E-5</v>
          </cell>
          <cell r="E597">
            <v>5.0030749725015298E-6</v>
          </cell>
          <cell r="F597">
            <v>9.7884967108858098E-6</v>
          </cell>
          <cell r="G597">
            <v>2.25110670509053E-2</v>
          </cell>
          <cell r="H597">
            <v>2.3405842302694198E-6</v>
          </cell>
          <cell r="I597">
            <v>1.6245204682865499E-2</v>
          </cell>
          <cell r="J597">
            <v>4.1104558270968396E-3</v>
          </cell>
          <cell r="K597">
            <v>9.8013989154857196E-3</v>
          </cell>
          <cell r="L597">
            <v>7.83788118061861E-3</v>
          </cell>
          <cell r="M597">
            <v>7.1306378242350296E-3</v>
          </cell>
          <cell r="N597">
            <v>1.2013845649792999E-2</v>
          </cell>
          <cell r="O597">
            <v>4.27898264092682E-3</v>
          </cell>
        </row>
        <row r="598">
          <cell r="A598" t="str">
            <v>D-T-ELC-Bus_c_S2</v>
          </cell>
          <cell r="B598" t="str">
            <v>VAR_cap</v>
          </cell>
          <cell r="C598" t="str">
            <v>-</v>
          </cell>
          <cell r="D598">
            <v>5.4226566289591898E-5</v>
          </cell>
          <cell r="E598">
            <v>5.9229641262093398E-5</v>
          </cell>
          <cell r="F598">
            <v>6.9018137972979201E-5</v>
          </cell>
          <cell r="G598">
            <v>2.2564873140665499E-2</v>
          </cell>
          <cell r="H598">
            <v>2.2518422710725301E-2</v>
          </cell>
          <cell r="I598">
            <v>2.0974800415882702E-2</v>
          </cell>
          <cell r="J598">
            <v>2.0356874128622901E-2</v>
          </cell>
          <cell r="K598">
            <v>1.94611717837519E-2</v>
          </cell>
          <cell r="L598">
            <v>1.9488206939454501E-2</v>
          </cell>
          <cell r="M598">
            <v>1.9990204959172801E-2</v>
          </cell>
          <cell r="N598">
            <v>2.0532744063030899E-2</v>
          </cell>
          <cell r="O598">
            <v>2.11050307476052E-2</v>
          </cell>
        </row>
        <row r="599">
          <cell r="A599" t="str">
            <v>T_C-HY-DSL-S4</v>
          </cell>
          <cell r="B599" t="str">
            <v>VAR_fout</v>
          </cell>
          <cell r="C599" t="str">
            <v>CO2_T</v>
          </cell>
          <cell r="D599">
            <v>2.5987842967272119</v>
          </cell>
          <cell r="E599">
            <v>5.1912996714700679</v>
          </cell>
          <cell r="F599">
            <v>4.9232949200661649</v>
          </cell>
          <cell r="G599">
            <v>4.0371657552755371</v>
          </cell>
          <cell r="H599">
            <v>0.90547977184574002</v>
          </cell>
          <cell r="I599">
            <v>4.0424534292648438E-3</v>
          </cell>
        </row>
        <row r="600">
          <cell r="A600" t="str">
            <v>T_C-HY-DSL-S4</v>
          </cell>
          <cell r="B600" t="str">
            <v>VAR_fout</v>
          </cell>
          <cell r="C600" t="str">
            <v>TPCAR</v>
          </cell>
          <cell r="D600">
            <v>4.7694856335659723E-2</v>
          </cell>
          <cell r="E600">
            <v>0.11170734788744531</v>
          </cell>
          <cell r="F600">
            <v>0.10654816797907475</v>
          </cell>
          <cell r="G600">
            <v>8.9358169583157038E-2</v>
          </cell>
          <cell r="H600">
            <v>1.9560336550804622E-2</v>
          </cell>
          <cell r="I600">
            <v>4.1730441680611256E-5</v>
          </cell>
        </row>
        <row r="601">
          <cell r="A601" t="str">
            <v>T_C-HY-DSL-S4</v>
          </cell>
          <cell r="B601" t="str">
            <v>VAR_fin</v>
          </cell>
          <cell r="C601" t="str">
            <v>TDSL</v>
          </cell>
          <cell r="D601">
            <v>3.5454083174996001E-2</v>
          </cell>
          <cell r="E601">
            <v>7.0822642175580652E-2</v>
          </cell>
          <cell r="F601">
            <v>6.7166369987260083E-2</v>
          </cell>
          <cell r="G601">
            <v>5.5077295433499908E-2</v>
          </cell>
          <cell r="H601">
            <v>1.2353066464471221E-2</v>
          </cell>
          <cell r="I601">
            <v>5.5149432868551757E-5</v>
          </cell>
        </row>
        <row r="602">
          <cell r="A602" t="str">
            <v>T_C-HY-DSL-S4</v>
          </cell>
          <cell r="B602" t="str">
            <v>VAR_ncap</v>
          </cell>
          <cell r="C602" t="str">
            <v>-</v>
          </cell>
          <cell r="E602">
            <v>2.7861039589902099E-5</v>
          </cell>
          <cell r="F602">
            <v>1.1057899690194401E-5</v>
          </cell>
          <cell r="G602">
            <v>5.9796237702488201E-6</v>
          </cell>
        </row>
        <row r="603">
          <cell r="A603" t="str">
            <v>T_C-HY-DSL-S4</v>
          </cell>
          <cell r="B603" t="str">
            <v>VAR_cap</v>
          </cell>
          <cell r="C603" t="str">
            <v>-</v>
          </cell>
          <cell r="D603">
            <v>3.7729822963921654E-3</v>
          </cell>
          <cell r="E603">
            <v>8.7973326577535406E-3</v>
          </cell>
          <cell r="F603">
            <v>8.3985155583893942E-3</v>
          </cell>
          <cell r="G603">
            <v>7.0437326798189906E-3</v>
          </cell>
          <cell r="H603">
            <v>1.5478576833614977E-3</v>
          </cell>
          <cell r="I603">
            <v>3.8101227424872501E-6</v>
          </cell>
        </row>
        <row r="604">
          <cell r="A604" t="str">
            <v>D-T-ELC-Bus_c_S3</v>
          </cell>
          <cell r="B604" t="str">
            <v>VAR_fout</v>
          </cell>
          <cell r="C604" t="str">
            <v>T-ELC-Bus_c_BatSTGin_S3</v>
          </cell>
          <cell r="D604">
            <v>1.7384585474530549E-4</v>
          </cell>
          <cell r="E604">
            <v>2.0591733254204112E-4</v>
          </cell>
          <cell r="F604">
            <v>2.4486390404332539E-4</v>
          </cell>
          <cell r="G604">
            <v>5.702145773908919E-2</v>
          </cell>
          <cell r="H604">
            <v>5.7285918133016291E-2</v>
          </cell>
          <cell r="I604">
            <v>5.3211041895943875E-2</v>
          </cell>
          <cell r="J604">
            <v>5.2127739528780553E-2</v>
          </cell>
          <cell r="K604">
            <v>4.9437497412587766E-2</v>
          </cell>
          <cell r="L604">
            <v>4.9834694203340857E-2</v>
          </cell>
          <cell r="M604">
            <v>5.1571420801785547E-2</v>
          </cell>
          <cell r="N604">
            <v>5.267011661684233E-2</v>
          </cell>
          <cell r="O604">
            <v>5.4767182835651754E-2</v>
          </cell>
        </row>
        <row r="605">
          <cell r="A605" t="str">
            <v>D-T-ELC-Bus_c_S3</v>
          </cell>
          <cell r="B605" t="str">
            <v>VAR_fin</v>
          </cell>
          <cell r="C605" t="str">
            <v>TELC</v>
          </cell>
          <cell r="D605">
            <v>1.7384585474530549E-4</v>
          </cell>
          <cell r="E605">
            <v>2.0591733254204112E-4</v>
          </cell>
          <cell r="F605">
            <v>2.4486390404332539E-4</v>
          </cell>
          <cell r="G605">
            <v>5.702145773908919E-2</v>
          </cell>
          <cell r="H605">
            <v>5.7285918133016291E-2</v>
          </cell>
          <cell r="I605">
            <v>5.3211041895943875E-2</v>
          </cell>
          <cell r="J605">
            <v>5.2127739528780553E-2</v>
          </cell>
          <cell r="K605">
            <v>4.9437497412587766E-2</v>
          </cell>
          <cell r="L605">
            <v>4.9834694203340857E-2</v>
          </cell>
          <cell r="M605">
            <v>5.1571420801785547E-2</v>
          </cell>
          <cell r="N605">
            <v>5.267011661684233E-2</v>
          </cell>
          <cell r="O605">
            <v>5.4767182835651754E-2</v>
          </cell>
        </row>
        <row r="606">
          <cell r="A606" t="str">
            <v>D-T-ELC-Bus_c_S3</v>
          </cell>
          <cell r="B606" t="str">
            <v>VAR_ncap</v>
          </cell>
          <cell r="C606" t="str">
            <v>-</v>
          </cell>
          <cell r="D606">
            <v>1.9943495227210299E-5</v>
          </cell>
          <cell r="E606">
            <v>2.9625602388913901E-6</v>
          </cell>
          <cell r="F606">
            <v>4.1167903976882498E-6</v>
          </cell>
          <cell r="G606">
            <v>6.0745668097694798E-3</v>
          </cell>
          <cell r="H606">
            <v>2.5138587367310701E-3</v>
          </cell>
          <cell r="I606">
            <v>4.1310192312393398E-3</v>
          </cell>
          <cell r="J606">
            <v>2.5868522788477298E-3</v>
          </cell>
          <cell r="K606">
            <v>3.53549005686592E-3</v>
          </cell>
          <cell r="L606">
            <v>2.3049111510425602E-3</v>
          </cell>
          <cell r="M606">
            <v>4.6602948974020604E-3</v>
          </cell>
          <cell r="N606">
            <v>1.92791258967098E-3</v>
          </cell>
          <cell r="O606">
            <v>4.8546978277313798E-3</v>
          </cell>
        </row>
        <row r="607">
          <cell r="A607" t="str">
            <v>D-T-ELC-Bus_c_S3</v>
          </cell>
          <cell r="B607" t="str">
            <v>VAR_cap</v>
          </cell>
          <cell r="C607" t="str">
            <v>-</v>
          </cell>
          <cell r="D607">
            <v>1.9943495227210299E-5</v>
          </cell>
          <cell r="E607">
            <v>2.29060554661017E-5</v>
          </cell>
          <cell r="F607">
            <v>2.70228458637899E-5</v>
          </cell>
          <cell r="G607">
            <v>6.0894096953037604E-3</v>
          </cell>
          <cell r="H607">
            <v>7.1255612702897904E-3</v>
          </cell>
          <cell r="I607">
            <v>6.64487796797041E-3</v>
          </cell>
          <cell r="J607">
            <v>6.5164200686245698E-3</v>
          </cell>
          <cell r="K607">
            <v>6.1223423357136498E-3</v>
          </cell>
          <cell r="L607">
            <v>6.2378816094852997E-3</v>
          </cell>
          <cell r="M607">
            <v>6.4101422408859897E-3</v>
          </cell>
          <cell r="N607">
            <v>6.5882074870730499E-3</v>
          </cell>
          <cell r="O607">
            <v>6.7826104174023702E-3</v>
          </cell>
        </row>
        <row r="608">
          <cell r="A608" t="str">
            <v>D-T-ELC-Bus_c_S4</v>
          </cell>
          <cell r="B608" t="str">
            <v>VAR_fout</v>
          </cell>
          <cell r="C608" t="str">
            <v>T-ELC-Bus_c_BatSTGin_S4</v>
          </cell>
          <cell r="E608">
            <v>1.5140997786286539E-5</v>
          </cell>
          <cell r="F608">
            <v>2.6853090953069324E-5</v>
          </cell>
          <cell r="G608">
            <v>1.2207419955346712E-5</v>
          </cell>
          <cell r="H608">
            <v>2.162315458313615E-5</v>
          </cell>
          <cell r="I608">
            <v>1.395559535753516E-4</v>
          </cell>
          <cell r="J608">
            <v>1.8246771015476148E-4</v>
          </cell>
          <cell r="K608">
            <v>2.9264775728236701E-4</v>
          </cell>
          <cell r="L608">
            <v>2.7589142764026549E-4</v>
          </cell>
          <cell r="M608">
            <v>2.9279983600802171E-4</v>
          </cell>
          <cell r="N608">
            <v>3.7189502928397928E-4</v>
          </cell>
          <cell r="O608">
            <v>5.5736972668240202E-4</v>
          </cell>
        </row>
        <row r="609">
          <cell r="A609" t="str">
            <v>D-T-ELC-Bus_c_S4</v>
          </cell>
          <cell r="B609" t="str">
            <v>VAR_fin</v>
          </cell>
          <cell r="C609" t="str">
            <v>TELC</v>
          </cell>
          <cell r="E609">
            <v>1.5140997786286539E-5</v>
          </cell>
          <cell r="F609">
            <v>2.6853090953069324E-5</v>
          </cell>
          <cell r="G609">
            <v>1.2207419955346712E-5</v>
          </cell>
          <cell r="H609">
            <v>2.162315458313615E-5</v>
          </cell>
          <cell r="I609">
            <v>1.395559535753516E-4</v>
          </cell>
          <cell r="J609">
            <v>1.8246771015476148E-4</v>
          </cell>
          <cell r="K609">
            <v>2.9264775728236701E-4</v>
          </cell>
          <cell r="L609">
            <v>2.7589142764026549E-4</v>
          </cell>
          <cell r="M609">
            <v>2.9279983600802171E-4</v>
          </cell>
          <cell r="N609">
            <v>3.7189502928397928E-4</v>
          </cell>
          <cell r="O609">
            <v>5.5736972668240202E-4</v>
          </cell>
        </row>
        <row r="610">
          <cell r="A610" t="str">
            <v>D-T-ELC-Bus_c_S4</v>
          </cell>
          <cell r="B610" t="str">
            <v>VAR_ncap</v>
          </cell>
          <cell r="C610" t="str">
            <v>-</v>
          </cell>
          <cell r="D610">
            <v>1.5553425886545901E-6</v>
          </cell>
          <cell r="E610">
            <v>1.0845785442598799E-6</v>
          </cell>
          <cell r="F610">
            <v>8.04214279356726E-7</v>
          </cell>
          <cell r="G610">
            <v>5.2020181873409099E-7</v>
          </cell>
          <cell r="H610">
            <v>2.4348879454641499E-6</v>
          </cell>
          <cell r="I610">
            <v>2.4683947972232699E-5</v>
          </cell>
          <cell r="J610">
            <v>2.69011317256317E-5</v>
          </cell>
          <cell r="K610">
            <v>3.4618515079292403E-5</v>
          </cell>
          <cell r="L610">
            <v>3.22130373075295E-5</v>
          </cell>
          <cell r="M610">
            <v>4.3495022727369699E-5</v>
          </cell>
          <cell r="N610">
            <v>4.4650169077100303E-5</v>
          </cell>
          <cell r="O610">
            <v>7.3763402400979297E-5</v>
          </cell>
        </row>
        <row r="611">
          <cell r="A611" t="str">
            <v>D-T-ELC-Bus_c_S4</v>
          </cell>
          <cell r="B611" t="str">
            <v>VAR_cap</v>
          </cell>
          <cell r="C611" t="str">
            <v>-</v>
          </cell>
          <cell r="D611">
            <v>1.5553425886545901E-6</v>
          </cell>
          <cell r="E611">
            <v>2.6399211329144698E-6</v>
          </cell>
          <cell r="F611">
            <v>3.4441354122711902E-6</v>
          </cell>
          <cell r="G611">
            <v>1.67686272945483E-6</v>
          </cell>
          <cell r="H611">
            <v>2.5697942320684701E-6</v>
          </cell>
          <cell r="I611">
            <v>2.6655606133114002E-5</v>
          </cell>
          <cell r="J611">
            <v>3.9700030175273199E-5</v>
          </cell>
          <cell r="K611">
            <v>5.2773089098338202E-5</v>
          </cell>
          <cell r="L611">
            <v>5.7543292486097199E-5</v>
          </cell>
          <cell r="M611">
            <v>5.1848975149105903E-5</v>
          </cell>
          <cell r="N611">
            <v>7.4356674138060402E-5</v>
          </cell>
          <cell r="O611">
            <v>1.0389614208422399E-4</v>
          </cell>
        </row>
        <row r="612">
          <cell r="A612" t="str">
            <v>D-TH2O</v>
          </cell>
          <cell r="B612" t="str">
            <v>VAR_fout</v>
          </cell>
          <cell r="C612" t="str">
            <v>TH2O</v>
          </cell>
          <cell r="D612">
            <v>3.3783454752897733E-3</v>
          </cell>
          <cell r="E612">
            <v>2.799395153128889E-3</v>
          </cell>
          <cell r="F612">
            <v>2.7106244199295811E-3</v>
          </cell>
          <cell r="G612">
            <v>9.3653228237816118E-5</v>
          </cell>
          <cell r="H612">
            <v>1.6073184123784146E-4</v>
          </cell>
          <cell r="I612">
            <v>4.1560821114149825E-3</v>
          </cell>
          <cell r="J612">
            <v>4.3159364756879173E-3</v>
          </cell>
          <cell r="K612">
            <v>4.4414799128732812E-3</v>
          </cell>
          <cell r="L612">
            <v>4.4930605573536573E-3</v>
          </cell>
          <cell r="M612">
            <v>4.6634354514000524E-3</v>
          </cell>
          <cell r="N612">
            <v>4.6504556525588017E-3</v>
          </cell>
          <cell r="O612">
            <v>5.254229850428253E-3</v>
          </cell>
        </row>
        <row r="613">
          <cell r="A613" t="str">
            <v>D-TH2O</v>
          </cell>
          <cell r="B613" t="str">
            <v>VAR_fin</v>
          </cell>
          <cell r="C613" t="str">
            <v>H2</v>
          </cell>
          <cell r="D613">
            <v>3.3783454752897733E-3</v>
          </cell>
          <cell r="E613">
            <v>2.799395153128889E-3</v>
          </cell>
          <cell r="F613">
            <v>2.7106244199295811E-3</v>
          </cell>
          <cell r="G613">
            <v>9.3653228237816118E-5</v>
          </cell>
          <cell r="H613">
            <v>1.6073184123784146E-4</v>
          </cell>
          <cell r="I613">
            <v>4.1560821114149825E-3</v>
          </cell>
          <cell r="J613">
            <v>4.3159364756879173E-3</v>
          </cell>
          <cell r="K613">
            <v>4.4432387410148089E-3</v>
          </cell>
          <cell r="L613">
            <v>4.493941269842509E-3</v>
          </cell>
          <cell r="M613">
            <v>4.6637318445910412E-3</v>
          </cell>
          <cell r="N613">
            <v>4.650817845950752E-3</v>
          </cell>
          <cell r="O613">
            <v>5.2557936270564605E-3</v>
          </cell>
        </row>
        <row r="614">
          <cell r="A614" t="str">
            <v>D-TH2O</v>
          </cell>
          <cell r="B614" t="str">
            <v>VAR_ncap</v>
          </cell>
          <cell r="C614" t="str">
            <v>-</v>
          </cell>
          <cell r="D614">
            <v>5.8224773583280803E-4</v>
          </cell>
          <cell r="E614">
            <v>9.4000033640611503E-8</v>
          </cell>
          <cell r="F614">
            <v>4.1770491523822999E-8</v>
          </cell>
          <cell r="G614">
            <v>2.2058877757412001E-8</v>
          </cell>
          <cell r="H614">
            <v>1.4334111704210999E-7</v>
          </cell>
          <cell r="I614">
            <v>9.2040663844503307E-6</v>
          </cell>
          <cell r="J614">
            <v>3.3247405592432099E-5</v>
          </cell>
          <cell r="K614">
            <v>2.8895381022886701E-5</v>
          </cell>
          <cell r="L614">
            <v>5.7182877565146903E-5</v>
          </cell>
          <cell r="M614">
            <v>5.0013716402751802E-4</v>
          </cell>
          <cell r="N614">
            <v>1.62992035910404E-4</v>
          </cell>
          <cell r="O614">
            <v>1.7186203154611501E-4</v>
          </cell>
        </row>
        <row r="615">
          <cell r="A615" t="str">
            <v>D-TH2O</v>
          </cell>
          <cell r="B615" t="str">
            <v>VAR_cap</v>
          </cell>
          <cell r="C615" t="str">
            <v>-</v>
          </cell>
          <cell r="D615">
            <v>5.8224773583280803E-4</v>
          </cell>
          <cell r="E615">
            <v>5.8234173586644905E-4</v>
          </cell>
          <cell r="F615">
            <v>5.8238350635797195E-4</v>
          </cell>
          <cell r="G615">
            <v>5.8240556523573E-4</v>
          </cell>
          <cell r="H615">
            <v>5.8254890635277203E-4</v>
          </cell>
          <cell r="I615">
            <v>5.9175297273722201E-4</v>
          </cell>
          <cell r="J615">
            <v>6.2500037832965397E-4</v>
          </cell>
          <cell r="K615">
            <v>6.5389575935254096E-4</v>
          </cell>
          <cell r="L615">
            <v>7.1107863691768805E-4</v>
          </cell>
          <cell r="M615">
            <v>7.7991915986464996E-4</v>
          </cell>
          <cell r="N615">
            <v>7.9182473600118903E-4</v>
          </cell>
          <cell r="O615">
            <v>9.6366430316599495E-4</v>
          </cell>
        </row>
        <row r="616">
          <cell r="A616" t="str">
            <v>TFHGV-HYBDSL</v>
          </cell>
          <cell r="B616" t="str">
            <v>VAR_fout</v>
          </cell>
          <cell r="C616" t="str">
            <v>CO2_T</v>
          </cell>
          <cell r="E616">
            <v>225.46731966572699</v>
          </cell>
          <cell r="F616">
            <v>308.88126073386337</v>
          </cell>
          <cell r="G616">
            <v>822.67332861933392</v>
          </cell>
          <cell r="H616">
            <v>888.34506408291395</v>
          </cell>
          <cell r="I616">
            <v>793.43777359763794</v>
          </cell>
          <cell r="J616">
            <v>362.76400812781799</v>
          </cell>
          <cell r="K616">
            <v>146.74058963306001</v>
          </cell>
        </row>
        <row r="617">
          <cell r="A617" t="str">
            <v>TFHGV-HYBDSL</v>
          </cell>
          <cell r="B617" t="str">
            <v>VAR_fout</v>
          </cell>
          <cell r="C617" t="str">
            <v>TFHGV</v>
          </cell>
          <cell r="E617">
            <v>0.50281627553137576</v>
          </cell>
          <cell r="F617">
            <v>0.68883829964314669</v>
          </cell>
          <cell r="G617">
            <v>1.8346496498412583</v>
          </cell>
          <cell r="H617">
            <v>1.9811046548612083</v>
          </cell>
          <cell r="I617">
            <v>1.7694512303501533</v>
          </cell>
          <cell r="J617">
            <v>0.80900259839914146</v>
          </cell>
          <cell r="K617">
            <v>0.32724723413558759</v>
          </cell>
        </row>
        <row r="618">
          <cell r="A618" t="str">
            <v>TFHGV-HYBDSL</v>
          </cell>
          <cell r="B618" t="str">
            <v>VAR_fin</v>
          </cell>
          <cell r="C618" t="str">
            <v>TDSL</v>
          </cell>
          <cell r="E618">
            <v>3.0759525193141464</v>
          </cell>
          <cell r="F618">
            <v>4.2139326157416592</v>
          </cell>
          <cell r="G618">
            <v>11.223374196716696</v>
          </cell>
          <cell r="H618">
            <v>12.119305103450387</v>
          </cell>
          <cell r="I618">
            <v>10.82452624280543</v>
          </cell>
          <cell r="J618">
            <v>4.9490314887833247</v>
          </cell>
          <cell r="K618">
            <v>2.0019180031795436</v>
          </cell>
        </row>
        <row r="619">
          <cell r="A619" t="str">
            <v>TFHGV-HYBDSL</v>
          </cell>
          <cell r="B619" t="str">
            <v>VAR_ncap</v>
          </cell>
          <cell r="C619" t="str">
            <v>-</v>
          </cell>
          <cell r="E619">
            <v>9.4591337671948404E-3</v>
          </cell>
          <cell r="F619">
            <v>3.4997249934996199E-3</v>
          </cell>
          <cell r="G619">
            <v>2.90819828530713E-2</v>
          </cell>
          <cell r="H619">
            <v>3.1599312124113502E-2</v>
          </cell>
          <cell r="I619">
            <v>9.5793644865312406E-3</v>
          </cell>
          <cell r="J619">
            <v>1.2207556874244199E-2</v>
          </cell>
        </row>
        <row r="620">
          <cell r="A620" t="str">
            <v>TFHGV-HYBDSL</v>
          </cell>
          <cell r="B620" t="str">
            <v>VAR_cap</v>
          </cell>
          <cell r="C620" t="str">
            <v>-</v>
          </cell>
          <cell r="E620">
            <v>9.4591337671948404E-3</v>
          </cell>
          <cell r="F620">
            <v>1.2958858760694501E-2</v>
          </cell>
          <cell r="G620">
            <v>3.4514139609584403E-2</v>
          </cell>
          <cell r="H620">
            <v>3.9141274056014801E-2</v>
          </cell>
          <cell r="I620">
            <v>3.5167006720254301E-2</v>
          </cell>
          <cell r="J620">
            <v>1.7174562695725301E-2</v>
          </cell>
          <cell r="K620">
            <v>8.2384264396584399E-3</v>
          </cell>
        </row>
        <row r="621">
          <cell r="A621" t="str">
            <v>D-TKER</v>
          </cell>
          <cell r="B621" t="str">
            <v>VAR_fout</v>
          </cell>
          <cell r="C621" t="str">
            <v>CO2</v>
          </cell>
          <cell r="D621">
            <v>80.738207147326605</v>
          </cell>
          <cell r="E621">
            <v>102.299204189737</v>
          </cell>
          <cell r="F621">
            <v>134.57253518587001</v>
          </cell>
          <cell r="G621">
            <v>187.25855827633401</v>
          </cell>
          <cell r="H621">
            <v>172.51054608820601</v>
          </cell>
          <cell r="I621">
            <v>156.67732476405999</v>
          </cell>
          <cell r="J621">
            <v>140.57442827642501</v>
          </cell>
          <cell r="K621">
            <v>1.17052173440166E-5</v>
          </cell>
          <cell r="L621">
            <v>6.1008906502153896E-3</v>
          </cell>
          <cell r="M621">
            <v>9.5587129054535095E-3</v>
          </cell>
          <cell r="N621">
            <v>9.0246400289184601E-3</v>
          </cell>
          <cell r="O621">
            <v>1.48106037652604E-2</v>
          </cell>
        </row>
        <row r="622">
          <cell r="A622" t="str">
            <v>D-TKER</v>
          </cell>
          <cell r="B622" t="str">
            <v>VAR_fout</v>
          </cell>
          <cell r="C622" t="str">
            <v>TKER</v>
          </cell>
          <cell r="D622">
            <v>1.09274271977188</v>
          </cell>
          <cell r="E622">
            <v>1.3845577523515</v>
          </cell>
          <cell r="F622">
            <v>1.82135773509646</v>
          </cell>
          <cell r="G622">
            <v>2.5344311386312199</v>
          </cell>
          <cell r="H622">
            <v>2.33482572851507</v>
          </cell>
          <cell r="I622">
            <v>2.1205326701997498</v>
          </cell>
          <cell r="J622">
            <v>1.9025897219250101</v>
          </cell>
          <cell r="K622">
            <v>1.5842302533027199E-7</v>
          </cell>
          <cell r="L622">
            <v>8.2571858822454999E-5</v>
          </cell>
          <cell r="M622">
            <v>1.29371388180122E-4</v>
          </cell>
          <cell r="N622">
            <v>1.2214303535583299E-4</v>
          </cell>
          <cell r="O622">
            <v>2.00452549192506E-4</v>
          </cell>
        </row>
        <row r="623">
          <cell r="A623" t="str">
            <v>D-TKER</v>
          </cell>
          <cell r="B623" t="str">
            <v>VAR_fin</v>
          </cell>
          <cell r="C623" t="str">
            <v>KER</v>
          </cell>
          <cell r="D623">
            <v>1.1090413069687741</v>
          </cell>
          <cell r="E623">
            <v>1.4052088487601344</v>
          </cell>
          <cell r="F623">
            <v>1.8485238349707345</v>
          </cell>
          <cell r="G623">
            <v>2.5722329433562381</v>
          </cell>
          <cell r="H623">
            <v>2.3696503583544599</v>
          </cell>
          <cell r="I623">
            <v>2.1521610544513852</v>
          </cell>
          <cell r="J623">
            <v>1.9309674213794579</v>
          </cell>
          <cell r="K623">
            <v>1.6078595252770095E-7</v>
          </cell>
          <cell r="L623">
            <v>8.3803442997464419E-5</v>
          </cell>
          <cell r="M623">
            <v>1.3130100144853775E-4</v>
          </cell>
          <cell r="N623">
            <v>1.2396483556206646E-4</v>
          </cell>
          <cell r="O623">
            <v>2.0344235941291698E-4</v>
          </cell>
        </row>
        <row r="624">
          <cell r="A624" t="str">
            <v>T_B_u-BEVELC-S1</v>
          </cell>
          <cell r="B624" t="str">
            <v>VAR_fout</v>
          </cell>
          <cell r="C624" t="str">
            <v>TPBSu</v>
          </cell>
          <cell r="D624">
            <v>9.2431491361494799E-8</v>
          </cell>
          <cell r="E624">
            <v>1.0841835938607265E-4</v>
          </cell>
          <cell r="F624">
            <v>3.9379126307292271E-4</v>
          </cell>
          <cell r="G624">
            <v>0.10881901664100545</v>
          </cell>
          <cell r="H624">
            <v>0.11505713571772808</v>
          </cell>
          <cell r="I624">
            <v>0.12009092868063459</v>
          </cell>
          <cell r="J624">
            <v>0.12427714252680883</v>
          </cell>
          <cell r="K624">
            <v>0.1284573033205465</v>
          </cell>
          <cell r="L624">
            <v>0.13206606546997496</v>
          </cell>
          <cell r="M624">
            <v>0.13582263670749897</v>
          </cell>
          <cell r="N624">
            <v>0.13997207659730437</v>
          </cell>
          <cell r="O624">
            <v>0.14474223329538838</v>
          </cell>
        </row>
        <row r="625">
          <cell r="A625" t="str">
            <v>T_B_u-BEVELC-S1</v>
          </cell>
          <cell r="B625" t="str">
            <v>VAR_fin</v>
          </cell>
          <cell r="C625" t="str">
            <v>T-ELC-Bus_u_BatSTGout_S1</v>
          </cell>
          <cell r="D625">
            <v>2.440801345457588E-7</v>
          </cell>
          <cell r="E625">
            <v>2.7628870789577278E-4</v>
          </cell>
          <cell r="F625">
            <v>9.6709063563428781E-4</v>
          </cell>
          <cell r="G625">
            <v>0.24326266479897279</v>
          </cell>
          <cell r="H625">
            <v>0.24424108671576955</v>
          </cell>
          <cell r="I625">
            <v>0.25215000625310069</v>
          </cell>
          <cell r="J625">
            <v>0.25020418860023369</v>
          </cell>
          <cell r="K625">
            <v>0.24183713106001417</v>
          </cell>
          <cell r="L625">
            <v>0.24521743350194541</v>
          </cell>
          <cell r="M625">
            <v>0.25043024415316928</v>
          </cell>
          <cell r="N625">
            <v>0.25808099567657483</v>
          </cell>
          <cell r="O625">
            <v>0.26687622698343483</v>
          </cell>
        </row>
        <row r="626">
          <cell r="A626" t="str">
            <v>T_B_u-BEVELC-S1</v>
          </cell>
          <cell r="B626" t="str">
            <v>VAR_ncap</v>
          </cell>
          <cell r="C626" t="str">
            <v>-</v>
          </cell>
          <cell r="E626">
            <v>2.0818972239979201E-6</v>
          </cell>
          <cell r="F626">
            <v>5.4691471827685597E-6</v>
          </cell>
          <cell r="G626">
            <v>2.0512939285334099E-3</v>
          </cell>
          <cell r="H626">
            <v>2.3435424524255702E-3</v>
          </cell>
          <cell r="I626">
            <v>5.1434474060236201E-4</v>
          </cell>
          <cell r="J626">
            <v>1.20378738040621E-3</v>
          </cell>
          <cell r="K626">
            <v>1.6601775753917599E-3</v>
          </cell>
          <cell r="L626">
            <v>9.6995774198606398E-4</v>
          </cell>
          <cell r="M626">
            <v>1.44995989629954E-3</v>
          </cell>
          <cell r="N626">
            <v>1.7251078232064299E-3</v>
          </cell>
          <cell r="O626">
            <v>6.8690539845577697E-4</v>
          </cell>
        </row>
        <row r="627">
          <cell r="A627" t="str">
            <v>T_B_u-BEVELC-S1</v>
          </cell>
          <cell r="B627" t="str">
            <v>VAR_cap</v>
          </cell>
          <cell r="C627" t="str">
            <v>-</v>
          </cell>
          <cell r="D627">
            <v>3.02390998593531E-8</v>
          </cell>
          <cell r="E627">
            <v>2.1233880819444745E-6</v>
          </cell>
          <cell r="F627">
            <v>7.5925352647130338E-6</v>
          </cell>
          <cell r="G627">
            <v>2.0522727236141698E-3</v>
          </cell>
          <cell r="H627">
            <v>2.34519552387322E-3</v>
          </cell>
          <cell r="I627">
            <v>2.8581550827024909E-3</v>
          </cell>
          <cell r="J627">
            <v>2.9332605847608097E-3</v>
          </cell>
          <cell r="K627">
            <v>3.0396493417328501E-3</v>
          </cell>
          <cell r="L627">
            <v>3.1716000441577388E-3</v>
          </cell>
          <cell r="M627">
            <v>3.2704397449743847E-3</v>
          </cell>
          <cell r="N627">
            <v>3.346855893507058E-3</v>
          </cell>
          <cell r="O627">
            <v>3.3904062371360394E-3</v>
          </cell>
        </row>
        <row r="628">
          <cell r="A628" t="str">
            <v>TPSHPH2OEXT</v>
          </cell>
          <cell r="B628" t="str">
            <v>VAR_fout</v>
          </cell>
          <cell r="C628" t="str">
            <v>TPSHP</v>
          </cell>
          <cell r="H628">
            <v>2.4134134742764299E-5</v>
          </cell>
          <cell r="I628">
            <v>6.61868053659306E-3</v>
          </cell>
          <cell r="J628">
            <v>6.7121443138606204E-3</v>
          </cell>
          <cell r="K628">
            <v>6.7251847913629799E-3</v>
          </cell>
          <cell r="L628">
            <v>6.68073213119043E-3</v>
          </cell>
          <cell r="M628">
            <v>6.6711305274330798E-3</v>
          </cell>
          <cell r="N628">
            <v>6.6648839181262798E-3</v>
          </cell>
          <cell r="O628">
            <v>6.6657427492200503E-3</v>
          </cell>
        </row>
        <row r="629">
          <cell r="A629" t="str">
            <v>TPSHPH2OEXT</v>
          </cell>
          <cell r="B629" t="str">
            <v>VAR_fin</v>
          </cell>
          <cell r="C629" t="str">
            <v>TH2O</v>
          </cell>
          <cell r="H629">
            <v>1.3456608462632177E-5</v>
          </cell>
          <cell r="I629">
            <v>3.690415814342784E-3</v>
          </cell>
          <cell r="J629">
            <v>3.7425289507586495E-3</v>
          </cell>
          <cell r="K629">
            <v>3.7498000048811517E-3</v>
          </cell>
          <cell r="L629">
            <v>3.7250142792091879E-3</v>
          </cell>
          <cell r="M629">
            <v>3.7196606577202559E-3</v>
          </cell>
          <cell r="N629">
            <v>3.7161776998037273E-3</v>
          </cell>
          <cell r="O629">
            <v>3.7166565632014694E-3</v>
          </cell>
        </row>
        <row r="630">
          <cell r="A630" t="str">
            <v>TPSHPH2OEXT</v>
          </cell>
          <cell r="B630" t="str">
            <v>VAR_ncap</v>
          </cell>
          <cell r="C630" t="str">
            <v>-</v>
          </cell>
          <cell r="H630">
            <v>2.37423875910555E-5</v>
          </cell>
          <cell r="I630">
            <v>6.5851564755066098E-3</v>
          </cell>
          <cell r="J630">
            <v>7.6199817647504994E-5</v>
          </cell>
          <cell r="K630">
            <v>8.78401671518606E-6</v>
          </cell>
          <cell r="L630">
            <v>8.7379353440387303E-4</v>
          </cell>
          <cell r="M630">
            <v>5.7135463343794502E-3</v>
          </cell>
          <cell r="N630">
            <v>7.2904499878453794E-5</v>
          </cell>
          <cell r="O630">
            <v>4.6427000397166401E-6</v>
          </cell>
        </row>
        <row r="631">
          <cell r="A631" t="str">
            <v>TPSHPH2OEXT</v>
          </cell>
          <cell r="B631" t="str">
            <v>VAR_cap</v>
          </cell>
          <cell r="C631" t="str">
            <v>-</v>
          </cell>
          <cell r="H631">
            <v>2.37423875910555E-5</v>
          </cell>
          <cell r="I631">
            <v>6.6086589543764068E-3</v>
          </cell>
          <cell r="J631">
            <v>6.684197532528839E-3</v>
          </cell>
          <cell r="K631">
            <v>6.6834476755402404E-3</v>
          </cell>
          <cell r="L631">
            <v>6.670470970631762E-3</v>
          </cell>
          <cell r="M631">
            <v>6.6657321340909065E-3</v>
          </cell>
          <cell r="N631">
            <v>6.6637022061316678E-3</v>
          </cell>
          <cell r="O631">
            <v>6.6540066703794738E-3</v>
          </cell>
        </row>
        <row r="632">
          <cell r="A632" t="str">
            <v>T_B_u-BEVELC-S2</v>
          </cell>
          <cell r="B632" t="str">
            <v>VAR_fout</v>
          </cell>
          <cell r="C632" t="str">
            <v>TPBSu</v>
          </cell>
          <cell r="D632">
            <v>2.4692819996175559E-4</v>
          </cell>
          <cell r="E632">
            <v>4.5912601321202416E-4</v>
          </cell>
          <cell r="F632">
            <v>7.1307506270570356E-4</v>
          </cell>
          <cell r="G632">
            <v>3.9833514087483916E-2</v>
          </cell>
          <cell r="H632">
            <v>4.1572693669967117E-2</v>
          </cell>
          <cell r="I632">
            <v>4.3340633233137554E-2</v>
          </cell>
          <cell r="J632">
            <v>4.4851086288904184E-2</v>
          </cell>
          <cell r="K632">
            <v>4.6362120092690536E-2</v>
          </cell>
          <cell r="L632">
            <v>4.7663359530207547E-2</v>
          </cell>
          <cell r="M632">
            <v>4.9020323755239237E-2</v>
          </cell>
          <cell r="N632">
            <v>5.0518156710377203E-2</v>
          </cell>
          <cell r="O632">
            <v>5.2243525856306809E-2</v>
          </cell>
        </row>
        <row r="633">
          <cell r="A633" t="str">
            <v>T_B_u-BEVELC-S2</v>
          </cell>
          <cell r="B633" t="str">
            <v>VAR_fin</v>
          </cell>
          <cell r="C633" t="str">
            <v>T-ELC-Bus_u_BatSTGout_S2</v>
          </cell>
          <cell r="D633">
            <v>8.9733108283608014E-4</v>
          </cell>
          <cell r="E633">
            <v>1.6554453445287967E-3</v>
          </cell>
          <cell r="F633">
            <v>2.5032268933184733E-3</v>
          </cell>
          <cell r="G633">
            <v>0.12290416094526976</v>
          </cell>
          <cell r="H633">
            <v>0.1223509508854604</v>
          </cell>
          <cell r="I633">
            <v>0.12621962561884603</v>
          </cell>
          <cell r="J633">
            <v>0.12537899311580283</v>
          </cell>
          <cell r="K633">
            <v>0.12087504262793645</v>
          </cell>
          <cell r="L633">
            <v>0.12249038819728258</v>
          </cell>
          <cell r="M633">
            <v>0.1249192581873145</v>
          </cell>
          <cell r="N633">
            <v>0.12873620934778826</v>
          </cell>
          <cell r="O633">
            <v>0.13313299454416797</v>
          </cell>
        </row>
        <row r="634">
          <cell r="A634" t="str">
            <v>T_B_u-BEVELC-S2</v>
          </cell>
          <cell r="B634" t="str">
            <v>VAR_ncap</v>
          </cell>
          <cell r="C634" t="str">
            <v>-</v>
          </cell>
          <cell r="E634">
            <v>4.95633101711352E-7</v>
          </cell>
          <cell r="F634">
            <v>4.7678742918448101E-6</v>
          </cell>
          <cell r="G634">
            <v>7.4540163745347003E-4</v>
          </cell>
          <cell r="H634">
            <v>7.1582257923456501E-4</v>
          </cell>
          <cell r="I634">
            <v>1.01177491541814E-4</v>
          </cell>
          <cell r="J634">
            <v>3.7369475334286502E-4</v>
          </cell>
          <cell r="K634">
            <v>4.6647386168740499E-4</v>
          </cell>
          <cell r="L634">
            <v>2.6450198699923402E-4</v>
          </cell>
          <cell r="M634">
            <v>4.2138874169951498E-4</v>
          </cell>
          <cell r="N634">
            <v>4.84746734096627E-4</v>
          </cell>
          <cell r="O634">
            <v>2.16836517573146E-4</v>
          </cell>
        </row>
        <row r="635">
          <cell r="A635" t="str">
            <v>T_B_u-BEVELC-S2</v>
          </cell>
          <cell r="B635" t="str">
            <v>VAR_cap</v>
          </cell>
          <cell r="C635" t="str">
            <v>-</v>
          </cell>
          <cell r="D635">
            <v>5.3145865127020396E-6</v>
          </cell>
          <cell r="E635">
            <v>8.7631308155208207E-6</v>
          </cell>
          <cell r="F635">
            <v>1.3532409111921E-5</v>
          </cell>
          <cell r="G635">
            <v>7.5151866213476874E-4</v>
          </cell>
          <cell r="H635">
            <v>7.960057350722159E-4</v>
          </cell>
          <cell r="I635">
            <v>8.1751151187301298E-4</v>
          </cell>
          <cell r="J635">
            <v>8.4602858517101318E-4</v>
          </cell>
          <cell r="K635">
            <v>8.7472674879623242E-4</v>
          </cell>
          <cell r="L635">
            <v>8.9906773185929802E-4</v>
          </cell>
          <cell r="M635">
            <v>9.2487691249802423E-4</v>
          </cell>
          <cell r="N635">
            <v>9.5298204544663583E-4</v>
          </cell>
          <cell r="O635">
            <v>9.8593933848292021E-4</v>
          </cell>
        </row>
        <row r="636">
          <cell r="A636" t="str">
            <v>TFHGV-ICEDSL</v>
          </cell>
          <cell r="B636" t="str">
            <v>VAR_fout</v>
          </cell>
          <cell r="C636" t="str">
            <v>CO2_T</v>
          </cell>
          <cell r="D636">
            <v>385.16983493213451</v>
          </cell>
          <cell r="E636">
            <v>450.8373663046782</v>
          </cell>
          <cell r="F636">
            <v>351.97897480793</v>
          </cell>
          <cell r="G636">
            <v>32.236861723219619</v>
          </cell>
          <cell r="H636">
            <v>2.1392899577440599E-2</v>
          </cell>
          <cell r="I636">
            <v>2.2281040114009838E-2</v>
          </cell>
          <cell r="J636">
            <v>2.2567685968854979E-2</v>
          </cell>
          <cell r="K636">
            <v>1.10836165576393E-2</v>
          </cell>
        </row>
        <row r="637">
          <cell r="A637" t="str">
            <v>TFHGV-ICEDSL</v>
          </cell>
          <cell r="B637" t="str">
            <v>VAR_fout</v>
          </cell>
          <cell r="C637" t="str">
            <v>TFHGV</v>
          </cell>
          <cell r="D637">
            <v>0.62375188626484934</v>
          </cell>
          <cell r="E637">
            <v>0.7300952258651513</v>
          </cell>
          <cell r="F637">
            <v>0.57000193044893466</v>
          </cell>
          <cell r="G637">
            <v>5.2205031348470855E-2</v>
          </cell>
          <cell r="H637">
            <v>3.4644097885947451E-5</v>
          </cell>
          <cell r="I637">
            <v>3.6082370784579063E-5</v>
          </cell>
          <cell r="J637">
            <v>3.6546570928085074E-5</v>
          </cell>
          <cell r="K637">
            <v>1.7949034704864559E-5</v>
          </cell>
        </row>
        <row r="638">
          <cell r="A638" t="str">
            <v>TFHGV-ICEDSL</v>
          </cell>
          <cell r="B638" t="str">
            <v>VAR_fin</v>
          </cell>
          <cell r="C638" t="str">
            <v>TDSL</v>
          </cell>
          <cell r="D638">
            <v>5.2547044329077117</v>
          </cell>
          <cell r="E638">
            <v>6.1505779850570006</v>
          </cell>
          <cell r="F638">
            <v>4.8018959728230586</v>
          </cell>
          <cell r="G638">
            <v>0.43979347507803102</v>
          </cell>
          <cell r="H638">
            <v>2.91854018791823E-4</v>
          </cell>
          <cell r="I638">
            <v>3.039705336154135E-4</v>
          </cell>
          <cell r="J638">
            <v>3.0788111826541599E-4</v>
          </cell>
          <cell r="K638">
            <v>1.5120895713014064E-4</v>
          </cell>
        </row>
        <row r="639">
          <cell r="A639" t="str">
            <v>TFHGV-ICEDSL</v>
          </cell>
          <cell r="B639" t="str">
            <v>VAR_ncap</v>
          </cell>
          <cell r="C639" t="str">
            <v>-</v>
          </cell>
          <cell r="E639">
            <v>4.14489553956461E-7</v>
          </cell>
          <cell r="F639">
            <v>1.4501310218235101E-6</v>
          </cell>
          <cell r="G639">
            <v>1.4064284421785499E-6</v>
          </cell>
          <cell r="H639">
            <v>4.1738139661498502E-7</v>
          </cell>
          <cell r="I639">
            <v>4.7453609030658301E-7</v>
          </cell>
          <cell r="J639">
            <v>6.0094191759465201E-7</v>
          </cell>
        </row>
        <row r="640">
          <cell r="A640" t="str">
            <v>TFHGV-ICEDSL</v>
          </cell>
          <cell r="B640" t="str">
            <v>VAR_cap</v>
          </cell>
          <cell r="C640" t="str">
            <v>-</v>
          </cell>
          <cell r="D640">
            <v>1.173551937641343E-2</v>
          </cell>
          <cell r="E640">
            <v>1.3734932472639433E-2</v>
          </cell>
          <cell r="F640">
            <v>1.0724238666845251E-2</v>
          </cell>
          <cell r="G640">
            <v>9.8248283865066672E-4</v>
          </cell>
          <cell r="H640">
            <v>7.8211683520058701E-7</v>
          </cell>
          <cell r="I640">
            <v>8.1251198704916203E-7</v>
          </cell>
          <cell r="J640">
            <v>8.4699409844335905E-7</v>
          </cell>
          <cell r="K640">
            <v>4.0555336613308498E-7</v>
          </cell>
        </row>
        <row r="641">
          <cell r="A641" t="str">
            <v>D-T-ELC-Bus_u_S1</v>
          </cell>
          <cell r="B641" t="str">
            <v>VAR_fout</v>
          </cell>
          <cell r="C641" t="str">
            <v>T-ELC-Bus_u_BatSTGin_S1</v>
          </cell>
          <cell r="D641">
            <v>3.8603764917410775E-6</v>
          </cell>
          <cell r="E641">
            <v>2.8191993280266594E-4</v>
          </cell>
          <cell r="F641">
            <v>9.7362090472068641E-4</v>
          </cell>
          <cell r="G641">
            <v>0.2433269015503404</v>
          </cell>
          <cell r="H641">
            <v>0.24432700920173447</v>
          </cell>
          <cell r="I641">
            <v>0.25223124717831485</v>
          </cell>
          <cell r="J641">
            <v>0.25029875270898</v>
          </cell>
          <cell r="K641">
            <v>0.24202284499068152</v>
          </cell>
          <cell r="L641">
            <v>0.24533925568890816</v>
          </cell>
          <cell r="M641">
            <v>0.25064639869658384</v>
          </cell>
          <cell r="N641">
            <v>0.25824692501488888</v>
          </cell>
          <cell r="O641">
            <v>0.26724633002684844</v>
          </cell>
        </row>
        <row r="642">
          <cell r="A642" t="str">
            <v>D-T-ELC-Bus_u_S1</v>
          </cell>
          <cell r="B642" t="str">
            <v>VAR_fin</v>
          </cell>
          <cell r="C642" t="str">
            <v>TELC</v>
          </cell>
          <cell r="D642">
            <v>3.8603764917410775E-6</v>
          </cell>
          <cell r="E642">
            <v>2.8191993280266594E-4</v>
          </cell>
          <cell r="F642">
            <v>9.7362090472068641E-4</v>
          </cell>
          <cell r="G642">
            <v>0.2433269015503404</v>
          </cell>
          <cell r="H642">
            <v>0.24432700920173447</v>
          </cell>
          <cell r="I642">
            <v>0.25223124717831485</v>
          </cell>
          <cell r="J642">
            <v>0.25029875270898</v>
          </cell>
          <cell r="K642">
            <v>0.24202284499068152</v>
          </cell>
          <cell r="L642">
            <v>0.24533925568890816</v>
          </cell>
          <cell r="M642">
            <v>0.25064639869658384</v>
          </cell>
          <cell r="N642">
            <v>0.25824692501488888</v>
          </cell>
          <cell r="O642">
            <v>0.26724633002684844</v>
          </cell>
        </row>
        <row r="643">
          <cell r="A643" t="str">
            <v>D-T-ELC-Bus_u_S1</v>
          </cell>
          <cell r="B643" t="str">
            <v>VAR_ncap</v>
          </cell>
          <cell r="C643" t="str">
            <v>-</v>
          </cell>
          <cell r="D643">
            <v>3.9062599525668903E-5</v>
          </cell>
          <cell r="E643">
            <v>3.9369313425477299E-5</v>
          </cell>
          <cell r="F643">
            <v>9.0004082387961498E-5</v>
          </cell>
          <cell r="G643">
            <v>2.5566817951292699E-2</v>
          </cell>
          <cell r="H643">
            <v>2.1291290288145601E-4</v>
          </cell>
          <cell r="I643">
            <v>2.1078927799556599E-2</v>
          </cell>
          <cell r="J643">
            <v>5.2675269505939497E-3</v>
          </cell>
          <cell r="K643">
            <v>1.3113968054943E-2</v>
          </cell>
          <cell r="L643">
            <v>1.0449149241235601E-2</v>
          </cell>
          <cell r="M643">
            <v>9.3261444050788695E-3</v>
          </cell>
          <cell r="N643">
            <v>1.61200151063698E-2</v>
          </cell>
          <cell r="O643">
            <v>5.8360024774141298E-3</v>
          </cell>
        </row>
        <row r="644">
          <cell r="A644" t="str">
            <v>D-T-ELC-Bus_u_S1</v>
          </cell>
          <cell r="B644" t="str">
            <v>VAR_cap</v>
          </cell>
          <cell r="C644" t="str">
            <v>-</v>
          </cell>
          <cell r="D644">
            <v>3.9062599525668903E-5</v>
          </cell>
          <cell r="E644">
            <v>7.8431912951146195E-5</v>
          </cell>
          <cell r="F644">
            <v>1.6843599533910799E-4</v>
          </cell>
          <cell r="G644">
            <v>2.5719557070404801E-2</v>
          </cell>
          <cell r="H644">
            <v>2.5825843887656099E-2</v>
          </cell>
          <cell r="I644">
            <v>2.66607941831878E-2</v>
          </cell>
          <cell r="J644">
            <v>2.6456852431496501E-2</v>
          </cell>
          <cell r="K644">
            <v>2.55819985098748E-2</v>
          </cell>
          <cell r="L644">
            <v>2.5932507063809899E-2</v>
          </cell>
          <cell r="M644">
            <v>2.64941538574677E-2</v>
          </cell>
          <cell r="N644">
            <v>2.7296932921498301E-2</v>
          </cell>
          <cell r="O644">
            <v>2.8249885835913702E-2</v>
          </cell>
        </row>
        <row r="645">
          <cell r="A645" t="str">
            <v>T-Plg-DSL-mix_S1</v>
          </cell>
          <cell r="B645" t="str">
            <v>VAR_fout</v>
          </cell>
          <cell r="C645" t="str">
            <v>CO2_T</v>
          </cell>
          <cell r="D645">
            <v>1.23669207263243E-3</v>
          </cell>
          <cell r="E645">
            <v>1.589159448691671E-2</v>
          </cell>
          <cell r="F645">
            <v>2.1926084928635379E-2</v>
          </cell>
          <cell r="G645">
            <v>2.9815800397417411E-2</v>
          </cell>
          <cell r="H645">
            <v>2.86156864647483E-2</v>
          </cell>
          <cell r="I645">
            <v>1.3784182554551879E-2</v>
          </cell>
          <cell r="J645">
            <v>4.4891923282060701E-2</v>
          </cell>
          <cell r="K645">
            <v>2.6040973034076403E-2</v>
          </cell>
          <cell r="L645">
            <v>0.1130113677345447</v>
          </cell>
          <cell r="M645">
            <v>5.2421164760439801E-3</v>
          </cell>
          <cell r="N645">
            <v>3.2424229426124703E-3</v>
          </cell>
          <cell r="O645">
            <v>3.1053499448310301E-3</v>
          </cell>
        </row>
        <row r="646">
          <cell r="A646" t="str">
            <v>T-Plg-DSL-mix_S1</v>
          </cell>
          <cell r="B646" t="str">
            <v>VAR_fout</v>
          </cell>
          <cell r="C646" t="str">
            <v>T-PEVmix-ELC_DSL_S1</v>
          </cell>
          <cell r="D646">
            <v>1.2289407226299972E-5</v>
          </cell>
          <cell r="E646">
            <v>1.5791989004120533E-4</v>
          </cell>
          <cell r="F646">
            <v>2.1788656410877511E-4</v>
          </cell>
          <cell r="G646">
            <v>2.9628920648127021E-4</v>
          </cell>
          <cell r="H646">
            <v>2.8436328800656677E-4</v>
          </cell>
          <cell r="I646">
            <v>1.4123831693235096E-4</v>
          </cell>
          <cell r="J646">
            <v>4.8956539914114751E-4</v>
          </cell>
          <cell r="K646">
            <v>2.9860973293130823E-4</v>
          </cell>
          <cell r="L646">
            <v>1.373015955057967E-3</v>
          </cell>
          <cell r="M646">
            <v>6.6748601909908043E-5</v>
          </cell>
          <cell r="N646">
            <v>4.2429116700005782E-5</v>
          </cell>
          <cell r="O646">
            <v>4.2941601505842586E-5</v>
          </cell>
        </row>
        <row r="647">
          <cell r="A647" t="str">
            <v>T-Plg-DSL-mix_S1</v>
          </cell>
          <cell r="B647" t="str">
            <v>VAR_fin</v>
          </cell>
          <cell r="C647" t="str">
            <v>TDSL</v>
          </cell>
          <cell r="D647">
            <v>1.6871651741233652E-5</v>
          </cell>
          <cell r="E647">
            <v>2.1680210759777229E-4</v>
          </cell>
          <cell r="F647">
            <v>2.9912803449707302E-4</v>
          </cell>
          <cell r="G647">
            <v>4.0676398905071517E-4</v>
          </cell>
          <cell r="H647">
            <v>3.9039135695427481E-4</v>
          </cell>
          <cell r="I647">
            <v>1.8805160374559169E-4</v>
          </cell>
          <cell r="J647">
            <v>6.1244097247013156E-4</v>
          </cell>
          <cell r="K647">
            <v>3.552656621292818E-4</v>
          </cell>
          <cell r="L647">
            <v>1.5417649077018372E-3</v>
          </cell>
          <cell r="M647">
            <v>7.1515913725020229E-5</v>
          </cell>
          <cell r="N647">
            <v>4.4234965110674839E-5</v>
          </cell>
          <cell r="O647">
            <v>4.2364937855812138E-5</v>
          </cell>
        </row>
        <row r="648">
          <cell r="A648" t="str">
            <v>T_B_u-BEVELC-S3</v>
          </cell>
          <cell r="B648" t="str">
            <v>VAR_fout</v>
          </cell>
          <cell r="C648" t="str">
            <v>TPBSu</v>
          </cell>
          <cell r="D648">
            <v>5.9713902371256111E-4</v>
          </cell>
          <cell r="E648">
            <v>1.3404188790977066E-3</v>
          </cell>
          <cell r="F648">
            <v>1.5244521059460212E-3</v>
          </cell>
          <cell r="G648">
            <v>0.17409002802022175</v>
          </cell>
          <cell r="H648">
            <v>0.18168537215538966</v>
          </cell>
          <cell r="I648">
            <v>0.18941113497727979</v>
          </cell>
          <cell r="J648">
            <v>0.19601269274967809</v>
          </cell>
          <cell r="K648">
            <v>0.20261460559134309</v>
          </cell>
          <cell r="L648">
            <v>0.20829995179788757</v>
          </cell>
          <cell r="M648">
            <v>0.21422905572643205</v>
          </cell>
          <cell r="N648">
            <v>0.22077585903896388</v>
          </cell>
          <cell r="O648">
            <v>0.22831580906067417</v>
          </cell>
        </row>
        <row r="649">
          <cell r="A649" t="str">
            <v>T_B_u-BEVELC-S3</v>
          </cell>
          <cell r="B649" t="str">
            <v>VAR_fin</v>
          </cell>
          <cell r="C649" t="str">
            <v>T-ELC-Bus_u_BatSTGout_S3</v>
          </cell>
          <cell r="D649">
            <v>3.2635825271675658E-3</v>
          </cell>
          <cell r="E649">
            <v>7.2571883405879375E-3</v>
          </cell>
          <cell r="F649">
            <v>8.181098845230406E-3</v>
          </cell>
          <cell r="G649">
            <v>0.80635257772356472</v>
          </cell>
          <cell r="H649">
            <v>0.8283058912600052</v>
          </cell>
          <cell r="I649">
            <v>0.80380450994409414</v>
          </cell>
          <cell r="J649">
            <v>0.80794726099316649</v>
          </cell>
          <cell r="K649">
            <v>0.78565343778272123</v>
          </cell>
          <cell r="L649">
            <v>0.79656167737885886</v>
          </cell>
          <cell r="M649">
            <v>0.81722267678681326</v>
          </cell>
          <cell r="N649">
            <v>0.84219686205464184</v>
          </cell>
          <cell r="O649">
            <v>0.87095961843559633</v>
          </cell>
        </row>
        <row r="650">
          <cell r="A650" t="str">
            <v>T_B_u-BEVELC-S3</v>
          </cell>
          <cell r="B650" t="str">
            <v>VAR_ncap</v>
          </cell>
          <cell r="C650" t="str">
            <v>-</v>
          </cell>
          <cell r="E650">
            <v>2.7339241185973198E-7</v>
          </cell>
          <cell r="F650">
            <v>3.4175238282934202E-6</v>
          </cell>
          <cell r="G650">
            <v>3.7392330540244201E-3</v>
          </cell>
          <cell r="H650">
            <v>1.0274475791136901E-3</v>
          </cell>
          <cell r="I650">
            <v>2.5444406328589001E-3</v>
          </cell>
          <cell r="J650">
            <v>1.3683080917157801E-3</v>
          </cell>
          <cell r="K650">
            <v>2.45262985306832E-3</v>
          </cell>
          <cell r="L650">
            <v>1.26524180293576E-3</v>
          </cell>
          <cell r="M650">
            <v>3.0794059330259498E-3</v>
          </cell>
          <cell r="N650">
            <v>1.08398581993067E-3</v>
          </cell>
          <cell r="O650">
            <v>3.2216962399567398E-3</v>
          </cell>
        </row>
        <row r="651">
          <cell r="A651" t="str">
            <v>T_B_u-BEVELC-S3</v>
          </cell>
          <cell r="B651" t="str">
            <v>VAR_cap</v>
          </cell>
          <cell r="C651" t="str">
            <v>-</v>
          </cell>
          <cell r="D651">
            <v>1.56567672327276E-5</v>
          </cell>
          <cell r="E651">
            <v>2.5383455356202429E-5</v>
          </cell>
          <cell r="F651">
            <v>2.8804542684280151E-5</v>
          </cell>
          <cell r="G651">
            <v>3.7556026400416007E-3</v>
          </cell>
          <cell r="H651">
            <v>3.8662064715301401E-3</v>
          </cell>
          <cell r="I651">
            <v>3.5718882119725901E-3</v>
          </cell>
          <cell r="J651">
            <v>3.69640011171293E-3</v>
          </cell>
          <cell r="K651">
            <v>3.8209379447840999E-3</v>
          </cell>
          <cell r="L651">
            <v>3.9281177741234503E-3</v>
          </cell>
          <cell r="M651">
            <v>4.0399548924643699E-3</v>
          </cell>
          <cell r="N651">
            <v>4.1633917529566196E-3</v>
          </cell>
          <cell r="O651">
            <v>4.30568205988741E-3</v>
          </cell>
        </row>
        <row r="652">
          <cell r="A652" t="str">
            <v>D-T-ELC-Bus_u_S2</v>
          </cell>
          <cell r="B652" t="str">
            <v>VAR_fout</v>
          </cell>
          <cell r="C652" t="str">
            <v>T-ELC-Bus_u_BatSTGin_S2</v>
          </cell>
          <cell r="D652">
            <v>8.9433195962133156E-4</v>
          </cell>
          <cell r="E652">
            <v>1.6568605700020857E-3</v>
          </cell>
          <cell r="F652">
            <v>2.5056038924573206E-3</v>
          </cell>
          <cell r="G652">
            <v>0.12295022384387432</v>
          </cell>
          <cell r="H652">
            <v>0.1224146100121621</v>
          </cell>
          <cell r="I652">
            <v>0.12628019192751211</v>
          </cell>
          <cell r="J652">
            <v>0.12545248570084339</v>
          </cell>
          <cell r="K652">
            <v>0.12103157413580311</v>
          </cell>
          <cell r="L652">
            <v>0.12259274422957919</v>
          </cell>
          <cell r="M652">
            <v>0.1251095505833428</v>
          </cell>
          <cell r="N652">
            <v>0.12887922573337884</v>
          </cell>
          <cell r="O652">
            <v>0.13346732742756159</v>
          </cell>
        </row>
        <row r="653">
          <cell r="A653" t="str">
            <v>D-T-ELC-Bus_u_S2</v>
          </cell>
          <cell r="B653" t="str">
            <v>VAR_fin</v>
          </cell>
          <cell r="C653" t="str">
            <v>TELC</v>
          </cell>
          <cell r="D653">
            <v>8.9433195962133156E-4</v>
          </cell>
          <cell r="E653">
            <v>1.6568605700020857E-3</v>
          </cell>
          <cell r="F653">
            <v>2.5056038924573206E-3</v>
          </cell>
          <cell r="G653">
            <v>0.12295022384387432</v>
          </cell>
          <cell r="H653">
            <v>0.1224146100121621</v>
          </cell>
          <cell r="I653">
            <v>0.12628019192751211</v>
          </cell>
          <cell r="J653">
            <v>0.12545248570084339</v>
          </cell>
          <cell r="K653">
            <v>0.12103157413580311</v>
          </cell>
          <cell r="L653">
            <v>0.12259274422957919</v>
          </cell>
          <cell r="M653">
            <v>0.1251095505833428</v>
          </cell>
          <cell r="N653">
            <v>0.12887922573337884</v>
          </cell>
          <cell r="O653">
            <v>0.13346732742756159</v>
          </cell>
        </row>
        <row r="654">
          <cell r="A654" t="str">
            <v>D-T-ELC-Bus_u_S2</v>
          </cell>
          <cell r="B654" t="str">
            <v>VAR_ncap</v>
          </cell>
          <cell r="C654" t="str">
            <v>-</v>
          </cell>
          <cell r="D654">
            <v>1.00799850226463E-4</v>
          </cell>
          <cell r="E654">
            <v>7.9889057805988193E-5</v>
          </cell>
          <cell r="F654">
            <v>1.00344534152033E-4</v>
          </cell>
          <cell r="G654">
            <v>1.27524801561529E-2</v>
          </cell>
          <cell r="H654">
            <v>1.36166429973185E-4</v>
          </cell>
          <cell r="I654">
            <v>1.0533738782512601E-2</v>
          </cell>
          <cell r="J654">
            <v>2.6564296488590399E-3</v>
          </cell>
          <cell r="K654">
            <v>6.5386251614802E-3</v>
          </cell>
          <cell r="L654">
            <v>5.2249118892566801E-3</v>
          </cell>
          <cell r="M654">
            <v>4.6502968548599597E-3</v>
          </cell>
          <cell r="N654">
            <v>8.0472182415719205E-3</v>
          </cell>
          <cell r="O654">
            <v>2.92433946860655E-3</v>
          </cell>
        </row>
        <row r="655">
          <cell r="A655" t="str">
            <v>D-T-ELC-Bus_u_S2</v>
          </cell>
          <cell r="B655" t="str">
            <v>VAR_cap</v>
          </cell>
          <cell r="C655" t="str">
            <v>-</v>
          </cell>
          <cell r="D655">
            <v>1.00799850226463E-4</v>
          </cell>
          <cell r="E655">
            <v>1.8068890803245099E-4</v>
          </cell>
          <cell r="F655">
            <v>2.8103344218448399E-4</v>
          </cell>
          <cell r="G655">
            <v>1.29958837365724E-2</v>
          </cell>
          <cell r="H655">
            <v>1.29400574859465E-2</v>
          </cell>
          <cell r="I655">
            <v>1.33478869954752E-2</v>
          </cell>
          <cell r="J655">
            <v>1.32607722226062E-2</v>
          </cell>
          <cell r="K655">
            <v>1.27933508782662E-2</v>
          </cell>
          <cell r="L655">
            <v>1.29584274210138E-2</v>
          </cell>
          <cell r="M655">
            <v>1.3225232798548901E-2</v>
          </cell>
          <cell r="N655">
            <v>1.3622961539126699E-2</v>
          </cell>
          <cell r="O655">
            <v>1.4109870228891199E-2</v>
          </cell>
        </row>
        <row r="656">
          <cell r="A656" t="str">
            <v>T-Plg-DSL-mix_S2</v>
          </cell>
          <cell r="B656" t="str">
            <v>VAR_fout</v>
          </cell>
          <cell r="C656" t="str">
            <v>CO2_T</v>
          </cell>
          <cell r="D656">
            <v>3.5322605931855901E-4</v>
          </cell>
          <cell r="E656">
            <v>1.8352916762741263E-2</v>
          </cell>
          <cell r="F656">
            <v>6.1517832075625944E-2</v>
          </cell>
          <cell r="G656">
            <v>0.17985050985423451</v>
          </cell>
          <cell r="H656">
            <v>0.14032050475143698</v>
          </cell>
          <cell r="I656">
            <v>6.7973526206607487E-2</v>
          </cell>
          <cell r="J656">
            <v>0.25455089106577128</v>
          </cell>
          <cell r="K656">
            <v>0.16167687416814311</v>
          </cell>
          <cell r="L656">
            <v>0.1103887864875453</v>
          </cell>
          <cell r="M656">
            <v>9.4203604360387806E-3</v>
          </cell>
          <cell r="N656">
            <v>8.4103183928703196E-3</v>
          </cell>
          <cell r="O656">
            <v>5.2980932846527495E-3</v>
          </cell>
        </row>
        <row r="657">
          <cell r="A657" t="str">
            <v>T-Plg-DSL-mix_S2</v>
          </cell>
          <cell r="B657" t="str">
            <v>VAR_fout</v>
          </cell>
          <cell r="C657" t="str">
            <v>T-PEVmix-ELC_DSL_S2</v>
          </cell>
          <cell r="D657">
            <v>2.8697764822325458E-6</v>
          </cell>
          <cell r="E657">
            <v>1.4910782349324551E-4</v>
          </cell>
          <cell r="F657">
            <v>4.9980012253101258E-4</v>
          </cell>
          <cell r="G657">
            <v>1.4611910698008271E-3</v>
          </cell>
          <cell r="H657">
            <v>1.1400305098880257E-3</v>
          </cell>
          <cell r="I657">
            <v>5.7503288854572837E-4</v>
          </cell>
          <cell r="J657">
            <v>2.2996158215900114E-3</v>
          </cell>
          <cell r="K657">
            <v>1.5418577186291943E-3</v>
          </cell>
          <cell r="L657">
            <v>1.1017495740948734E-3</v>
          </cell>
          <cell r="M657">
            <v>9.8773328358743012E-5</v>
          </cell>
          <cell r="N657">
            <v>9.0799809997653988E-5</v>
          </cell>
          <cell r="O657">
            <v>6.0408427896965617E-5</v>
          </cell>
        </row>
        <row r="658">
          <cell r="A658" t="str">
            <v>T-Plg-DSL-mix_S2</v>
          </cell>
          <cell r="B658" t="str">
            <v>VAR_fin</v>
          </cell>
          <cell r="C658" t="str">
            <v>TDSL</v>
          </cell>
          <cell r="D658">
            <v>4.8189094040731002E-6</v>
          </cell>
          <cell r="E658">
            <v>2.5038085624476479E-4</v>
          </cell>
          <cell r="F658">
            <v>8.3926101058152806E-4</v>
          </cell>
          <cell r="G658">
            <v>2.4536222353920101E-3</v>
          </cell>
          <cell r="H658">
            <v>1.9143315791464812E-3</v>
          </cell>
          <cell r="I658">
            <v>9.2733323610651403E-4</v>
          </cell>
          <cell r="J658">
            <v>3.4727270268181567E-3</v>
          </cell>
          <cell r="K658">
            <v>2.2056872328532428E-3</v>
          </cell>
          <cell r="L658">
            <v>1.5059861730906581E-3</v>
          </cell>
          <cell r="M658">
            <v>1.2851787770857829E-4</v>
          </cell>
          <cell r="N658">
            <v>1.1473831368172331E-4</v>
          </cell>
          <cell r="O658">
            <v>7.2279580963884805E-5</v>
          </cell>
        </row>
        <row r="659">
          <cell r="A659" t="str">
            <v>T_B_u-BEVELC-S4</v>
          </cell>
          <cell r="B659" t="str">
            <v>VAR_fout</v>
          </cell>
          <cell r="C659" t="str">
            <v>TPBSu</v>
          </cell>
          <cell r="D659">
            <v>8.6216920767161067E-6</v>
          </cell>
          <cell r="E659">
            <v>3.6215986874951096E-6</v>
          </cell>
          <cell r="F659">
            <v>1.2495884993505614E-5</v>
          </cell>
          <cell r="G659">
            <v>1.5544229870570042E-3</v>
          </cell>
          <cell r="H659">
            <v>1.4141991451926763E-4</v>
          </cell>
          <cell r="I659">
            <v>5.004899395008476E-6</v>
          </cell>
          <cell r="J659">
            <v>4.9026166991708669E-6</v>
          </cell>
          <cell r="K659">
            <v>1.2009399507958597E-5</v>
          </cell>
          <cell r="L659">
            <v>7.3040511000627399E-6</v>
          </cell>
          <cell r="M659">
            <v>1.0398781577212697E-5</v>
          </cell>
          <cell r="N659">
            <v>1.3125318850996957E-5</v>
          </cell>
          <cell r="O659">
            <v>2.349257318264758E-5</v>
          </cell>
        </row>
        <row r="660">
          <cell r="A660" t="str">
            <v>T_B_u-BEVELC-S4</v>
          </cell>
          <cell r="B660" t="str">
            <v>VAR_fin</v>
          </cell>
          <cell r="C660" t="str">
            <v>T-ELC-Bus_u_BatSTGout_S4</v>
          </cell>
          <cell r="D660">
            <v>7.0677076676784037E-5</v>
          </cell>
          <cell r="E660">
            <v>2.8754972899514592E-5</v>
          </cell>
          <cell r="F660">
            <v>9.6985986805082127E-5</v>
          </cell>
          <cell r="G660">
            <v>1.078021707423972E-2</v>
          </cell>
          <cell r="H660">
            <v>9.7815108022243635E-4</v>
          </cell>
          <cell r="I660">
            <v>3.1692746853104982E-5</v>
          </cell>
          <cell r="J660">
            <v>2.9566930066339988E-5</v>
          </cell>
          <cell r="K660">
            <v>6.9622867515589995E-5</v>
          </cell>
          <cell r="L660">
            <v>4.1624182383854946E-5</v>
          </cell>
          <cell r="M660">
            <v>5.926037140348781E-5</v>
          </cell>
          <cell r="N660">
            <v>7.4798308256010626E-5</v>
          </cell>
          <cell r="O660">
            <v>1.338790128141604E-4</v>
          </cell>
        </row>
        <row r="661">
          <cell r="A661" t="str">
            <v>T_B_u-BEVELC-S4</v>
          </cell>
          <cell r="B661" t="str">
            <v>VAR_ncap</v>
          </cell>
          <cell r="C661" t="str">
            <v>-</v>
          </cell>
          <cell r="E661">
            <v>6.9907439577386397E-8</v>
          </cell>
          <cell r="F661">
            <v>1.1071047053006399E-7</v>
          </cell>
          <cell r="G661">
            <v>1.69955264639494E-4</v>
          </cell>
          <cell r="H661">
            <v>2.2169948140927701E-7</v>
          </cell>
          <cell r="I661">
            <v>1.1577234394145E-7</v>
          </cell>
          <cell r="J661">
            <v>1.34693574753955E-7</v>
          </cell>
          <cell r="K661">
            <v>1.92746690348017E-7</v>
          </cell>
          <cell r="L661">
            <v>1.7766207282440501E-7</v>
          </cell>
          <cell r="M661">
            <v>2.3526118389038701E-7</v>
          </cell>
          <cell r="N661">
            <v>2.3856123789947098E-7</v>
          </cell>
          <cell r="O661">
            <v>3.5205204077812303E-7</v>
          </cell>
        </row>
        <row r="662">
          <cell r="A662" t="str">
            <v>T_B_u-BEVELC-S4</v>
          </cell>
          <cell r="B662" t="str">
            <v>VAR_cap</v>
          </cell>
          <cell r="C662" t="str">
            <v>-</v>
          </cell>
          <cell r="D662">
            <v>2.90586197044841E-7</v>
          </cell>
          <cell r="E662">
            <v>2.221168518926814E-7</v>
          </cell>
          <cell r="F662">
            <v>3.0761887564426305E-7</v>
          </cell>
          <cell r="G662">
            <v>1.7007755284346977E-4</v>
          </cell>
          <cell r="H662">
            <v>4.42969656870597E-5</v>
          </cell>
          <cell r="I662">
            <v>1.6756511962595199E-7</v>
          </cell>
          <cell r="J662">
            <v>1.8150215018446421E-7</v>
          </cell>
          <cell r="K662">
            <v>2.8364637805262898E-7</v>
          </cell>
          <cell r="L662">
            <v>2.3230794862794863E-7</v>
          </cell>
          <cell r="M662">
            <v>2.8133509146243699E-7</v>
          </cell>
          <cell r="N662">
            <v>3.241819402019176E-7</v>
          </cell>
          <cell r="O662">
            <v>5.1304815409013403E-7</v>
          </cell>
        </row>
        <row r="663">
          <cell r="A663" t="str">
            <v>D-TBDS1</v>
          </cell>
          <cell r="B663" t="str">
            <v>VAR_fout</v>
          </cell>
          <cell r="C663" t="str">
            <v>TDSL</v>
          </cell>
          <cell r="D663">
            <v>2.9712638920671006</v>
          </cell>
          <cell r="E663">
            <v>2.970934652699599</v>
          </cell>
          <cell r="F663">
            <v>4.4340848989654464</v>
          </cell>
          <cell r="G663">
            <v>3.0455280725863885</v>
          </cell>
          <cell r="H663">
            <v>2.9715908149429682</v>
          </cell>
          <cell r="I663">
            <v>2.9709975738043783</v>
          </cell>
          <cell r="J663">
            <v>3.8719685835451001</v>
          </cell>
          <cell r="K663">
            <v>5.3704690332302754</v>
          </cell>
          <cell r="L663">
            <v>3.2957224690370364</v>
          </cell>
          <cell r="M663">
            <v>3.272897452532463</v>
          </cell>
          <cell r="N663">
            <v>3.1632194689499031</v>
          </cell>
          <cell r="O663">
            <v>2.9857667196734106</v>
          </cell>
        </row>
        <row r="664">
          <cell r="A664" t="str">
            <v>D-TBDS1</v>
          </cell>
          <cell r="B664" t="str">
            <v>VAR_fout</v>
          </cell>
          <cell r="C664" t="str">
            <v>TKER</v>
          </cell>
          <cell r="D664">
            <v>3.3950520625614301E-4</v>
          </cell>
          <cell r="E664">
            <v>6.1967493696691697E-6</v>
          </cell>
          <cell r="F664">
            <v>4.2917365554131202E-4</v>
          </cell>
          <cell r="G664">
            <v>1.6061217991256201E-2</v>
          </cell>
          <cell r="H664">
            <v>7.3697683955609703E-4</v>
          </cell>
          <cell r="I664">
            <v>1.02278798354296E-4</v>
          </cell>
          <cell r="J664">
            <v>3.11511874996137E-3</v>
          </cell>
          <cell r="K664">
            <v>1.69077836421814</v>
          </cell>
          <cell r="L664">
            <v>1.50963631158895</v>
          </cell>
          <cell r="M664">
            <v>1.34792232701452</v>
          </cell>
          <cell r="N664">
            <v>1.2035729233655399</v>
          </cell>
          <cell r="O664">
            <v>1.07459760555129</v>
          </cell>
        </row>
        <row r="665">
          <cell r="A665" t="str">
            <v>D-TBDS1</v>
          </cell>
          <cell r="B665" t="str">
            <v>VAR_fin</v>
          </cell>
          <cell r="C665" t="str">
            <v>BDS</v>
          </cell>
          <cell r="D665">
            <v>3.0159256411371347</v>
          </cell>
          <cell r="E665">
            <v>3.0152530321203552</v>
          </cell>
          <cell r="F665">
            <v>4.5006561873024387</v>
          </cell>
          <cell r="G665">
            <v>3.1072524924112876</v>
          </cell>
          <cell r="H665">
            <v>3.0166609581125412</v>
          </cell>
          <cell r="I665">
            <v>3.0154144998177403</v>
          </cell>
          <cell r="J665">
            <v>3.9328817407401959</v>
          </cell>
          <cell r="K665">
            <v>7.1665674348830803</v>
          </cell>
          <cell r="L665">
            <v>4.8770321590296719</v>
          </cell>
          <cell r="M665">
            <v>4.689740627068204</v>
          </cell>
          <cell r="N665">
            <v>4.4319242825249745</v>
          </cell>
          <cell r="O665">
            <v>4.1209257847845713</v>
          </cell>
        </row>
        <row r="666">
          <cell r="A666" t="str">
            <v>D-T-ELC-Bus_u_S3</v>
          </cell>
          <cell r="B666" t="str">
            <v>VAR_fout</v>
          </cell>
          <cell r="C666" t="str">
            <v>T-ELC-Bus_u_BatSTGin_S3</v>
          </cell>
          <cell r="D666">
            <v>3.2508765915164831E-3</v>
          </cell>
          <cell r="E666">
            <v>7.2573252301228967E-3</v>
          </cell>
          <cell r="F666">
            <v>8.1821860325720242E-3</v>
          </cell>
          <cell r="G666">
            <v>0.80645456315869346</v>
          </cell>
          <cell r="H666">
            <v>0.8284119751461112</v>
          </cell>
          <cell r="I666">
            <v>0.80390884934060702</v>
          </cell>
          <cell r="J666">
            <v>0.80805996262518276</v>
          </cell>
          <cell r="K666">
            <v>0.78580653326355077</v>
          </cell>
          <cell r="L666">
            <v>0.79668757065437346</v>
          </cell>
          <cell r="M666">
            <v>0.81737970779451763</v>
          </cell>
          <cell r="N666">
            <v>0.84234308807976066</v>
          </cell>
          <cell r="O666">
            <v>0.87118278324315546</v>
          </cell>
        </row>
        <row r="667">
          <cell r="A667" t="str">
            <v>D-T-ELC-Bus_u_S3</v>
          </cell>
          <cell r="B667" t="str">
            <v>VAR_fin</v>
          </cell>
          <cell r="C667" t="str">
            <v>TELC</v>
          </cell>
          <cell r="D667">
            <v>3.2508765915164831E-3</v>
          </cell>
          <cell r="E667">
            <v>7.2573252301228967E-3</v>
          </cell>
          <cell r="F667">
            <v>8.1821860325720242E-3</v>
          </cell>
          <cell r="G667">
            <v>0.80645456315869346</v>
          </cell>
          <cell r="H667">
            <v>0.8284119751461112</v>
          </cell>
          <cell r="I667">
            <v>0.80390884934060702</v>
          </cell>
          <cell r="J667">
            <v>0.80805996262518276</v>
          </cell>
          <cell r="K667">
            <v>0.78580653326355077</v>
          </cell>
          <cell r="L667">
            <v>0.79668757065437346</v>
          </cell>
          <cell r="M667">
            <v>0.81737970779451763</v>
          </cell>
          <cell r="N667">
            <v>0.84234308807976066</v>
          </cell>
          <cell r="O667">
            <v>0.87118278324315546</v>
          </cell>
        </row>
        <row r="668">
          <cell r="A668" t="str">
            <v>D-T-ELC-Bus_u_S3</v>
          </cell>
          <cell r="B668" t="str">
            <v>VAR_ncap</v>
          </cell>
          <cell r="C668" t="str">
            <v>-</v>
          </cell>
          <cell r="D668">
            <v>3.44258902075895E-4</v>
          </cell>
          <cell r="E668">
            <v>4.2332646368141099E-4</v>
          </cell>
          <cell r="F668">
            <v>9.9613042801170794E-5</v>
          </cell>
          <cell r="G668">
            <v>8.4736390986396598E-2</v>
          </cell>
          <cell r="H668">
            <v>2.3232399207965802E-2</v>
          </cell>
          <cell r="I668">
            <v>6.1740224757008799E-2</v>
          </cell>
          <cell r="J668">
            <v>2.9221788551358499E-2</v>
          </cell>
          <cell r="K668">
            <v>5.38375425777552E-2</v>
          </cell>
          <cell r="L668">
            <v>2.58818983555986E-2</v>
          </cell>
          <cell r="M668">
            <v>6.6747505924096506E-2</v>
          </cell>
          <cell r="N668">
            <v>2.2287819378344599E-2</v>
          </cell>
          <cell r="O668">
            <v>6.9796162343968904E-2</v>
          </cell>
        </row>
        <row r="669">
          <cell r="A669" t="str">
            <v>D-T-ELC-Bus_u_S3</v>
          </cell>
          <cell r="B669" t="str">
            <v>VAR_cap</v>
          </cell>
          <cell r="C669" t="str">
            <v>-</v>
          </cell>
          <cell r="D669">
            <v>3.44258902075895E-4</v>
          </cell>
          <cell r="E669">
            <v>7.6758536575730605E-4</v>
          </cell>
          <cell r="F669">
            <v>8.6719840855847699E-4</v>
          </cell>
          <cell r="G669">
            <v>8.5241673634535303E-2</v>
          </cell>
          <cell r="H669">
            <v>8.7562752504617897E-2</v>
          </cell>
          <cell r="I669">
            <v>8.4972623964974597E-2</v>
          </cell>
          <cell r="J669">
            <v>8.5411550219508497E-2</v>
          </cell>
          <cell r="K669">
            <v>8.3059331129113706E-2</v>
          </cell>
          <cell r="L669">
            <v>8.4209487907880201E-2</v>
          </cell>
          <cell r="M669">
            <v>8.6396580493144304E-2</v>
          </cell>
          <cell r="N669">
            <v>8.9035325302441098E-2</v>
          </cell>
          <cell r="O669">
            <v>9.2083981722313496E-2</v>
          </cell>
        </row>
        <row r="670">
          <cell r="A670" t="str">
            <v>T-Plg-DSL-mix_S3</v>
          </cell>
          <cell r="B670" t="str">
            <v>VAR_fout</v>
          </cell>
          <cell r="C670" t="str">
            <v>CO2_T</v>
          </cell>
          <cell r="D670">
            <v>6.9234182216684204E-3</v>
          </cell>
          <cell r="E670">
            <v>52.963153491857099</v>
          </cell>
          <cell r="F670">
            <v>105.46029828348659</v>
          </cell>
          <cell r="G670">
            <v>515.36097870229639</v>
          </cell>
          <cell r="H670">
            <v>697.69178235140998</v>
          </cell>
          <cell r="I670">
            <v>398.01114547344127</v>
          </cell>
          <cell r="J670">
            <v>330.73870504744377</v>
          </cell>
          <cell r="K670">
            <v>96.628815829143932</v>
          </cell>
          <cell r="L670">
            <v>62.491548617463415</v>
          </cell>
          <cell r="M670">
            <v>1.26741093202639E-2</v>
          </cell>
          <cell r="N670">
            <v>1.1071343646483101E-2</v>
          </cell>
          <cell r="O670">
            <v>6.0512973457268696E-3</v>
          </cell>
        </row>
        <row r="671">
          <cell r="A671" t="str">
            <v>T-Plg-DSL-mix_S3</v>
          </cell>
          <cell r="B671" t="str">
            <v>VAR_fout</v>
          </cell>
          <cell r="C671" t="str">
            <v>T-PEVmix-ELC_DSL_S3</v>
          </cell>
          <cell r="D671">
            <v>5.2287668468747521E-5</v>
          </cell>
          <cell r="E671">
            <v>0.39999314242990469</v>
          </cell>
          <cell r="F671">
            <v>0.79646685159131281</v>
          </cell>
          <cell r="G671">
            <v>3.8921560323740114</v>
          </cell>
          <cell r="H671">
            <v>5.2691713025201112</v>
          </cell>
          <cell r="I671">
            <v>3.1836065059756398</v>
          </cell>
          <cell r="J671">
            <v>2.7932095900309224</v>
          </cell>
          <cell r="K671">
            <v>0.86502377556282695</v>
          </cell>
          <cell r="L671">
            <v>0.59108228141662622</v>
          </cell>
          <cell r="M671">
            <v>1.2375052051221341E-4</v>
          </cell>
          <cell r="N671">
            <v>1.1139052329705128E-4</v>
          </cell>
          <cell r="O671">
            <v>6.4233169880674747E-5</v>
          </cell>
        </row>
        <row r="672">
          <cell r="A672" t="str">
            <v>T-Plg-DSL-mix_S3</v>
          </cell>
          <cell r="B672" t="str">
            <v>VAR_fin</v>
          </cell>
          <cell r="C672" t="str">
            <v>TDSL</v>
          </cell>
          <cell r="D672">
            <v>9.4453181741724763E-5</v>
          </cell>
          <cell r="E672">
            <v>0.72255325364061618</v>
          </cell>
          <cell r="F672">
            <v>1.4387489533899969</v>
          </cell>
          <cell r="G672">
            <v>7.0308455484624242</v>
          </cell>
          <cell r="H672">
            <v>9.5183053526795263</v>
          </cell>
          <cell r="I672">
            <v>5.4298928441124357</v>
          </cell>
          <cell r="J672">
            <v>4.5121242161997719</v>
          </cell>
          <cell r="K672">
            <v>1.318264881707284</v>
          </cell>
          <cell r="L672">
            <v>0.85254500160250313</v>
          </cell>
          <cell r="M672">
            <v>1.7290735771164958E-4</v>
          </cell>
          <cell r="N672">
            <v>1.5104152314438063E-4</v>
          </cell>
          <cell r="O672">
            <v>8.2555216176355664E-5</v>
          </cell>
        </row>
        <row r="673">
          <cell r="A673" t="str">
            <v>D-T-ELC-Bus_u_S4</v>
          </cell>
          <cell r="B673" t="str">
            <v>VAR_fout</v>
          </cell>
          <cell r="C673" t="str">
            <v>T-ELC-Bus_u_BatSTGin_S4</v>
          </cell>
          <cell r="D673">
            <v>8.4267631585968459E-5</v>
          </cell>
          <cell r="E673">
            <v>7.918764404525609E-5</v>
          </cell>
          <cell r="F673">
            <v>1.3436490509941939E-4</v>
          </cell>
          <cell r="G673">
            <v>1.0834518792379302E-2</v>
          </cell>
          <cell r="H673">
            <v>2.8358990176520884E-3</v>
          </cell>
          <cell r="I673">
            <v>1.0660157398556533E-4</v>
          </cell>
          <cell r="J673">
            <v>1.1002914802154382E-4</v>
          </cell>
          <cell r="K673">
            <v>2.3694139813399144E-4</v>
          </cell>
          <cell r="L673">
            <v>1.7124229430508291E-4</v>
          </cell>
          <cell r="M673">
            <v>2.2931408671311739E-4</v>
          </cell>
          <cell r="N673">
            <v>2.4529298251644302E-4</v>
          </cell>
          <cell r="O673">
            <v>4.3083840558711745E-4</v>
          </cell>
        </row>
        <row r="674">
          <cell r="A674" t="str">
            <v>D-T-ELC-Bus_u_S4</v>
          </cell>
          <cell r="B674" t="str">
            <v>VAR_fin</v>
          </cell>
          <cell r="C674" t="str">
            <v>TELC</v>
          </cell>
          <cell r="D674">
            <v>8.4267631585968459E-5</v>
          </cell>
          <cell r="E674">
            <v>7.918764404525609E-5</v>
          </cell>
          <cell r="F674">
            <v>1.3436490509941939E-4</v>
          </cell>
          <cell r="G674">
            <v>1.0834518792379302E-2</v>
          </cell>
          <cell r="H674">
            <v>2.8358990176520884E-3</v>
          </cell>
          <cell r="I674">
            <v>1.0660157398556533E-4</v>
          </cell>
          <cell r="J674">
            <v>1.1002914802154382E-4</v>
          </cell>
          <cell r="K674">
            <v>2.3694139813399144E-4</v>
          </cell>
          <cell r="L674">
            <v>1.7124229430508291E-4</v>
          </cell>
          <cell r="M674">
            <v>2.2931408671311739E-4</v>
          </cell>
          <cell r="N674">
            <v>2.4529298251644302E-4</v>
          </cell>
          <cell r="O674">
            <v>4.3083840558711745E-4</v>
          </cell>
        </row>
        <row r="675">
          <cell r="A675" t="str">
            <v>D-T-ELC-Bus_u_S4</v>
          </cell>
          <cell r="B675" t="str">
            <v>VAR_ncap</v>
          </cell>
          <cell r="C675" t="str">
            <v>-</v>
          </cell>
          <cell r="D675">
            <v>2.6348029657473E-5</v>
          </cell>
          <cell r="E675">
            <v>2.3288581223791001E-5</v>
          </cell>
          <cell r="F675">
            <v>3.2343679298791302E-5</v>
          </cell>
          <cell r="G675">
            <v>1.1106314901518E-3</v>
          </cell>
          <cell r="H675">
            <v>1.9380528328499701E-5</v>
          </cell>
          <cell r="I675">
            <v>1.8264043066221101E-5</v>
          </cell>
          <cell r="J675">
            <v>2.1610040820715401E-5</v>
          </cell>
          <cell r="K675">
            <v>2.4863458332309601E-5</v>
          </cell>
          <cell r="L675">
            <v>2.93999658650562E-5</v>
          </cell>
          <cell r="M675">
            <v>3.2153622581132402E-5</v>
          </cell>
          <cell r="N675">
            <v>3.6236105409652303E-5</v>
          </cell>
          <cell r="O675">
            <v>5.0889764733363399E-5</v>
          </cell>
        </row>
        <row r="676">
          <cell r="A676" t="str">
            <v>D-T-ELC-Bus_u_S4</v>
          </cell>
          <cell r="B676" t="str">
            <v>VAR_cap</v>
          </cell>
          <cell r="C676" t="str">
            <v>-</v>
          </cell>
          <cell r="D676">
            <v>2.6348029657473E-5</v>
          </cell>
          <cell r="E676">
            <v>4.9636610881264001E-5</v>
          </cell>
          <cell r="F676">
            <v>8.1980290180055397E-5</v>
          </cell>
          <cell r="G676">
            <v>1.1454152308238001E-3</v>
          </cell>
          <cell r="H676">
            <v>3.0740560768484501E-4</v>
          </cell>
          <cell r="I676">
            <v>3.3957486746970102E-5</v>
          </cell>
          <cell r="J676">
            <v>3.1080147982965299E-5</v>
          </cell>
          <cell r="K676">
            <v>3.9447271743418698E-5</v>
          </cell>
          <cell r="L676">
            <v>4.7592477667961698E-5</v>
          </cell>
          <cell r="M676">
            <v>3.9778048483372303E-5</v>
          </cell>
          <cell r="N676">
            <v>5.81965894384044E-5</v>
          </cell>
          <cell r="O676">
            <v>7.5344165556755997E-5</v>
          </cell>
        </row>
        <row r="677">
          <cell r="A677" t="str">
            <v>T_C-FC-H2O-S1</v>
          </cell>
          <cell r="B677" t="str">
            <v>VAR_fout</v>
          </cell>
          <cell r="C677" t="str">
            <v>TPCAR</v>
          </cell>
          <cell r="E677">
            <v>7.9017225283388721E-6</v>
          </cell>
          <cell r="F677">
            <v>9.5832216279292805E-6</v>
          </cell>
          <cell r="G677">
            <v>1.0247006628063801E-8</v>
          </cell>
          <cell r="H677">
            <v>1.3971490793675259E-7</v>
          </cell>
          <cell r="I677">
            <v>5.2839886026962021E-7</v>
          </cell>
          <cell r="J677">
            <v>1.6525869470059992E-7</v>
          </cell>
          <cell r="K677">
            <v>1.386142559437981E-7</v>
          </cell>
          <cell r="L677">
            <v>2.04458729917416E-8</v>
          </cell>
          <cell r="M677">
            <v>2.1524011103630899E-8</v>
          </cell>
          <cell r="O677">
            <v>1.1650840094285218E-6</v>
          </cell>
        </row>
        <row r="678">
          <cell r="A678" t="str">
            <v>T_C-FC-H2O-S1</v>
          </cell>
          <cell r="B678" t="str">
            <v>VAR_fin</v>
          </cell>
          <cell r="C678" t="str">
            <v>TH2O</v>
          </cell>
          <cell r="E678">
            <v>7.205855474669106E-6</v>
          </cell>
          <cell r="F678">
            <v>8.7392729604109106E-6</v>
          </cell>
          <cell r="G678">
            <v>9.3446015783253093E-9</v>
          </cell>
          <cell r="H678">
            <v>1.1977563995242821E-7</v>
          </cell>
          <cell r="I678">
            <v>4.2895953459624698E-7</v>
          </cell>
          <cell r="J678">
            <v>1.2714148257779438E-7</v>
          </cell>
          <cell r="K678">
            <v>9.9766046310150897E-8</v>
          </cell>
          <cell r="L678">
            <v>1.375288235567956E-8</v>
          </cell>
          <cell r="M678">
            <v>1.3642401638053319E-8</v>
          </cell>
          <cell r="O678">
            <v>7.3845641140819446E-7</v>
          </cell>
        </row>
        <row r="679">
          <cell r="A679" t="str">
            <v>T_C-FC-H2O-S1</v>
          </cell>
          <cell r="B679" t="str">
            <v>VAR_ncap</v>
          </cell>
          <cell r="C679" t="str">
            <v>-</v>
          </cell>
          <cell r="E679">
            <v>9.8245384011798297E-7</v>
          </cell>
          <cell r="F679">
            <v>4.2984177764987701E-7</v>
          </cell>
          <cell r="G679">
            <v>7.2658163047008301E-8</v>
          </cell>
          <cell r="H679">
            <v>1.0044449265443E-7</v>
          </cell>
          <cell r="I679">
            <v>1.65158403480778E-7</v>
          </cell>
          <cell r="J679">
            <v>1.1526840987158799E-7</v>
          </cell>
          <cell r="K679">
            <v>1.02277806348376E-7</v>
          </cell>
          <cell r="L679">
            <v>7.6566393275901006E-8</v>
          </cell>
          <cell r="M679">
            <v>7.8603853252477999E-8</v>
          </cell>
          <cell r="N679">
            <v>5.5629478228821598E-8</v>
          </cell>
          <cell r="O679">
            <v>2.2255875921113199E-7</v>
          </cell>
        </row>
        <row r="680">
          <cell r="A680" t="str">
            <v>T_C-FC-H2O-S1</v>
          </cell>
          <cell r="B680" t="str">
            <v>VAR_cap</v>
          </cell>
          <cell r="C680" t="str">
            <v>-</v>
          </cell>
          <cell r="E680">
            <v>9.6937428387454498E-7</v>
          </cell>
          <cell r="F680">
            <v>1.3380078062959699E-6</v>
          </cell>
          <cell r="G680">
            <v>1.8678329226854397E-7</v>
          </cell>
          <cell r="H680">
            <v>2.4942146775298994E-7</v>
          </cell>
          <cell r="I680">
            <v>2.9873049181368183E-7</v>
          </cell>
          <cell r="J680">
            <v>2.6369279239948463E-7</v>
          </cell>
          <cell r="K680">
            <v>2.4961779641739897E-7</v>
          </cell>
          <cell r="L680">
            <v>2.1825876335369206E-7</v>
          </cell>
          <cell r="M680">
            <v>1.889867849831282E-7</v>
          </cell>
          <cell r="N680">
            <v>1.346427177270232E-7</v>
          </cell>
          <cell r="O680">
            <v>3.5679209069243098E-7</v>
          </cell>
        </row>
        <row r="681">
          <cell r="A681" t="str">
            <v>T_B_c-ICEDSL-S1</v>
          </cell>
          <cell r="B681" t="str">
            <v>VAR_fout</v>
          </cell>
          <cell r="C681" t="str">
            <v>CO2_T</v>
          </cell>
          <cell r="D681">
            <v>8.3173459173537605</v>
          </cell>
          <cell r="E681">
            <v>22.703782728511612</v>
          </cell>
          <cell r="F681">
            <v>27.03410074334716</v>
          </cell>
          <cell r="G681">
            <v>0.33262765150432083</v>
          </cell>
          <cell r="J681">
            <v>1.7706413636289601E-5</v>
          </cell>
          <cell r="K681">
            <v>1.7686976452150602E-5</v>
          </cell>
        </row>
        <row r="682">
          <cell r="A682" t="str">
            <v>T_B_c-ICEDSL-S1</v>
          </cell>
          <cell r="B682" t="str">
            <v>VAR_fout</v>
          </cell>
          <cell r="C682" t="str">
            <v>TPBSc</v>
          </cell>
          <cell r="D682">
            <v>1.4061099342037536E-2</v>
          </cell>
          <cell r="E682">
            <v>3.9239965929320379E-2</v>
          </cell>
          <cell r="F682">
            <v>4.7240386793441835E-2</v>
          </cell>
          <cell r="G682">
            <v>5.8542933805085483E-4</v>
          </cell>
          <cell r="J682">
            <v>4.1237227732496103E-8</v>
          </cell>
          <cell r="K682">
            <v>4.1191959638952097E-8</v>
          </cell>
        </row>
        <row r="683">
          <cell r="A683" t="str">
            <v>T_B_c-ICEDSL-S1</v>
          </cell>
          <cell r="B683" t="str">
            <v>VAR_fin</v>
          </cell>
          <cell r="C683" t="str">
            <v>TDSL</v>
          </cell>
          <cell r="D683">
            <v>0.11346993065966932</v>
          </cell>
          <cell r="E683">
            <v>0.30973782712839887</v>
          </cell>
          <cell r="F683">
            <v>0.36881447125985201</v>
          </cell>
          <cell r="G683">
            <v>4.5378942906455742E-3</v>
          </cell>
          <cell r="J683">
            <v>2.4156089544733421E-7</v>
          </cell>
          <cell r="K683">
            <v>2.4129572240314619E-7</v>
          </cell>
        </row>
        <row r="684">
          <cell r="A684" t="str">
            <v>T_B_c-ICEDSL-S1</v>
          </cell>
          <cell r="B684" t="str">
            <v>VAR_ncap</v>
          </cell>
          <cell r="C684" t="str">
            <v>-</v>
          </cell>
          <cell r="E684">
            <v>4.9384357753686197E-4</v>
          </cell>
          <cell r="F684">
            <v>1.7417835305253099E-4</v>
          </cell>
          <cell r="G684">
            <v>2.3237716829256599E-7</v>
          </cell>
          <cell r="J684">
            <v>1.17456946854714E-8</v>
          </cell>
        </row>
        <row r="685">
          <cell r="A685" t="str">
            <v>T_B_c-ICEDSL-S1</v>
          </cell>
          <cell r="B685" t="str">
            <v>VAR_cap</v>
          </cell>
          <cell r="C685" t="str">
            <v>-</v>
          </cell>
          <cell r="D685">
            <v>3.05805288461538E-4</v>
          </cell>
          <cell r="E685">
            <v>8.5319453907532294E-4</v>
          </cell>
          <cell r="F685">
            <v>1.0273728921278539E-3</v>
          </cell>
          <cell r="G685">
            <v>1.6590743230856012E-5</v>
          </cell>
          <cell r="H685">
            <v>4.3927337794118877E-9</v>
          </cell>
          <cell r="I685">
            <v>9.5474444782309857E-10</v>
          </cell>
          <cell r="J685">
            <v>1.17456946854714E-8</v>
          </cell>
          <cell r="K685">
            <v>1.17456946854714E-8</v>
          </cell>
        </row>
        <row r="686">
          <cell r="A686" t="str">
            <v>T-Plg-DSL-mix_S4</v>
          </cell>
          <cell r="B686" t="str">
            <v>VAR_fout</v>
          </cell>
          <cell r="C686" t="str">
            <v>CO2_T</v>
          </cell>
          <cell r="D686">
            <v>0.43380049947233001</v>
          </cell>
          <cell r="E686">
            <v>1.283178190623733</v>
          </cell>
          <cell r="F686">
            <v>1.284412708136327</v>
          </cell>
          <cell r="G686">
            <v>4.1716936202838912</v>
          </cell>
          <cell r="H686">
            <v>2.2156336404115198</v>
          </cell>
          <cell r="I686">
            <v>0.98138585907022025</v>
          </cell>
          <cell r="J686">
            <v>0.50773325171336448</v>
          </cell>
          <cell r="K686">
            <v>0.3242811242752982</v>
          </cell>
          <cell r="L686">
            <v>29.12816577630355</v>
          </cell>
          <cell r="M686">
            <v>90.148222670917164</v>
          </cell>
          <cell r="N686">
            <v>82.113732620012414</v>
          </cell>
          <cell r="O686">
            <v>69.121221835066592</v>
          </cell>
        </row>
        <row r="687">
          <cell r="A687" t="str">
            <v>T-Plg-DSL-mix_S4</v>
          </cell>
          <cell r="B687" t="str">
            <v>VAR_fout</v>
          </cell>
          <cell r="C687" t="str">
            <v>T-PEVmix-ELC_DSL_S4</v>
          </cell>
          <cell r="D687">
            <v>3.1188567638688759E-3</v>
          </cell>
          <cell r="E687">
            <v>9.2255518007561214E-3</v>
          </cell>
          <cell r="F687">
            <v>9.2344275012197115E-3</v>
          </cell>
          <cell r="G687">
            <v>2.9992853581859425E-2</v>
          </cell>
          <cell r="H687">
            <v>1.5929543589872388E-2</v>
          </cell>
          <cell r="I687">
            <v>7.4344310007283818E-3</v>
          </cell>
          <cell r="J687">
            <v>4.0459360151943215E-3</v>
          </cell>
          <cell r="K687">
            <v>2.7227756647141711E-3</v>
          </cell>
          <cell r="L687">
            <v>0.2590129712610576</v>
          </cell>
          <cell r="M687">
            <v>0.84727193651094568</v>
          </cell>
          <cell r="N687">
            <v>0.8132659168250489</v>
          </cell>
          <cell r="O687">
            <v>0.68463191695261905</v>
          </cell>
        </row>
        <row r="688">
          <cell r="A688" t="str">
            <v>T-Plg-DSL-mix_S4</v>
          </cell>
          <cell r="B688" t="str">
            <v>VAR_fin</v>
          </cell>
          <cell r="C688" t="str">
            <v>TDSL</v>
          </cell>
          <cell r="D688">
            <v>5.9181514252705297E-3</v>
          </cell>
          <cell r="E688">
            <v>1.7505841618331942E-2</v>
          </cell>
          <cell r="F688">
            <v>1.7522683603496961E-2</v>
          </cell>
          <cell r="G688">
            <v>5.6912600549575657E-2</v>
          </cell>
          <cell r="H688">
            <v>3.022692551721037E-2</v>
          </cell>
          <cell r="I688">
            <v>1.3388620178311328E-2</v>
          </cell>
          <cell r="J688">
            <v>6.9267837887225662E-3</v>
          </cell>
          <cell r="K688">
            <v>4.4240262520504441E-3</v>
          </cell>
          <cell r="L688">
            <v>0.39738288917194475</v>
          </cell>
          <cell r="M688">
            <v>1.2298529695895934</v>
          </cell>
          <cell r="N688">
            <v>1.1202419184176307</v>
          </cell>
          <cell r="O688">
            <v>0.94299074809094818</v>
          </cell>
        </row>
        <row r="689">
          <cell r="A689" t="str">
            <v>T_C-FC-H2O-S2</v>
          </cell>
          <cell r="B689" t="str">
            <v>VAR_fout</v>
          </cell>
          <cell r="C689" t="str">
            <v>TPCAR</v>
          </cell>
          <cell r="D689">
            <v>7.2321111837221383E-5</v>
          </cell>
          <cell r="E689">
            <v>8.6356060264262098E-5</v>
          </cell>
          <cell r="F689">
            <v>8.3637990733162961E-5</v>
          </cell>
          <cell r="G689">
            <v>5.0544084158515946E-7</v>
          </cell>
          <cell r="H689">
            <v>6.1066765034366361E-7</v>
          </cell>
          <cell r="I689">
            <v>5.8125619252335419E-7</v>
          </cell>
          <cell r="J689">
            <v>6.3283798209152554E-7</v>
          </cell>
          <cell r="K689">
            <v>4.9019179447106982E-7</v>
          </cell>
          <cell r="L689">
            <v>4.9505115672625377E-7</v>
          </cell>
          <cell r="M689">
            <v>7.7334844534226796E-7</v>
          </cell>
          <cell r="N689">
            <v>5.1502827372308408E-7</v>
          </cell>
          <cell r="O689">
            <v>2.8390158393071483E-6</v>
          </cell>
        </row>
        <row r="690">
          <cell r="A690" t="str">
            <v>T_C-FC-H2O-S2</v>
          </cell>
          <cell r="B690" t="str">
            <v>VAR_fin</v>
          </cell>
          <cell r="C690" t="str">
            <v>TH2O</v>
          </cell>
          <cell r="D690">
            <v>8.1123389104584493E-5</v>
          </cell>
          <cell r="E690">
            <v>9.6866545610145853E-5</v>
          </cell>
          <cell r="F690">
            <v>9.3817657027224754E-5</v>
          </cell>
          <cell r="G690">
            <v>5.6695856880007914E-7</v>
          </cell>
          <cell r="H690">
            <v>6.605878924755785E-7</v>
          </cell>
          <cell r="I690">
            <v>5.7963729155280535E-7</v>
          </cell>
          <cell r="J690">
            <v>6.0216023022264788E-7</v>
          </cell>
          <cell r="K690">
            <v>4.4312454948516581E-7</v>
          </cell>
          <cell r="L690">
            <v>4.2001709501103421E-7</v>
          </cell>
          <cell r="M690">
            <v>6.0570310320789991E-7</v>
          </cell>
          <cell r="N690">
            <v>3.9746825602377341E-7</v>
          </cell>
          <cell r="O690">
            <v>2.1824946264852614E-6</v>
          </cell>
        </row>
        <row r="691">
          <cell r="A691" t="str">
            <v>T_C-FC-H2O-S2</v>
          </cell>
          <cell r="B691" t="str">
            <v>VAR_ncap</v>
          </cell>
          <cell r="C691" t="str">
            <v>-</v>
          </cell>
          <cell r="E691">
            <v>4.8350639275542804E-7</v>
          </cell>
          <cell r="F691">
            <v>2.2512386307344901E-7</v>
          </cell>
          <cell r="G691">
            <v>6.5118780972259302E-8</v>
          </cell>
          <cell r="H691">
            <v>8.0788804619262294E-8</v>
          </cell>
          <cell r="I691">
            <v>1.12104648548114E-7</v>
          </cell>
          <cell r="J691">
            <v>9.9257466317854404E-8</v>
          </cell>
          <cell r="K691">
            <v>9.0662003861835701E-8</v>
          </cell>
          <cell r="L691">
            <v>7.9322886024159204E-8</v>
          </cell>
          <cell r="M691">
            <v>9.2894501953180802E-8</v>
          </cell>
          <cell r="N691">
            <v>8.1887601612035998E-8</v>
          </cell>
          <cell r="O691">
            <v>2.0450883868002501E-7</v>
          </cell>
        </row>
        <row r="692">
          <cell r="A692" t="str">
            <v>T_C-FC-H2O-S2</v>
          </cell>
          <cell r="B692" t="str">
            <v>VAR_cap</v>
          </cell>
          <cell r="C692" t="str">
            <v>-</v>
          </cell>
          <cell r="D692">
            <v>6.29877357210016E-6</v>
          </cell>
          <cell r="E692">
            <v>6.8104027325121977E-6</v>
          </cell>
          <cell r="F692">
            <v>7.0052226637938732E-6</v>
          </cell>
          <cell r="G692">
            <v>2.5061497829832553E-7</v>
          </cell>
          <cell r="H692">
            <v>2.3473565477504603E-7</v>
          </cell>
          <cell r="I692">
            <v>2.2312982843609152E-7</v>
          </cell>
          <cell r="J692">
            <v>2.238274063029795E-7</v>
          </cell>
          <cell r="K692">
            <v>2.168829550499635E-7</v>
          </cell>
          <cell r="L692">
            <v>2.1935425992166601E-7</v>
          </cell>
          <cell r="M692">
            <v>2.1399186389885771E-7</v>
          </cell>
          <cell r="N692">
            <v>2.010559186442137E-7</v>
          </cell>
          <cell r="O692">
            <v>3.7929094224524201E-7</v>
          </cell>
        </row>
        <row r="693">
          <cell r="A693" t="str">
            <v>T_B_c-ICEDSL-S2</v>
          </cell>
          <cell r="B693" t="str">
            <v>VAR_fout</v>
          </cell>
          <cell r="C693" t="str">
            <v>CO2_T</v>
          </cell>
          <cell r="D693">
            <v>38.084928442955295</v>
          </cell>
          <cell r="E693">
            <v>29.299987552698305</v>
          </cell>
          <cell r="F693">
            <v>36.223915593319859</v>
          </cell>
        </row>
        <row r="694">
          <cell r="A694" t="str">
            <v>T_B_c-ICEDSL-S2</v>
          </cell>
          <cell r="B694" t="str">
            <v>VAR_fout</v>
          </cell>
          <cell r="C694" t="str">
            <v>TPBSc</v>
          </cell>
          <cell r="D694">
            <v>4.5445164345165698E-2</v>
          </cell>
          <cell r="E694">
            <v>3.510012047937109E-2</v>
          </cell>
          <cell r="F694">
            <v>4.3364704349705289E-2</v>
          </cell>
        </row>
        <row r="695">
          <cell r="A695" t="str">
            <v>T_B_c-ICEDSL-S2</v>
          </cell>
          <cell r="B695" t="str">
            <v>VAR_fin</v>
          </cell>
          <cell r="C695" t="str">
            <v>TDSL</v>
          </cell>
          <cell r="D695">
            <v>0.51957610426951351</v>
          </cell>
          <cell r="E695">
            <v>0.3997269788908363</v>
          </cell>
          <cell r="F695">
            <v>0.4941871158706666</v>
          </cell>
        </row>
        <row r="696">
          <cell r="A696" t="str">
            <v>T_B_c-ICEDSL-S2</v>
          </cell>
          <cell r="B696" t="str">
            <v>VAR_ncap</v>
          </cell>
          <cell r="C696" t="str">
            <v>-</v>
          </cell>
          <cell r="E696">
            <v>2.44401617379642E-7</v>
          </cell>
          <cell r="F696">
            <v>5.1530540720649201E-7</v>
          </cell>
        </row>
        <row r="697">
          <cell r="A697" t="str">
            <v>T_B_c-ICEDSL-S2</v>
          </cell>
          <cell r="B697" t="str">
            <v>VAR_cap</v>
          </cell>
          <cell r="C697" t="str">
            <v>-</v>
          </cell>
          <cell r="D697">
            <v>9.8784375000000001E-4</v>
          </cell>
          <cell r="E697">
            <v>9.4191630571022363E-4</v>
          </cell>
          <cell r="F697">
            <v>9.4244764941571707E-4</v>
          </cell>
          <cell r="G697">
            <v>2.0957450795069076E-8</v>
          </cell>
          <cell r="H697">
            <v>4.2361518475502238E-10</v>
          </cell>
        </row>
        <row r="698">
          <cell r="A698" t="str">
            <v>T_TW-FCLH2O-S1</v>
          </cell>
          <cell r="B698" t="str">
            <v>VAR_fout</v>
          </cell>
          <cell r="C698" t="str">
            <v>TPTWL</v>
          </cell>
          <cell r="G698">
            <v>4.8851077170493286E-5</v>
          </cell>
          <cell r="H698">
            <v>1.3937974472072822E-4</v>
          </cell>
          <cell r="I698">
            <v>2.3638280642579627E-4</v>
          </cell>
          <cell r="J698">
            <v>4.3521610729529362E-4</v>
          </cell>
          <cell r="K698">
            <v>6.6105351233497044E-4</v>
          </cell>
          <cell r="L698">
            <v>8.7658594591426568E-4</v>
          </cell>
          <cell r="M698">
            <v>1.0725806159987514E-3</v>
          </cell>
          <cell r="N698">
            <v>1.0211637634002704E-3</v>
          </cell>
          <cell r="O698">
            <v>1.5059962047645292E-3</v>
          </cell>
        </row>
        <row r="699">
          <cell r="A699" t="str">
            <v>T_TW-FCLH2O-S1</v>
          </cell>
          <cell r="B699" t="str">
            <v>VAR_fin</v>
          </cell>
          <cell r="C699" t="str">
            <v>TH2O</v>
          </cell>
          <cell r="G699">
            <v>1.0530251162486907E-5</v>
          </cell>
          <cell r="H699">
            <v>2.9733312927807142E-5</v>
          </cell>
          <cell r="I699">
            <v>4.9737199072327289E-5</v>
          </cell>
          <cell r="J699">
            <v>9.023859520561941E-5</v>
          </cell>
          <cell r="K699">
            <v>1.3489820365540956E-4</v>
          </cell>
          <cell r="L699">
            <v>1.7786383138753385E-4</v>
          </cell>
          <cell r="M699">
            <v>2.1722679559324254E-4</v>
          </cell>
          <cell r="N699">
            <v>2.0681348216685944E-4</v>
          </cell>
          <cell r="O699">
            <v>3.0500526007731327E-4</v>
          </cell>
        </row>
        <row r="700">
          <cell r="A700" t="str">
            <v>T_TW-FCLH2O-S1</v>
          </cell>
          <cell r="B700" t="str">
            <v>VAR_ncap</v>
          </cell>
          <cell r="C700" t="str">
            <v>-</v>
          </cell>
          <cell r="G700">
            <v>1.8539817850519899E-5</v>
          </cell>
          <cell r="H700">
            <v>3.5116997859824203E-5</v>
          </cell>
          <cell r="I700">
            <v>5.0907519913849202E-5</v>
          </cell>
          <cell r="J700">
            <v>9.3342106458980806E-5</v>
          </cell>
          <cell r="K700">
            <v>1.5036277058228599E-4</v>
          </cell>
          <cell r="L700">
            <v>1.56402104351416E-4</v>
          </cell>
          <cell r="M700">
            <v>1.9273500781969401E-4</v>
          </cell>
          <cell r="N700">
            <v>1.8662852979013E-4</v>
          </cell>
          <cell r="O700">
            <v>2.8438050722660001E-4</v>
          </cell>
        </row>
        <row r="701">
          <cell r="A701" t="str">
            <v>T_TW-FCLH2O-S1</v>
          </cell>
          <cell r="B701" t="str">
            <v>VAR_cap</v>
          </cell>
          <cell r="C701" t="str">
            <v>-</v>
          </cell>
          <cell r="G701">
            <v>1.8539817850519899E-5</v>
          </cell>
          <cell r="H701">
            <v>5.3637140930636988E-5</v>
          </cell>
          <cell r="I701">
            <v>8.9889983082795636E-5</v>
          </cell>
          <cell r="J701">
            <v>1.6241510633087388E-4</v>
          </cell>
          <cell r="K701">
            <v>2.6102438664401439E-4</v>
          </cell>
          <cell r="L701">
            <v>3.4868138596573148E-4</v>
          </cell>
          <cell r="M701">
            <v>4.2602202688768595E-4</v>
          </cell>
          <cell r="N701">
            <v>4.0698372553697249E-4</v>
          </cell>
          <cell r="O701">
            <v>6.0076686157407876E-4</v>
          </cell>
        </row>
        <row r="702">
          <cell r="A702" t="str">
            <v>D-T-ELC-TW_Bat_S1</v>
          </cell>
          <cell r="B702" t="str">
            <v>VAR_fout</v>
          </cell>
          <cell r="C702" t="str">
            <v>T-ELC-TWSTGin_S1</v>
          </cell>
          <cell r="D702">
            <v>1.5561162695800445E-3</v>
          </cell>
          <cell r="E702">
            <v>2.0872752710743405E-3</v>
          </cell>
          <cell r="F702">
            <v>2.0952856373886559E-3</v>
          </cell>
          <cell r="G702">
            <v>1.9777236426306651E-3</v>
          </cell>
          <cell r="H702">
            <v>1.4498634881583618E-3</v>
          </cell>
          <cell r="I702">
            <v>1.3594371398485856E-3</v>
          </cell>
          <cell r="J702">
            <v>1.9422482258645594E-3</v>
          </cell>
          <cell r="K702">
            <v>9.3018286441370446E-2</v>
          </cell>
          <cell r="L702">
            <v>0.13166283204165763</v>
          </cell>
          <cell r="M702">
            <v>0.15469721036258458</v>
          </cell>
          <cell r="N702">
            <v>0.15144792088870729</v>
          </cell>
          <cell r="O702">
            <v>0.14969437457971899</v>
          </cell>
        </row>
        <row r="703">
          <cell r="A703" t="str">
            <v>D-T-ELC-TW_Bat_S1</v>
          </cell>
          <cell r="B703" t="str">
            <v>VAR_fin</v>
          </cell>
          <cell r="C703" t="str">
            <v>TELC</v>
          </cell>
          <cell r="D703">
            <v>1.5561162695800445E-3</v>
          </cell>
          <cell r="E703">
            <v>2.0872752710743405E-3</v>
          </cell>
          <cell r="F703">
            <v>2.0952856373886559E-3</v>
          </cell>
          <cell r="G703">
            <v>1.9777236426306651E-3</v>
          </cell>
          <cell r="H703">
            <v>1.4498634881583618E-3</v>
          </cell>
          <cell r="I703">
            <v>1.3594371398485856E-3</v>
          </cell>
          <cell r="J703">
            <v>1.9422482258645594E-3</v>
          </cell>
          <cell r="K703">
            <v>9.3018286441370446E-2</v>
          </cell>
          <cell r="L703">
            <v>0.13166283204165763</v>
          </cell>
          <cell r="M703">
            <v>0.15469721036258458</v>
          </cell>
          <cell r="N703">
            <v>0.15144792088870729</v>
          </cell>
          <cell r="O703">
            <v>0.14969437457971899</v>
          </cell>
        </row>
        <row r="704">
          <cell r="A704" t="str">
            <v>D-T-ELC-TW_Bat_S1</v>
          </cell>
          <cell r="B704" t="str">
            <v>VAR_ncap</v>
          </cell>
          <cell r="C704" t="str">
            <v>-</v>
          </cell>
          <cell r="D704">
            <v>1.6873103403792499E-4</v>
          </cell>
          <cell r="E704">
            <v>5.2619740075594902E-5</v>
          </cell>
          <cell r="F704">
            <v>1.1024391609386999E-6</v>
          </cell>
          <cell r="G704">
            <v>3.8873453289524302E-5</v>
          </cell>
          <cell r="H704">
            <v>1.1402417069782999E-4</v>
          </cell>
          <cell r="I704">
            <v>2.17526797427632E-5</v>
          </cell>
          <cell r="J704">
            <v>1.24612275031938E-4</v>
          </cell>
          <cell r="K704">
            <v>9.7004825172382503E-3</v>
          </cell>
          <cell r="L704">
            <v>4.1604390889820502E-3</v>
          </cell>
          <cell r="M704">
            <v>7.2216601548506804E-3</v>
          </cell>
          <cell r="N704">
            <v>8.0498862696266205E-3</v>
          </cell>
          <cell r="O704">
            <v>2.9004527070543799E-3</v>
          </cell>
        </row>
        <row r="705">
          <cell r="A705" t="str">
            <v>D-T-ELC-TW_Bat_S1</v>
          </cell>
          <cell r="B705" t="str">
            <v>VAR_cap</v>
          </cell>
          <cell r="C705" t="str">
            <v>-</v>
          </cell>
          <cell r="D705">
            <v>1.6873103403792499E-4</v>
          </cell>
          <cell r="E705">
            <v>2.2135077411351999E-4</v>
          </cell>
          <cell r="F705">
            <v>2.22453213274459E-4</v>
          </cell>
          <cell r="G705">
            <v>2.0908370774666701E-4</v>
          </cell>
          <cell r="H705">
            <v>1.5346245185506101E-4</v>
          </cell>
          <cell r="I705">
            <v>1.4394015659567101E-4</v>
          </cell>
          <cell r="J705">
            <v>2.0548774109752901E-4</v>
          </cell>
          <cell r="K705">
            <v>9.8325254475770396E-3</v>
          </cell>
          <cell r="L705">
            <v>1.39169735357408E-2</v>
          </cell>
          <cell r="M705">
            <v>1.6352081307308398E-2</v>
          </cell>
          <cell r="N705">
            <v>1.6008451397528298E-2</v>
          </cell>
          <cell r="O705">
            <v>1.5823969021647101E-2</v>
          </cell>
        </row>
        <row r="706">
          <cell r="A706" t="str">
            <v>T_C-FC-H2O-S3</v>
          </cell>
          <cell r="B706" t="str">
            <v>VAR_fout</v>
          </cell>
          <cell r="C706" t="str">
            <v>TPCAR</v>
          </cell>
          <cell r="D706">
            <v>6.4614259802864456E-4</v>
          </cell>
          <cell r="E706">
            <v>1.5589427076148357E-3</v>
          </cell>
          <cell r="F706">
            <v>1.4785616105174215E-3</v>
          </cell>
          <cell r="G706">
            <v>9.1281239714843071E-7</v>
          </cell>
          <cell r="H706">
            <v>6.2817391640205119E-7</v>
          </cell>
          <cell r="I706">
            <v>5.1825895801301759E-7</v>
          </cell>
          <cell r="J706">
            <v>6.3524089918088452E-7</v>
          </cell>
          <cell r="K706">
            <v>5.6975002375592853E-7</v>
          </cell>
          <cell r="L706">
            <v>7.2989403553769424E-7</v>
          </cell>
          <cell r="M706">
            <v>1.0265389454729948E-6</v>
          </cell>
          <cell r="N706">
            <v>1.5196302089972588E-6</v>
          </cell>
          <cell r="O706">
            <v>3.5959735812261652E-6</v>
          </cell>
        </row>
        <row r="707">
          <cell r="A707" t="str">
            <v>T_C-FC-H2O-S3</v>
          </cell>
          <cell r="B707" t="str">
            <v>VAR_fin</v>
          </cell>
          <cell r="C707" t="str">
            <v>TH2O</v>
          </cell>
          <cell r="D707">
            <v>7.7848030016481262E-4</v>
          </cell>
          <cell r="E707">
            <v>1.8782327471774914E-3</v>
          </cell>
          <cell r="F707">
            <v>1.7813886437444651E-3</v>
          </cell>
          <cell r="G707">
            <v>1.0997672512140574E-6</v>
          </cell>
          <cell r="H707">
            <v>7.325017814883204E-7</v>
          </cell>
          <cell r="I707">
            <v>5.548627872068846E-7</v>
          </cell>
          <cell r="J707">
            <v>6.5065575359776574E-7</v>
          </cell>
          <cell r="K707">
            <v>5.5409468085694841E-7</v>
          </cell>
          <cell r="L707">
            <v>6.5995300994135783E-7</v>
          </cell>
          <cell r="M707">
            <v>8.6286518687593091E-7</v>
          </cell>
          <cell r="N707">
            <v>1.2574383652693937E-6</v>
          </cell>
          <cell r="O707">
            <v>2.9587632534178786E-6</v>
          </cell>
        </row>
        <row r="708">
          <cell r="A708" t="str">
            <v>T_C-FC-H2O-S3</v>
          </cell>
          <cell r="B708" t="str">
            <v>VAR_ncap</v>
          </cell>
          <cell r="C708" t="str">
            <v>-</v>
          </cell>
          <cell r="E708">
            <v>4.0669169266444303E-7</v>
          </cell>
          <cell r="F708">
            <v>1.70493798163691E-7</v>
          </cell>
          <cell r="G708">
            <v>5.3025539816173297E-8</v>
          </cell>
          <cell r="H708">
            <v>7.0695433565078901E-8</v>
          </cell>
          <cell r="I708">
            <v>9.5952494705787507E-8</v>
          </cell>
          <cell r="J708">
            <v>8.7963615741464398E-8</v>
          </cell>
          <cell r="K708">
            <v>8.1664020870518897E-8</v>
          </cell>
          <cell r="L708">
            <v>8.24488839783615E-8</v>
          </cell>
          <cell r="M708">
            <v>9.3083660928481305E-8</v>
          </cell>
          <cell r="N708">
            <v>9.9624006626823507E-8</v>
          </cell>
          <cell r="O708">
            <v>2.08594107197982E-7</v>
          </cell>
        </row>
        <row r="709">
          <cell r="A709" t="str">
            <v>T_C-FC-H2O-S3</v>
          </cell>
          <cell r="B709" t="str">
            <v>VAR_cap</v>
          </cell>
          <cell r="C709" t="str">
            <v>-</v>
          </cell>
          <cell r="D709">
            <v>5.3623517248431096E-5</v>
          </cell>
          <cell r="E709">
            <v>1.084589084497929E-4</v>
          </cell>
          <cell r="F709">
            <v>1.0341685192101545E-4</v>
          </cell>
          <cell r="G709">
            <v>3.3664019766779178E-7</v>
          </cell>
          <cell r="H709">
            <v>2.5015901327120135E-7</v>
          </cell>
          <cell r="I709">
            <v>1.9299723392591579E-7</v>
          </cell>
          <cell r="J709">
            <v>2.0621365201249001E-7</v>
          </cell>
          <cell r="K709">
            <v>2.10727551441118E-7</v>
          </cell>
          <cell r="L709">
            <v>2.0744420569481601E-7</v>
          </cell>
          <cell r="M709">
            <v>2.088107754325868E-7</v>
          </cell>
          <cell r="N709">
            <v>2.366284283747978E-7</v>
          </cell>
          <cell r="O709">
            <v>4.0130177475328599E-7</v>
          </cell>
        </row>
        <row r="710">
          <cell r="A710" t="str">
            <v>T_B_c-ICEDSL-S3</v>
          </cell>
          <cell r="B710" t="str">
            <v>VAR_fout</v>
          </cell>
          <cell r="C710" t="str">
            <v>CO2_T</v>
          </cell>
          <cell r="D710">
            <v>11.7854282158074</v>
          </cell>
          <cell r="E710">
            <v>9.4474333723399067</v>
          </cell>
          <cell r="F710">
            <v>11.673845148160311</v>
          </cell>
        </row>
        <row r="711">
          <cell r="A711" t="str">
            <v>T_B_c-ICEDSL-S3</v>
          </cell>
          <cell r="B711" t="str">
            <v>VAR_fout</v>
          </cell>
          <cell r="C711" t="str">
            <v>TPBSc</v>
          </cell>
          <cell r="D711">
            <v>9.3173260876587942E-3</v>
          </cell>
          <cell r="E711">
            <v>7.498232974119997E-3</v>
          </cell>
          <cell r="F711">
            <v>9.2591772874170454E-3</v>
          </cell>
        </row>
        <row r="712">
          <cell r="A712" t="str">
            <v>T_B_c-ICEDSL-S3</v>
          </cell>
          <cell r="B712" t="str">
            <v>VAR_fin</v>
          </cell>
          <cell r="C712" t="str">
            <v>TDSL</v>
          </cell>
          <cell r="D712">
            <v>0.16078346815562619</v>
          </cell>
          <cell r="E712">
            <v>0.12888722199645161</v>
          </cell>
          <cell r="F712">
            <v>0.15926118892442431</v>
          </cell>
        </row>
        <row r="713">
          <cell r="A713" t="str">
            <v>T_B_c-ICEDSL-S3</v>
          </cell>
          <cell r="B713" t="str">
            <v>VAR_ncap</v>
          </cell>
          <cell r="C713" t="str">
            <v>-</v>
          </cell>
          <cell r="E713">
            <v>1.0788523273644199E-7</v>
          </cell>
          <cell r="F713">
            <v>1.28418424388268E-7</v>
          </cell>
        </row>
        <row r="714">
          <cell r="A714" t="str">
            <v>T_B_c-ICEDSL-S3</v>
          </cell>
          <cell r="B714" t="str">
            <v>VAR_cap</v>
          </cell>
          <cell r="C714" t="str">
            <v>-</v>
          </cell>
          <cell r="D714">
            <v>2.0285597037476014E-4</v>
          </cell>
          <cell r="E714">
            <v>2.0116645498032736E-4</v>
          </cell>
          <cell r="F714">
            <v>2.012970802948841E-4</v>
          </cell>
          <cell r="G714">
            <v>1.3723411903935646E-9</v>
          </cell>
        </row>
        <row r="715">
          <cell r="A715" t="str">
            <v>T_TW-FCLH2O-S2</v>
          </cell>
          <cell r="B715" t="str">
            <v>VAR_fout</v>
          </cell>
          <cell r="C715" t="str">
            <v>TPTWL</v>
          </cell>
          <cell r="G715">
            <v>2.4931237049315092E-5</v>
          </cell>
          <cell r="H715">
            <v>6.5448083700976543E-5</v>
          </cell>
          <cell r="I715">
            <v>1.0871306040289342E-4</v>
          </cell>
          <cell r="J715">
            <v>1.6051505451326962E-4</v>
          </cell>
          <cell r="K715">
            <v>2.203655747461736E-4</v>
          </cell>
          <cell r="L715">
            <v>2.5087444451495739E-4</v>
          </cell>
          <cell r="M715">
            <v>3.3134959461315558E-4</v>
          </cell>
          <cell r="N715">
            <v>3.2058131599121666E-4</v>
          </cell>
          <cell r="O715">
            <v>4.7696724165742071E-4</v>
          </cell>
        </row>
        <row r="716">
          <cell r="A716" t="str">
            <v>T_TW-FCLH2O-S2</v>
          </cell>
          <cell r="B716" t="str">
            <v>VAR_fin</v>
          </cell>
          <cell r="C716" t="str">
            <v>TH2O</v>
          </cell>
          <cell r="G716">
            <v>9.2307595337028741E-6</v>
          </cell>
          <cell r="H716">
            <v>2.400933914917802E-5</v>
          </cell>
          <cell r="I716">
            <v>3.9458877736599983E-5</v>
          </cell>
          <cell r="J716">
            <v>5.7506442312998166E-5</v>
          </cell>
          <cell r="K716">
            <v>7.7863619065397194E-5</v>
          </cell>
          <cell r="L716">
            <v>8.789019658416606E-5</v>
          </cell>
          <cell r="M716">
            <v>1.1573865005435111E-4</v>
          </cell>
          <cell r="N716">
            <v>1.1197734763728495E-4</v>
          </cell>
          <cell r="O716">
            <v>1.6660211923309127E-4</v>
          </cell>
        </row>
        <row r="717">
          <cell r="A717" t="str">
            <v>T_TW-FCLH2O-S2</v>
          </cell>
          <cell r="B717" t="str">
            <v>VAR_ncap</v>
          </cell>
          <cell r="C717" t="str">
            <v>-</v>
          </cell>
          <cell r="G717">
            <v>9.5334590379189806E-6</v>
          </cell>
          <cell r="H717">
            <v>1.5789603936844901E-5</v>
          </cell>
          <cell r="I717">
            <v>2.0367724616382298E-5</v>
          </cell>
          <cell r="J717">
            <v>2.7992874808627101E-5</v>
          </cell>
          <cell r="K717">
            <v>3.7878619142342198E-5</v>
          </cell>
          <cell r="L717">
            <v>4.07521130905476E-5</v>
          </cell>
          <cell r="M717">
            <v>5.2203098067846698E-5</v>
          </cell>
          <cell r="N717">
            <v>5.3610031152107698E-5</v>
          </cell>
          <cell r="O717">
            <v>8.3364691100662494E-5</v>
          </cell>
        </row>
        <row r="718">
          <cell r="A718" t="str">
            <v>T_TW-FCLH2O-S2</v>
          </cell>
          <cell r="B718" t="str">
            <v>VAR_cap</v>
          </cell>
          <cell r="C718" t="str">
            <v>-</v>
          </cell>
          <cell r="G718">
            <v>9.5334590379189806E-6</v>
          </cell>
          <cell r="H718">
            <v>2.5310862908855623E-5</v>
          </cell>
          <cell r="I718">
            <v>4.1994319022733149E-5</v>
          </cell>
          <cell r="J718">
            <v>6.164602642294288E-5</v>
          </cell>
          <cell r="K718">
            <v>8.6177793486963213E-5</v>
          </cell>
          <cell r="L718">
            <v>9.906001821998645E-5</v>
          </cell>
          <cell r="M718">
            <v>1.3070115196665865E-4</v>
          </cell>
          <cell r="N718">
            <v>1.2688084728679515E-4</v>
          </cell>
          <cell r="O718">
            <v>1.8901702268341497E-4</v>
          </cell>
        </row>
        <row r="719">
          <cell r="A719" t="str">
            <v>D-T-ELC-TW_Bat_S2</v>
          </cell>
          <cell r="B719" t="str">
            <v>VAR_fout</v>
          </cell>
          <cell r="C719" t="str">
            <v>T-ELC-TWSTGin_S2</v>
          </cell>
          <cell r="D719">
            <v>3.5728619093560962E-4</v>
          </cell>
          <cell r="E719">
            <v>4.3167059878829233E-4</v>
          </cell>
          <cell r="F719">
            <v>4.3431740014008186E-4</v>
          </cell>
          <cell r="G719">
            <v>1.179506804172848E-3</v>
          </cell>
          <cell r="H719">
            <v>1.6710607885619207E-3</v>
          </cell>
          <cell r="I719">
            <v>1.5823991327302523E-3</v>
          </cell>
          <cell r="J719">
            <v>1.5395226092412191E-3</v>
          </cell>
          <cell r="K719">
            <v>2.9471413699117773E-3</v>
          </cell>
          <cell r="L719">
            <v>2.6235529430218263E-3</v>
          </cell>
          <cell r="M719">
            <v>4.1916278331462975E-3</v>
          </cell>
          <cell r="N719">
            <v>3.24085604692114E-3</v>
          </cell>
          <cell r="O719">
            <v>6.8302632317306178E-3</v>
          </cell>
        </row>
        <row r="720">
          <cell r="A720" t="str">
            <v>D-T-ELC-TW_Bat_S2</v>
          </cell>
          <cell r="B720" t="str">
            <v>VAR_fin</v>
          </cell>
          <cell r="C720" t="str">
            <v>TELC</v>
          </cell>
          <cell r="D720">
            <v>3.5728619093560962E-4</v>
          </cell>
          <cell r="E720">
            <v>4.3167059878829233E-4</v>
          </cell>
          <cell r="F720">
            <v>4.3431740014008186E-4</v>
          </cell>
          <cell r="G720">
            <v>1.179506804172848E-3</v>
          </cell>
          <cell r="H720">
            <v>1.6710607885619207E-3</v>
          </cell>
          <cell r="I720">
            <v>1.5823991327302523E-3</v>
          </cell>
          <cell r="J720">
            <v>1.5395226092412191E-3</v>
          </cell>
          <cell r="K720">
            <v>2.9471413699117773E-3</v>
          </cell>
          <cell r="L720">
            <v>2.6235529430218263E-3</v>
          </cell>
          <cell r="M720">
            <v>4.1916278331462975E-3</v>
          </cell>
          <cell r="N720">
            <v>3.24085604692114E-3</v>
          </cell>
          <cell r="O720">
            <v>6.8302632317306178E-3</v>
          </cell>
        </row>
        <row r="721">
          <cell r="A721" t="str">
            <v>D-T-ELC-TW_Bat_S2</v>
          </cell>
          <cell r="B721" t="str">
            <v>VAR_ncap</v>
          </cell>
          <cell r="C721" t="str">
            <v>-</v>
          </cell>
          <cell r="D721">
            <v>5.0675346500427199E-5</v>
          </cell>
          <cell r="E721">
            <v>3.61728982001211E-7</v>
          </cell>
          <cell r="F721">
            <v>1.0859739233199199E-6</v>
          </cell>
          <cell r="G721">
            <v>7.2600664770027697E-5</v>
          </cell>
          <cell r="H721">
            <v>1.03054692866149E-4</v>
          </cell>
          <cell r="I721">
            <v>1.9894407864908402E-5</v>
          </cell>
          <cell r="J721">
            <v>5.6120081533244902E-5</v>
          </cell>
          <cell r="K721">
            <v>2.3602095718279701E-4</v>
          </cell>
          <cell r="L721">
            <v>6.9138274493434504E-7</v>
          </cell>
          <cell r="M721">
            <v>2.0721267914670699E-4</v>
          </cell>
          <cell r="N721">
            <v>1.3557438490441499E-4</v>
          </cell>
          <cell r="O721">
            <v>3.8081867052110099E-4</v>
          </cell>
        </row>
        <row r="722">
          <cell r="A722" t="str">
            <v>D-T-ELC-TW_Bat_S2</v>
          </cell>
          <cell r="B722" t="str">
            <v>VAR_cap</v>
          </cell>
          <cell r="C722" t="str">
            <v>-</v>
          </cell>
          <cell r="D722">
            <v>5.0675346500427199E-5</v>
          </cell>
          <cell r="E722">
            <v>5.1037075482428399E-5</v>
          </cell>
          <cell r="F722">
            <v>5.21230494057483E-5</v>
          </cell>
          <cell r="G722">
            <v>1.24723714175776E-4</v>
          </cell>
          <cell r="H722">
            <v>1.7683514036977301E-4</v>
          </cell>
          <cell r="I722">
            <v>1.6758036722594699E-4</v>
          </cell>
          <cell r="J722">
            <v>1.62935973212718E-4</v>
          </cell>
          <cell r="K722">
            <v>3.1203544658095001E-4</v>
          </cell>
          <cell r="L722">
            <v>2.7777522152802901E-4</v>
          </cell>
          <cell r="M722">
            <v>4.4392501907443801E-4</v>
          </cell>
          <cell r="N722">
            <v>3.4314555360685301E-4</v>
          </cell>
          <cell r="O722">
            <v>7.2360573457222303E-4</v>
          </cell>
        </row>
        <row r="723">
          <cell r="A723" t="str">
            <v>T_C-FC-H2O-S4</v>
          </cell>
          <cell r="B723" t="str">
            <v>VAR_fout</v>
          </cell>
          <cell r="C723" t="str">
            <v>TPCAR</v>
          </cell>
          <cell r="E723">
            <v>5.7371319704169048E-6</v>
          </cell>
          <cell r="F723">
            <v>6.8971663992923699E-6</v>
          </cell>
          <cell r="G723">
            <v>3.6940772739891624E-7</v>
          </cell>
          <cell r="H723">
            <v>5.1132160544885748E-7</v>
          </cell>
          <cell r="I723">
            <v>5.5022402755937607E-7</v>
          </cell>
          <cell r="J723">
            <v>6.0768682831939198E-7</v>
          </cell>
          <cell r="K723">
            <v>4.1299825032686261E-7</v>
          </cell>
          <cell r="L723">
            <v>3.9217352612246437E-7</v>
          </cell>
          <cell r="M723">
            <v>5.7361710069470973E-7</v>
          </cell>
          <cell r="N723">
            <v>2.9865996293934379E-7</v>
          </cell>
          <cell r="O723">
            <v>2.4150043889098201E-6</v>
          </cell>
        </row>
        <row r="724">
          <cell r="A724" t="str">
            <v>T_C-FC-H2O-S4</v>
          </cell>
          <cell r="B724" t="str">
            <v>VAR_fin</v>
          </cell>
          <cell r="C724" t="str">
            <v>TH2O</v>
          </cell>
          <cell r="E724">
            <v>6.8564238167609449E-6</v>
          </cell>
          <cell r="F724">
            <v>8.2427763928245629E-6</v>
          </cell>
          <cell r="G724">
            <v>4.4147771975505178E-7</v>
          </cell>
          <cell r="H724">
            <v>5.8611186556470632E-7</v>
          </cell>
          <cell r="I724">
            <v>5.8818144333186694E-7</v>
          </cell>
          <cell r="J724">
            <v>6.2299955243741572E-7</v>
          </cell>
          <cell r="K724">
            <v>4.0406661480907511E-7</v>
          </cell>
          <cell r="L724">
            <v>3.6235893630253251E-7</v>
          </cell>
          <cell r="M724">
            <v>4.8531560313213448E-7</v>
          </cell>
          <cell r="N724">
            <v>2.5049146063768443E-7</v>
          </cell>
          <cell r="O724">
            <v>2.0213698871685261E-6</v>
          </cell>
        </row>
        <row r="725">
          <cell r="A725" t="str">
            <v>T_C-FC-H2O-S4</v>
          </cell>
          <cell r="B725" t="str">
            <v>VAR_ncap</v>
          </cell>
          <cell r="C725" t="str">
            <v>-</v>
          </cell>
          <cell r="E725">
            <v>5.3366452147813498E-7</v>
          </cell>
          <cell r="F725">
            <v>2.1310242113372701E-7</v>
          </cell>
          <cell r="G725">
            <v>6.1409780395605297E-8</v>
          </cell>
          <cell r="H725">
            <v>8.2581629436796596E-8</v>
          </cell>
          <cell r="I725">
            <v>1.15339103121989E-7</v>
          </cell>
          <cell r="J725">
            <v>1.00755172413382E-7</v>
          </cell>
          <cell r="K725">
            <v>8.8871281272828203E-8</v>
          </cell>
          <cell r="L725">
            <v>7.6777102376384304E-8</v>
          </cell>
          <cell r="M725">
            <v>8.9479359503201795E-8</v>
          </cell>
          <cell r="N725">
            <v>7.6413185376977195E-8</v>
          </cell>
          <cell r="O725">
            <v>2.0651483865951001E-7</v>
          </cell>
        </row>
        <row r="726">
          <cell r="A726" t="str">
            <v>T_C-FC-H2O-S4</v>
          </cell>
          <cell r="B726" t="str">
            <v>VAR_cap</v>
          </cell>
          <cell r="C726" t="str">
            <v>-</v>
          </cell>
          <cell r="E726">
            <v>5.2655976516412599E-7</v>
          </cell>
          <cell r="F726">
            <v>7.0668553443585699E-7</v>
          </cell>
          <cell r="G726">
            <v>1.8588672599805597E-7</v>
          </cell>
          <cell r="H726">
            <v>2.2984040169050697E-7</v>
          </cell>
          <cell r="I726">
            <v>2.2626088773760482E-7</v>
          </cell>
          <cell r="J726">
            <v>2.3245569796961305E-7</v>
          </cell>
          <cell r="K726">
            <v>2.19316967340846E-7</v>
          </cell>
          <cell r="L726">
            <v>2.1629313381396801E-7</v>
          </cell>
          <cell r="M726">
            <v>2.0212396447138939E-7</v>
          </cell>
          <cell r="N726">
            <v>1.913039641390181E-7</v>
          </cell>
          <cell r="O726">
            <v>3.7240738353968902E-7</v>
          </cell>
        </row>
        <row r="727">
          <cell r="A727" t="str">
            <v>T_B_c-ICEDSL-S4</v>
          </cell>
          <cell r="B727" t="str">
            <v>VAR_fout</v>
          </cell>
          <cell r="C727" t="str">
            <v>CO2_T</v>
          </cell>
          <cell r="D727">
            <v>0.90147866413243105</v>
          </cell>
          <cell r="E727">
            <v>5.6676816361560739E-3</v>
          </cell>
          <cell r="F727">
            <v>6.2095233131386216E-3</v>
          </cell>
        </row>
        <row r="728">
          <cell r="A728" t="str">
            <v>T_B_c-ICEDSL-S4</v>
          </cell>
          <cell r="B728" t="str">
            <v>VAR_fout</v>
          </cell>
          <cell r="C728" t="str">
            <v>TPBSc</v>
          </cell>
          <cell r="D728">
            <v>4.7529302066883698E-4</v>
          </cell>
          <cell r="E728">
            <v>3.0075416354644603E-6</v>
          </cell>
          <cell r="F728">
            <v>3.3098266032482824E-6</v>
          </cell>
        </row>
        <row r="729">
          <cell r="A729" t="str">
            <v>T_B_c-ICEDSL-S4</v>
          </cell>
          <cell r="B729" t="str">
            <v>VAR_fin</v>
          </cell>
          <cell r="C729" t="str">
            <v>TDSL</v>
          </cell>
          <cell r="D729">
            <v>1.2298481093211869E-2</v>
          </cell>
          <cell r="E729">
            <v>7.7321713999400782E-5</v>
          </cell>
          <cell r="F729">
            <v>8.4713824190158505E-5</v>
          </cell>
        </row>
        <row r="730">
          <cell r="A730" t="str">
            <v>T_B_c-ICEDSL-S4</v>
          </cell>
          <cell r="B730" t="str">
            <v>VAR_ncap</v>
          </cell>
          <cell r="C730" t="str">
            <v>-</v>
          </cell>
          <cell r="E730">
            <v>2.0852443216095799E-8</v>
          </cell>
          <cell r="F730">
            <v>1.93848682349201E-8</v>
          </cell>
        </row>
        <row r="731">
          <cell r="A731" t="str">
            <v>T_B_c-ICEDSL-S4</v>
          </cell>
          <cell r="B731" t="str">
            <v>VAR_cap</v>
          </cell>
          <cell r="C731" t="str">
            <v>-</v>
          </cell>
          <cell r="D731">
            <v>1.0841240818267203E-5</v>
          </cell>
          <cell r="E731">
            <v>1.5992876127679891E-7</v>
          </cell>
          <cell r="F731">
            <v>1.7128218085461951E-7</v>
          </cell>
          <cell r="G731">
            <v>1.4633112860818917E-9</v>
          </cell>
        </row>
        <row r="732">
          <cell r="A732" t="str">
            <v>D-T-ELC-HGV</v>
          </cell>
          <cell r="B732" t="str">
            <v>VAR_fout</v>
          </cell>
          <cell r="C732" t="str">
            <v>T-ELC-HGV_BatSTGin</v>
          </cell>
          <cell r="D732">
            <v>5.377934327116668E-3</v>
          </cell>
          <cell r="E732">
            <v>6.5487040947890133E-3</v>
          </cell>
          <cell r="F732">
            <v>6.6407905590391567E-3</v>
          </cell>
          <cell r="G732">
            <v>2.3384731504817679E-3</v>
          </cell>
          <cell r="H732">
            <v>1.4479667069032567</v>
          </cell>
          <cell r="I732">
            <v>2.430415249949708</v>
          </cell>
          <cell r="J732">
            <v>5.5655993997617541</v>
          </cell>
          <cell r="K732">
            <v>7.2069493895141594</v>
          </cell>
          <cell r="L732">
            <v>8.3102475254970223</v>
          </cell>
          <cell r="M732">
            <v>8.6168133381835474</v>
          </cell>
          <cell r="N732">
            <v>8.9134368459960172</v>
          </cell>
          <cell r="O732">
            <v>9.2917674979662817</v>
          </cell>
        </row>
        <row r="733">
          <cell r="A733" t="str">
            <v>D-T-ELC-HGV</v>
          </cell>
          <cell r="B733" t="str">
            <v>VAR_fin</v>
          </cell>
          <cell r="C733" t="str">
            <v>TELC</v>
          </cell>
          <cell r="D733">
            <v>5.377934327116668E-3</v>
          </cell>
          <cell r="E733">
            <v>6.5487040947890133E-3</v>
          </cell>
          <cell r="F733">
            <v>6.6407905590391567E-3</v>
          </cell>
          <cell r="G733">
            <v>2.3384731504817679E-3</v>
          </cell>
          <cell r="H733">
            <v>1.4479667069032567</v>
          </cell>
          <cell r="I733">
            <v>2.430415249949708</v>
          </cell>
          <cell r="J733">
            <v>5.5655993997617541</v>
          </cell>
          <cell r="K733">
            <v>7.2069493895141594</v>
          </cell>
          <cell r="L733">
            <v>8.3102475254970223</v>
          </cell>
          <cell r="M733">
            <v>8.6168133381835474</v>
          </cell>
          <cell r="N733">
            <v>8.9134368459960172</v>
          </cell>
          <cell r="O733">
            <v>9.2917674979662817</v>
          </cell>
        </row>
        <row r="734">
          <cell r="A734" t="str">
            <v>D-T-ELC-HGV</v>
          </cell>
          <cell r="B734" t="str">
            <v>VAR_ncap</v>
          </cell>
          <cell r="C734" t="str">
            <v>-</v>
          </cell>
          <cell r="D734">
            <v>6.9564467170501998E-4</v>
          </cell>
          <cell r="E734">
            <v>1.4643376956359599E-4</v>
          </cell>
          <cell r="F734">
            <v>3.5591739493521199E-5</v>
          </cell>
          <cell r="G734">
            <v>1.21019142815576E-4</v>
          </cell>
          <cell r="H734">
            <v>0.18165845225018701</v>
          </cell>
          <cell r="I734">
            <v>0.15958357465085601</v>
          </cell>
          <cell r="J734">
            <v>0.62074853861405199</v>
          </cell>
          <cell r="K734">
            <v>0.48950510979412998</v>
          </cell>
          <cell r="L734">
            <v>0.69096824244847299</v>
          </cell>
          <cell r="M734">
            <v>0.90651701436425602</v>
          </cell>
          <cell r="N734">
            <v>0.50523083500699595</v>
          </cell>
          <cell r="O734">
            <v>0.82744785912602903</v>
          </cell>
        </row>
        <row r="735">
          <cell r="A735" t="str">
            <v>D-T-ELC-HGV</v>
          </cell>
          <cell r="B735" t="str">
            <v>VAR_cap</v>
          </cell>
          <cell r="C735" t="str">
            <v>-</v>
          </cell>
          <cell r="D735">
            <v>6.9564467170501998E-4</v>
          </cell>
          <cell r="E735">
            <v>8.4207844126861595E-4</v>
          </cell>
          <cell r="F735">
            <v>8.7767018076213702E-4</v>
          </cell>
          <cell r="G735">
            <v>2.9840165134701599E-4</v>
          </cell>
          <cell r="H735">
            <v>0.18168983669095101</v>
          </cell>
          <cell r="I735">
            <v>0.30668207687940902</v>
          </cell>
          <cell r="J735">
            <v>0.70349437686021599</v>
          </cell>
          <cell r="K735">
            <v>0.90842522833864903</v>
          </cell>
          <cell r="L735">
            <v>1.04913754329509</v>
          </cell>
          <cell r="M735">
            <v>1.08570892871988</v>
          </cell>
          <cell r="N735">
            <v>1.12436954528781</v>
          </cell>
          <cell r="O735">
            <v>1.16840937273028</v>
          </cell>
        </row>
        <row r="736">
          <cell r="A736" t="str">
            <v>T_TW-FCLH2O-S3</v>
          </cell>
          <cell r="B736" t="str">
            <v>VAR_fout</v>
          </cell>
          <cell r="C736" t="str">
            <v>TPTWL</v>
          </cell>
          <cell r="G736">
            <v>1.4819965808482351E-5</v>
          </cell>
          <cell r="H736">
            <v>4.29453509516046E-5</v>
          </cell>
          <cell r="I736">
            <v>7.2788670505552537E-5</v>
          </cell>
          <cell r="J736">
            <v>1.0335402456381335E-4</v>
          </cell>
          <cell r="K736">
            <v>1.4255595139457843E-4</v>
          </cell>
          <cell r="L736">
            <v>1.7057052545147743E-4</v>
          </cell>
          <cell r="M736">
            <v>2.0697020258189378E-4</v>
          </cell>
          <cell r="N736">
            <v>2.3992182934443973E-4</v>
          </cell>
          <cell r="O736">
            <v>3.0098390421754931E-4</v>
          </cell>
        </row>
        <row r="737">
          <cell r="A737" t="str">
            <v>T_TW-FCLH2O-S3</v>
          </cell>
          <cell r="B737" t="str">
            <v>VAR_fin</v>
          </cell>
          <cell r="C737" t="str">
            <v>TH2O</v>
          </cell>
          <cell r="G737">
            <v>8.4173334498179242E-6</v>
          </cell>
          <cell r="H737">
            <v>2.4135820374569975E-5</v>
          </cell>
          <cell r="I737">
            <v>4.05725807707143E-5</v>
          </cell>
          <cell r="J737">
            <v>5.6967868719560851E-5</v>
          </cell>
          <cell r="K737">
            <v>7.7523929389414396E-5</v>
          </cell>
          <cell r="L737">
            <v>9.1870453810334701E-5</v>
          </cell>
          <cell r="M737">
            <v>1.1067083048932378E-4</v>
          </cell>
          <cell r="N737">
            <v>1.2794294124769204E-4</v>
          </cell>
          <cell r="O737">
            <v>1.605054699650629E-4</v>
          </cell>
        </row>
        <row r="738">
          <cell r="A738" t="str">
            <v>T_TW-FCLH2O-S3</v>
          </cell>
          <cell r="B738" t="str">
            <v>VAR_ncap</v>
          </cell>
          <cell r="C738" t="str">
            <v>-</v>
          </cell>
          <cell r="G738">
            <v>5.6718125061752197E-6</v>
          </cell>
          <cell r="H738">
            <v>1.0892898292759799E-5</v>
          </cell>
          <cell r="I738">
            <v>1.0709245944124601E-5</v>
          </cell>
          <cell r="J738">
            <v>1.4188250408099901E-5</v>
          </cell>
          <cell r="K738">
            <v>1.9365493855493099E-5</v>
          </cell>
          <cell r="L738">
            <v>2.09866586506809E-5</v>
          </cell>
          <cell r="M738">
            <v>2.6860155760687301E-5</v>
          </cell>
          <cell r="N738">
            <v>2.7483218747769299E-5</v>
          </cell>
          <cell r="O738">
            <v>4.3386280853316902E-5</v>
          </cell>
        </row>
        <row r="739">
          <cell r="A739" t="str">
            <v>T_TW-FCLH2O-S3</v>
          </cell>
          <cell r="B739" t="str">
            <v>VAR_cap</v>
          </cell>
          <cell r="C739" t="str">
            <v>-</v>
          </cell>
          <cell r="G739">
            <v>5.6718125061752197E-6</v>
          </cell>
          <cell r="H739">
            <v>1.6564710798934999E-5</v>
          </cell>
          <cell r="I739">
            <v>2.7243010215918186E-5</v>
          </cell>
          <cell r="J739">
            <v>3.9638683714756471E-5</v>
          </cell>
          <cell r="K739">
            <v>5.5089823608798234E-5</v>
          </cell>
          <cell r="L739">
            <v>6.7070393889915577E-5</v>
          </cell>
          <cell r="M739">
            <v>8.1312635049748936E-5</v>
          </cell>
          <cell r="N739">
            <v>9.4613679309551532E-5</v>
          </cell>
          <cell r="O739">
            <v>1.1861370716745548E-4</v>
          </cell>
        </row>
        <row r="740">
          <cell r="A740" t="str">
            <v>D-T-ELC-TW_Bat_S3</v>
          </cell>
          <cell r="B740" t="str">
            <v>VAR_fout</v>
          </cell>
          <cell r="C740" t="str">
            <v>T-ELC-TWSTGin_S3</v>
          </cell>
          <cell r="D740">
            <v>7.8158042108686254E-5</v>
          </cell>
          <cell r="E740">
            <v>1.2988763924904356E-4</v>
          </cell>
          <cell r="F740">
            <v>1.3638773111723093E-4</v>
          </cell>
          <cell r="G740">
            <v>1.2237534045075492E-3</v>
          </cell>
          <cell r="H740">
            <v>2.825908913733782E-3</v>
          </cell>
          <cell r="I740">
            <v>2.6885365728861431E-3</v>
          </cell>
          <cell r="J740">
            <v>2.3626175364300822E-3</v>
          </cell>
          <cell r="K740">
            <v>4.8169879120571676E-3</v>
          </cell>
          <cell r="L740">
            <v>3.7197842315045953E-3</v>
          </cell>
          <cell r="M740">
            <v>5.2869564710449849E-3</v>
          </cell>
          <cell r="N740">
            <v>5.2092956778988959E-3</v>
          </cell>
          <cell r="O740">
            <v>9.6442170831702104E-3</v>
          </cell>
        </row>
        <row r="741">
          <cell r="A741" t="str">
            <v>D-T-ELC-TW_Bat_S3</v>
          </cell>
          <cell r="B741" t="str">
            <v>VAR_fin</v>
          </cell>
          <cell r="C741" t="str">
            <v>TELC</v>
          </cell>
          <cell r="D741">
            <v>7.8158042108686254E-5</v>
          </cell>
          <cell r="E741">
            <v>1.2988763924904356E-4</v>
          </cell>
          <cell r="F741">
            <v>1.3638773111723093E-4</v>
          </cell>
          <cell r="G741">
            <v>1.2237534045075492E-3</v>
          </cell>
          <cell r="H741">
            <v>2.825908913733782E-3</v>
          </cell>
          <cell r="I741">
            <v>2.6885365728861431E-3</v>
          </cell>
          <cell r="J741">
            <v>2.3626175364300822E-3</v>
          </cell>
          <cell r="K741">
            <v>4.8169879120571676E-3</v>
          </cell>
          <cell r="L741">
            <v>3.7197842315045953E-3</v>
          </cell>
          <cell r="M741">
            <v>5.2869564710449849E-3</v>
          </cell>
          <cell r="N741">
            <v>5.2092956778988959E-3</v>
          </cell>
          <cell r="O741">
            <v>9.6442170831702104E-3</v>
          </cell>
        </row>
        <row r="742">
          <cell r="A742" t="str">
            <v>D-T-ELC-TW_Bat_S3</v>
          </cell>
          <cell r="B742" t="str">
            <v>VAR_ncap</v>
          </cell>
          <cell r="C742" t="str">
            <v>-</v>
          </cell>
          <cell r="D742">
            <v>3.5023873182322102E-5</v>
          </cell>
          <cell r="E742">
            <v>2.1939199341965301E-7</v>
          </cell>
          <cell r="F742">
            <v>5.9403628621396303E-7</v>
          </cell>
          <cell r="G742">
            <v>9.3583285922353707E-5</v>
          </cell>
          <cell r="H742">
            <v>1.6953576707783399E-4</v>
          </cell>
          <cell r="I742">
            <v>6.0242419904753201E-6</v>
          </cell>
          <cell r="J742">
            <v>1.03877939994722E-5</v>
          </cell>
          <cell r="K742">
            <v>3.23975042025681E-4</v>
          </cell>
          <cell r="L742">
            <v>2.5383054568390901E-6</v>
          </cell>
          <cell r="M742">
            <v>2.2271448107571799E-4</v>
          </cell>
          <cell r="N742">
            <v>2.1651994435621099E-6</v>
          </cell>
          <cell r="O742">
            <v>7.9376989941098205E-4</v>
          </cell>
        </row>
        <row r="743">
          <cell r="A743" t="str">
            <v>D-T-ELC-TW_Bat_S3</v>
          </cell>
          <cell r="B743" t="str">
            <v>VAR_cap</v>
          </cell>
          <cell r="C743" t="str">
            <v>-</v>
          </cell>
          <cell r="D743">
            <v>3.5023873182322102E-5</v>
          </cell>
          <cell r="E743">
            <v>3.5243265175741697E-5</v>
          </cell>
          <cell r="F743">
            <v>3.5837301461955702E-5</v>
          </cell>
          <cell r="G743">
            <v>1.2942058738430899E-4</v>
          </cell>
          <cell r="H743">
            <v>2.9895635446214298E-4</v>
          </cell>
          <cell r="I743">
            <v>2.84402626815319E-4</v>
          </cell>
          <cell r="J743">
            <v>2.49969123014852E-4</v>
          </cell>
          <cell r="K743">
            <v>5.0992284509346201E-4</v>
          </cell>
          <cell r="L743">
            <v>3.93591560385363E-4</v>
          </cell>
          <cell r="M743">
            <v>5.5961562255770999E-4</v>
          </cell>
          <cell r="N743">
            <v>5.5139302800179897E-4</v>
          </cell>
          <cell r="O743">
            <v>1.0211878853871E-3</v>
          </cell>
        </row>
        <row r="744">
          <cell r="A744" t="str">
            <v>T_TW-FCLH2O-S4</v>
          </cell>
          <cell r="B744" t="str">
            <v>VAR_fout</v>
          </cell>
          <cell r="C744" t="str">
            <v>TPTWL</v>
          </cell>
          <cell r="G744">
            <v>8.7763806875401312E-6</v>
          </cell>
          <cell r="H744">
            <v>2.2637818246906084E-5</v>
          </cell>
          <cell r="I744">
            <v>4.2364249854875216E-5</v>
          </cell>
          <cell r="J744">
            <v>6.4115828031786819E-5</v>
          </cell>
          <cell r="K744">
            <v>9.7562289498874565E-5</v>
          </cell>
          <cell r="L744">
            <v>1.19972102615295E-4</v>
          </cell>
          <cell r="M744">
            <v>1.4830484108125709E-4</v>
          </cell>
          <cell r="N744">
            <v>1.7038647929930816E-4</v>
          </cell>
          <cell r="O744">
            <v>2.2003841451801235E-4</v>
          </cell>
        </row>
        <row r="745">
          <cell r="A745" t="str">
            <v>T_TW-FCLH2O-S4</v>
          </cell>
          <cell r="B745" t="str">
            <v>VAR_fin</v>
          </cell>
          <cell r="C745" t="str">
            <v>TH2O</v>
          </cell>
          <cell r="G745">
            <v>5.6185334982854025E-6</v>
          </cell>
          <cell r="H745">
            <v>1.4331603246863712E-5</v>
          </cell>
          <cell r="I745">
            <v>2.654168630212013E-5</v>
          </cell>
          <cell r="J745">
            <v>3.9694713760081058E-5</v>
          </cell>
          <cell r="K745">
            <v>5.9613339634417358E-5</v>
          </cell>
          <cell r="L745">
            <v>7.2547842554806613E-5</v>
          </cell>
          <cell r="M745">
            <v>8.8983499751172924E-5</v>
          </cell>
          <cell r="N745">
            <v>1.0174247745382164E-4</v>
          </cell>
          <cell r="O745">
            <v>1.3113248018346347E-4</v>
          </cell>
        </row>
        <row r="746">
          <cell r="A746" t="str">
            <v>T_TW-FCLH2O-S4</v>
          </cell>
          <cell r="B746" t="str">
            <v>VAR_ncap</v>
          </cell>
          <cell r="C746" t="str">
            <v>-</v>
          </cell>
          <cell r="G746">
            <v>3.3999452040062298E-6</v>
          </cell>
          <cell r="H746">
            <v>5.3190121126447396E-6</v>
          </cell>
          <cell r="I746">
            <v>6.6231104880533098E-6</v>
          </cell>
          <cell r="J746">
            <v>8.8460673748366004E-6</v>
          </cell>
          <cell r="K746">
            <v>1.3197463011909199E-5</v>
          </cell>
          <cell r="L746">
            <v>1.28409818381639E-5</v>
          </cell>
          <cell r="M746">
            <v>1.6509540504885499E-5</v>
          </cell>
          <cell r="N746">
            <v>1.68570184633017E-5</v>
          </cell>
          <cell r="O746">
            <v>2.6835905568207901E-5</v>
          </cell>
        </row>
        <row r="747">
          <cell r="A747" t="str">
            <v>T_TW-FCLH2O-S4</v>
          </cell>
          <cell r="B747" t="str">
            <v>VAR_cap</v>
          </cell>
          <cell r="C747" t="str">
            <v>-</v>
          </cell>
          <cell r="G747">
            <v>3.3999452040062298E-6</v>
          </cell>
          <cell r="H747">
            <v>8.7189573166509698E-6</v>
          </cell>
          <cell r="I747">
            <v>1.532073536964595E-5</v>
          </cell>
          <cell r="J747">
            <v>2.41881351795409E-5</v>
          </cell>
          <cell r="K747">
            <v>3.7362587201029201E-5</v>
          </cell>
          <cell r="L747">
            <v>4.6767050698438951E-5</v>
          </cell>
          <cell r="M747">
            <v>5.7948812863640684E-5</v>
          </cell>
          <cell r="N747">
            <v>6.6797888687452597E-5</v>
          </cell>
          <cell r="O747">
            <v>8.6188270627904481E-5</v>
          </cell>
        </row>
        <row r="748">
          <cell r="A748" t="str">
            <v>D-T-ELC-TW_Bat_S4</v>
          </cell>
          <cell r="B748" t="str">
            <v>VAR_fout</v>
          </cell>
          <cell r="C748" t="str">
            <v>T-ELC-TWSTGin_S4</v>
          </cell>
          <cell r="D748">
            <v>1.6041342364843494E-5</v>
          </cell>
          <cell r="E748">
            <v>3.6819997452070342E-5</v>
          </cell>
          <cell r="F748">
            <v>4.5491607152739538E-5</v>
          </cell>
          <cell r="G748">
            <v>1.3848251737822467E-3</v>
          </cell>
          <cell r="H748">
            <v>2.8150413572510624E-3</v>
          </cell>
          <cell r="I748">
            <v>3.0443722733050067E-3</v>
          </cell>
          <cell r="J748">
            <v>3.2117706809641775E-3</v>
          </cell>
          <cell r="K748">
            <v>5.665199411162964E-3</v>
          </cell>
          <cell r="L748">
            <v>4.6300500593299742E-3</v>
          </cell>
          <cell r="M748">
            <v>6.9274356566919604E-3</v>
          </cell>
          <cell r="N748">
            <v>6.663340724008775E-3</v>
          </cell>
          <cell r="O748">
            <v>1.2554401839884852E-2</v>
          </cell>
        </row>
        <row r="749">
          <cell r="A749" t="str">
            <v>D-T-ELC-TW_Bat_S4</v>
          </cell>
          <cell r="B749" t="str">
            <v>VAR_fin</v>
          </cell>
          <cell r="C749" t="str">
            <v>TELC</v>
          </cell>
          <cell r="D749">
            <v>1.6041342364843494E-5</v>
          </cell>
          <cell r="E749">
            <v>3.6819997452070342E-5</v>
          </cell>
          <cell r="F749">
            <v>4.5491607152739538E-5</v>
          </cell>
          <cell r="G749">
            <v>1.3848251737822467E-3</v>
          </cell>
          <cell r="H749">
            <v>2.8150413572510624E-3</v>
          </cell>
          <cell r="I749">
            <v>3.0443722733050067E-3</v>
          </cell>
          <cell r="J749">
            <v>3.2117706809641775E-3</v>
          </cell>
          <cell r="K749">
            <v>5.665199411162964E-3</v>
          </cell>
          <cell r="L749">
            <v>4.6300500593299742E-3</v>
          </cell>
          <cell r="M749">
            <v>6.9274356566919604E-3</v>
          </cell>
          <cell r="N749">
            <v>6.663340724008775E-3</v>
          </cell>
          <cell r="O749">
            <v>1.2554401839884852E-2</v>
          </cell>
        </row>
        <row r="750">
          <cell r="A750" t="str">
            <v>D-T-ELC-TW_Bat_S4</v>
          </cell>
          <cell r="B750" t="str">
            <v>VAR_ncap</v>
          </cell>
          <cell r="C750" t="str">
            <v>-</v>
          </cell>
          <cell r="D750">
            <v>3.2988479534567101E-5</v>
          </cell>
          <cell r="E750">
            <v>2.1552115365289301E-7</v>
          </cell>
          <cell r="F750">
            <v>6.2630268334960198E-7</v>
          </cell>
          <cell r="G750">
            <v>1.1263680451219501E-4</v>
          </cell>
          <cell r="H750">
            <v>1.51342561262473E-4</v>
          </cell>
          <cell r="I750">
            <v>2.4244883224865701E-5</v>
          </cell>
          <cell r="J750">
            <v>3.9189282807957398E-5</v>
          </cell>
          <cell r="K750">
            <v>2.7208012473250499E-4</v>
          </cell>
          <cell r="L750">
            <v>2.9960785819490099E-6</v>
          </cell>
          <cell r="M750">
            <v>3.9453673798819E-4</v>
          </cell>
          <cell r="N750">
            <v>2.4282335440675301E-6</v>
          </cell>
          <cell r="O750">
            <v>6.5677423918378904E-4</v>
          </cell>
        </row>
        <row r="751">
          <cell r="A751" t="str">
            <v>D-T-ELC-TW_Bat_S4</v>
          </cell>
          <cell r="B751" t="str">
            <v>VAR_cap</v>
          </cell>
          <cell r="C751" t="str">
            <v>-</v>
          </cell>
          <cell r="D751">
            <v>3.2988479534567101E-5</v>
          </cell>
          <cell r="E751">
            <v>3.3204000688219998E-5</v>
          </cell>
          <cell r="F751">
            <v>3.3830303371569598E-5</v>
          </cell>
          <cell r="G751">
            <v>1.46467107883765E-4</v>
          </cell>
          <cell r="H751">
            <v>2.9780966914623799E-4</v>
          </cell>
          <cell r="I751">
            <v>3.2205455237110399E-4</v>
          </cell>
          <cell r="J751">
            <v>3.39695038681095E-4</v>
          </cell>
          <cell r="K751">
            <v>5.9949365653999705E-4</v>
          </cell>
          <cell r="L751">
            <v>4.8985293060975E-4</v>
          </cell>
          <cell r="M751">
            <v>7.3304710733546703E-4</v>
          </cell>
          <cell r="N751">
            <v>7.0509537661625704E-4</v>
          </cell>
          <cell r="O751">
            <v>1.3288154140305001E-3</v>
          </cell>
        </row>
        <row r="752">
          <cell r="A752" t="str">
            <v>T_B_u-ICENGA-S1</v>
          </cell>
          <cell r="B752" t="str">
            <v>VAR_fout</v>
          </cell>
          <cell r="C752" t="str">
            <v>CO2_T</v>
          </cell>
          <cell r="E752">
            <v>3.0996272363806002E-3</v>
          </cell>
          <cell r="F752">
            <v>1.2379308003533911E-2</v>
          </cell>
        </row>
        <row r="753">
          <cell r="A753" t="str">
            <v>T_B_u-ICENGA-S1</v>
          </cell>
          <cell r="B753" t="str">
            <v>VAR_fout</v>
          </cell>
          <cell r="C753" t="str">
            <v>TPBSu</v>
          </cell>
          <cell r="E753">
            <v>6.6080051604116091E-6</v>
          </cell>
          <cell r="F753">
            <v>2.7406350122076166E-5</v>
          </cell>
        </row>
        <row r="754">
          <cell r="A754" t="str">
            <v>T_B_u-ICENGA-S1</v>
          </cell>
          <cell r="B754" t="str">
            <v>VAR_fin</v>
          </cell>
          <cell r="C754" t="str">
            <v>TNGA</v>
          </cell>
          <cell r="E754">
            <v>5.4957929723060301E-5</v>
          </cell>
          <cell r="F754">
            <v>2.1949127665840264E-4</v>
          </cell>
        </row>
        <row r="755">
          <cell r="A755" t="str">
            <v>T_B_u-ICENGA-S1</v>
          </cell>
          <cell r="B755" t="str">
            <v>VAR_ncap</v>
          </cell>
          <cell r="C755" t="str">
            <v>-</v>
          </cell>
          <cell r="E755">
            <v>1.6823322429921501E-7</v>
          </cell>
          <cell r="F755">
            <v>3.9526225080811302E-7</v>
          </cell>
        </row>
        <row r="756">
          <cell r="A756" t="str">
            <v>T_B_u-ICENGA-S1</v>
          </cell>
          <cell r="B756" t="str">
            <v>VAR_cap</v>
          </cell>
          <cell r="C756" t="str">
            <v>-</v>
          </cell>
          <cell r="E756">
            <v>1.6823322429921501E-7</v>
          </cell>
          <cell r="F756">
            <v>5.6349547510732795E-7</v>
          </cell>
          <cell r="G756">
            <v>3.4323464862897264E-10</v>
          </cell>
          <cell r="H756">
            <v>1.6080675238901443E-10</v>
          </cell>
        </row>
        <row r="757">
          <cell r="A757" t="str">
            <v>T_B_u-ICENGA-S2</v>
          </cell>
          <cell r="B757" t="str">
            <v>VAR_fout</v>
          </cell>
          <cell r="C757" t="str">
            <v>CO2_T</v>
          </cell>
          <cell r="E757">
            <v>2.2771490002997299E-3</v>
          </cell>
          <cell r="F757">
            <v>2.2143093676181169E-2</v>
          </cell>
        </row>
        <row r="758">
          <cell r="A758" t="str">
            <v>T_B_u-ICENGA-S2</v>
          </cell>
          <cell r="B758" t="str">
            <v>VAR_fout</v>
          </cell>
          <cell r="C758" t="str">
            <v>TPBSu</v>
          </cell>
          <cell r="E758">
            <v>3.4317958213255684E-6</v>
          </cell>
          <cell r="F758">
            <v>3.4881386203783153E-5</v>
          </cell>
        </row>
        <row r="759">
          <cell r="A759" t="str">
            <v>T_B_u-ICENGA-S2</v>
          </cell>
          <cell r="B759" t="str">
            <v>VAR_fin</v>
          </cell>
          <cell r="C759" t="str">
            <v>TNGA</v>
          </cell>
          <cell r="E759">
            <v>4.037498227481781E-5</v>
          </cell>
          <cell r="F759">
            <v>3.9260804390392164E-4</v>
          </cell>
        </row>
        <row r="760">
          <cell r="A760" t="str">
            <v>T_B_u-ICENGA-S2</v>
          </cell>
          <cell r="B760" t="str">
            <v>VAR_ncap</v>
          </cell>
          <cell r="C760" t="str">
            <v>-</v>
          </cell>
          <cell r="E760">
            <v>9.4088452694191001E-8</v>
          </cell>
          <cell r="F760">
            <v>5.8687014594189699E-7</v>
          </cell>
        </row>
        <row r="761">
          <cell r="A761" t="str">
            <v>T_B_u-ICENGA-S2</v>
          </cell>
          <cell r="B761" t="str">
            <v>VAR_cap</v>
          </cell>
          <cell r="C761" t="str">
            <v>-</v>
          </cell>
          <cell r="E761">
            <v>9.4088452694191001E-8</v>
          </cell>
          <cell r="F761">
            <v>6.8095859863608805E-7</v>
          </cell>
          <cell r="G761">
            <v>1.3330670083149859E-9</v>
          </cell>
          <cell r="H761">
            <v>6.6088064329200622E-10</v>
          </cell>
        </row>
        <row r="762">
          <cell r="A762" t="str">
            <v>T_B_c-ICEDSLEXT</v>
          </cell>
          <cell r="B762" t="str">
            <v>VAR_fout</v>
          </cell>
          <cell r="C762" t="str">
            <v>CO2_T</v>
          </cell>
          <cell r="D762">
            <v>0.441837333264193</v>
          </cell>
          <cell r="E762">
            <v>0.44076529666921999</v>
          </cell>
          <cell r="F762">
            <v>0.437555480152927</v>
          </cell>
        </row>
        <row r="763">
          <cell r="A763" t="str">
            <v>T_B_c-ICEDSLEXT</v>
          </cell>
          <cell r="B763" t="str">
            <v>VAR_fout</v>
          </cell>
          <cell r="C763" t="str">
            <v>TPBSc</v>
          </cell>
          <cell r="D763">
            <v>5.9978059290757543E-2</v>
          </cell>
          <cell r="E763">
            <v>4.7983445903896117E-2</v>
          </cell>
          <cell r="F763">
            <v>2.9989815247517412E-2</v>
          </cell>
        </row>
        <row r="764">
          <cell r="A764" t="str">
            <v>T_B_c-ICEDSLEXT</v>
          </cell>
          <cell r="B764" t="str">
            <v>VAR_fin</v>
          </cell>
          <cell r="C764" t="str">
            <v>TDSL</v>
          </cell>
          <cell r="D764">
            <v>6.0277944510803922E-3</v>
          </cell>
          <cell r="E764">
            <v>6.0131691223631618E-3</v>
          </cell>
          <cell r="F764">
            <v>5.9693789925365165E-3</v>
          </cell>
        </row>
        <row r="765">
          <cell r="A765" t="str">
            <v>T_B_c-ICEDSLEXT</v>
          </cell>
          <cell r="B765" t="str">
            <v>VAR_cap</v>
          </cell>
          <cell r="C765" t="str">
            <v>-</v>
          </cell>
          <cell r="D765">
            <v>1.3033198107382687E-3</v>
          </cell>
          <cell r="E765">
            <v>1.04265638017014E-3</v>
          </cell>
          <cell r="F765">
            <v>6.5166023760633498E-4</v>
          </cell>
        </row>
        <row r="766">
          <cell r="A766" t="str">
            <v>T_B_u-ICENGA-S3</v>
          </cell>
          <cell r="B766" t="str">
            <v>VAR_fout</v>
          </cell>
          <cell r="C766" t="str">
            <v>CO2_T</v>
          </cell>
          <cell r="E766">
            <v>1.7262199704364801E-3</v>
          </cell>
          <cell r="F766">
            <v>0.34064048848858719</v>
          </cell>
        </row>
        <row r="767">
          <cell r="A767" t="str">
            <v>T_B_u-ICENGA-S3</v>
          </cell>
          <cell r="B767" t="str">
            <v>VAR_fout</v>
          </cell>
          <cell r="C767" t="str">
            <v>TPBSu</v>
          </cell>
          <cell r="E767">
            <v>1.7268974034648899E-6</v>
          </cell>
          <cell r="F767">
            <v>3.5837465661215956E-4</v>
          </cell>
        </row>
        <row r="768">
          <cell r="A768" t="str">
            <v>T_B_u-ICENGA-S3</v>
          </cell>
          <cell r="B768" t="str">
            <v>VAR_fin</v>
          </cell>
          <cell r="C768" t="str">
            <v>TNGA</v>
          </cell>
          <cell r="E768">
            <v>3.0606737064476555E-5</v>
          </cell>
          <cell r="F768">
            <v>6.0397249732019025E-3</v>
          </cell>
        </row>
        <row r="769">
          <cell r="A769" t="str">
            <v>T_B_u-ICENGA-S3</v>
          </cell>
          <cell r="B769" t="str">
            <v>VAR_ncap</v>
          </cell>
          <cell r="C769" t="str">
            <v>-</v>
          </cell>
          <cell r="E769">
            <v>5.80402720980189E-8</v>
          </cell>
          <cell r="F769">
            <v>6.7178992166348599E-6</v>
          </cell>
        </row>
        <row r="770">
          <cell r="A770" t="str">
            <v>T_B_u-ICENGA-S3</v>
          </cell>
          <cell r="B770" t="str">
            <v>VAR_cap</v>
          </cell>
          <cell r="C770" t="str">
            <v>-</v>
          </cell>
          <cell r="E770">
            <v>5.80402720980189E-8</v>
          </cell>
          <cell r="F770">
            <v>6.7759394887328799E-6</v>
          </cell>
          <cell r="G770">
            <v>-1.3214774815799193E-9</v>
          </cell>
        </row>
        <row r="771">
          <cell r="A771" t="str">
            <v>T_B_u-ICENGA-S4</v>
          </cell>
          <cell r="B771" t="str">
            <v>VAR_fout</v>
          </cell>
          <cell r="C771" t="str">
            <v>CO2_T</v>
          </cell>
          <cell r="F771">
            <v>6.00154610109807E-5</v>
          </cell>
        </row>
        <row r="772">
          <cell r="A772" t="str">
            <v>T_B_u-ICENGA-S4</v>
          </cell>
          <cell r="B772" t="str">
            <v>VAR_fout</v>
          </cell>
          <cell r="C772" t="str">
            <v>TPBSu</v>
          </cell>
          <cell r="F772">
            <v>4.2216970512889299E-8</v>
          </cell>
        </row>
        <row r="773">
          <cell r="A773" t="str">
            <v>T_B_u-ICENGA-S4</v>
          </cell>
          <cell r="B773" t="str">
            <v>VAR_fin</v>
          </cell>
          <cell r="C773" t="str">
            <v>TNGA</v>
          </cell>
          <cell r="F773">
            <v>1.06410391863441E-6</v>
          </cell>
        </row>
        <row r="774">
          <cell r="A774" t="str">
            <v>T_B_u-ICENGA-S4</v>
          </cell>
          <cell r="B774" t="str">
            <v>VAR_ncap</v>
          </cell>
          <cell r="C774" t="str">
            <v>-</v>
          </cell>
          <cell r="F774">
            <v>1.05496758273149E-8</v>
          </cell>
        </row>
        <row r="775">
          <cell r="A775" t="str">
            <v>T_B_u-ICENGA-S4</v>
          </cell>
          <cell r="B775" t="str">
            <v>VAR_cap</v>
          </cell>
          <cell r="C775" t="str">
            <v>-</v>
          </cell>
          <cell r="F775">
            <v>1.05496758273149E-8</v>
          </cell>
          <cell r="G775">
            <v>2.7024777195119929E-10</v>
          </cell>
          <cell r="J775">
            <v>-5.3557764872645404E-9</v>
          </cell>
        </row>
        <row r="776">
          <cell r="A776"/>
          <cell r="B776"/>
          <cell r="C776"/>
        </row>
        <row r="777">
          <cell r="A777"/>
          <cell r="B777"/>
          <cell r="C777"/>
        </row>
        <row r="778">
          <cell r="A778"/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18.873018616213741</v>
          </cell>
          <cell r="C9">
            <v>22.214516115657155</v>
          </cell>
          <cell r="D9">
            <v>26.373189168381845</v>
          </cell>
          <cell r="E9">
            <v>36.119922109599393</v>
          </cell>
          <cell r="F9">
            <v>54.350518553624191</v>
          </cell>
          <cell r="G9">
            <v>59.953916282774294</v>
          </cell>
          <cell r="H9">
            <v>73.134320187338531</v>
          </cell>
          <cell r="I9">
            <v>86.377131215475373</v>
          </cell>
          <cell r="J9">
            <v>89.416443349505954</v>
          </cell>
          <cell r="K9">
            <v>90.769409480888967</v>
          </cell>
          <cell r="L9">
            <v>90.553796481650295</v>
          </cell>
          <cell r="M9">
            <v>92.22605261675379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1.4852531621137782E-4</v>
          </cell>
          <cell r="H28">
            <v>5.5721409931531324E-2</v>
          </cell>
          <cell r="I28">
            <v>5.6341404593064401E-2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</sheetData>
      <sheetData sheetId="56"/>
      <sheetData sheetId="57"/>
      <sheetData sheetId="58">
        <row r="14">
          <cell r="B14">
            <v>82.760000845464688</v>
          </cell>
          <cell r="C14">
            <v>83.109724404101144</v>
          </cell>
          <cell r="D14">
            <v>73.079982251783932</v>
          </cell>
          <cell r="E14">
            <v>73.079999672148205</v>
          </cell>
          <cell r="F14">
            <v>62.632019678218967</v>
          </cell>
          <cell r="G14">
            <v>33.169787305606029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B15">
            <v>66.745680071503884</v>
          </cell>
          <cell r="C15">
            <v>49.798799722391109</v>
          </cell>
          <cell r="D15">
            <v>68.759993668574865</v>
          </cell>
          <cell r="E15">
            <v>70.434312649408767</v>
          </cell>
          <cell r="F15">
            <v>71.412657219040256</v>
          </cell>
          <cell r="G15">
            <v>72.497173234813303</v>
          </cell>
          <cell r="H15">
            <v>73.751259760003663</v>
          </cell>
          <cell r="I15">
            <v>74.836026536032151</v>
          </cell>
          <cell r="J15">
            <v>74.836040651777509</v>
          </cell>
          <cell r="K15">
            <v>74.836026015869976</v>
          </cell>
          <cell r="L15">
            <v>74.836035221176147</v>
          </cell>
          <cell r="M15">
            <v>74.83604224785708</v>
          </cell>
        </row>
        <row r="16">
          <cell r="B16">
            <v>66.632400649744582</v>
          </cell>
          <cell r="C16">
            <v>55.764000107013885</v>
          </cell>
          <cell r="D16">
            <v>65.54974368884578</v>
          </cell>
          <cell r="E16">
            <v>64.713757043043117</v>
          </cell>
          <cell r="F16">
            <v>63.735421098953111</v>
          </cell>
          <cell r="G16">
            <v>62.650907534077902</v>
          </cell>
          <cell r="H16">
            <v>61.565868386089662</v>
          </cell>
          <cell r="I16">
            <v>60.481145119729575</v>
          </cell>
          <cell r="J16">
            <v>60.481130963801938</v>
          </cell>
          <cell r="K16">
            <v>60.481146817568373</v>
          </cell>
          <cell r="L16">
            <v>60.481137947601312</v>
          </cell>
          <cell r="M16">
            <v>60.481134043620003</v>
          </cell>
        </row>
        <row r="17">
          <cell r="B17">
            <v>12.841921030093534</v>
          </cell>
          <cell r="C17">
            <v>16.033496777061558</v>
          </cell>
          <cell r="D17">
            <v>5.2950726704192341</v>
          </cell>
          <cell r="E17">
            <v>12.795296748749832</v>
          </cell>
          <cell r="F17">
            <v>13.097791828401521</v>
          </cell>
          <cell r="G17">
            <v>13.164980299982151</v>
          </cell>
          <cell r="H17">
            <v>13.270097585828548</v>
          </cell>
          <cell r="I17">
            <v>13.377582950913359</v>
          </cell>
          <cell r="J17">
            <v>13.426716367081895</v>
          </cell>
          <cell r="K17">
            <v>13.471986787830748</v>
          </cell>
          <cell r="L17">
            <v>13.527894514167691</v>
          </cell>
          <cell r="M17">
            <v>13.575498438022089</v>
          </cell>
        </row>
        <row r="18">
          <cell r="B18">
            <v>3.9600577146668293E-2</v>
          </cell>
          <cell r="C18">
            <v>1.3090686233783397E-5</v>
          </cell>
          <cell r="D18">
            <v>7.8402309470985651E-4</v>
          </cell>
          <cell r="E18">
            <v>1.2327409643326772E-4</v>
          </cell>
          <cell r="F18">
            <v>1.0824485773347897E-4</v>
          </cell>
          <cell r="G18">
            <v>0.17132940066574279</v>
          </cell>
          <cell r="H18">
            <v>0.17135358060741923</v>
          </cell>
          <cell r="I18">
            <v>3.9748542018662598E-6</v>
          </cell>
          <cell r="J18">
            <v>5.84061295885164E-4</v>
          </cell>
          <cell r="K18">
            <v>6.2292984382536357E-4</v>
          </cell>
          <cell r="L18">
            <v>2.9650108127331882E-4</v>
          </cell>
          <cell r="M18">
            <v>6.6665996889922995E-4</v>
          </cell>
        </row>
        <row r="19">
          <cell r="B19">
            <v>6.5070002135127227</v>
          </cell>
          <cell r="C19">
            <v>7.3027683677575075</v>
          </cell>
          <cell r="D19">
            <v>7.4208710058210485</v>
          </cell>
          <cell r="E19">
            <v>7.3981384815112312</v>
          </cell>
          <cell r="F19">
            <v>7.4918604507015676</v>
          </cell>
          <cell r="G19">
            <v>5.435475804058</v>
          </cell>
          <cell r="H19">
            <v>4.4767093206756741</v>
          </cell>
          <cell r="I19">
            <v>4.6534315372815422</v>
          </cell>
          <cell r="J19">
            <v>4.6534303743209433</v>
          </cell>
          <cell r="K19">
            <v>4.6534308982046886</v>
          </cell>
          <cell r="L19">
            <v>4.653430410724023</v>
          </cell>
          <cell r="M19">
            <v>4.6534306273710868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2.2028358988153127</v>
          </cell>
          <cell r="H20">
            <v>4.2715865685887904</v>
          </cell>
          <cell r="I20">
            <v>4.4441166576250479</v>
          </cell>
          <cell r="J20">
            <v>4.4441160597285521</v>
          </cell>
          <cell r="K20">
            <v>4.4441160604728847</v>
          </cell>
          <cell r="L20">
            <v>4.4441158511268553</v>
          </cell>
          <cell r="M20">
            <v>4.4441159964733385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2.3090074598878179E-6</v>
          </cell>
          <cell r="H21">
            <v>2.3898865669878178E-6</v>
          </cell>
          <cell r="I21">
            <v>5.28711164942451E-5</v>
          </cell>
          <cell r="J21">
            <v>7.0482565570031876E-4</v>
          </cell>
          <cell r="K21">
            <v>5.2520961432946513E-4</v>
          </cell>
          <cell r="L21">
            <v>6.1377352911989934E-4</v>
          </cell>
          <cell r="M21">
            <v>9.7814860746241899E-4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7.1324851322945102E-8</v>
          </cell>
          <cell r="H22">
            <v>0</v>
          </cell>
          <cell r="I22">
            <v>1.4874201625863139E-3</v>
          </cell>
          <cell r="J22">
            <v>5.8406085231290077E-4</v>
          </cell>
          <cell r="K22">
            <v>4.332122922860628E-4</v>
          </cell>
          <cell r="L22">
            <v>4.4919634221318548E-4</v>
          </cell>
          <cell r="M22">
            <v>8.5832987319643965E-4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2.0932707046297821E-6</v>
          </cell>
          <cell r="I23">
            <v>5.0151090356105473E-5</v>
          </cell>
          <cell r="J23">
            <v>2.6366097975569325</v>
          </cell>
          <cell r="K23">
            <v>2.9074246608653462</v>
          </cell>
          <cell r="L23">
            <v>2.9623181661237066</v>
          </cell>
          <cell r="M23">
            <v>3.0154870231489657</v>
          </cell>
        </row>
        <row r="24">
          <cell r="B24">
            <v>0.96588050044996854</v>
          </cell>
          <cell r="C24">
            <v>7.8369801649856056E-5</v>
          </cell>
          <cell r="D24">
            <v>4.437317457324466E-4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6.5825573619662611E-2</v>
          </cell>
          <cell r="C25">
            <v>1.113913652158503E-4</v>
          </cell>
          <cell r="D25">
            <v>1.0762145406833663E-2</v>
          </cell>
          <cell r="E25">
            <v>3.7848249755051243E-4</v>
          </cell>
          <cell r="F25">
            <v>6.2088121081391645E-4</v>
          </cell>
          <cell r="G25">
            <v>0.89869155062909212</v>
          </cell>
          <cell r="H25">
            <v>1.2578555870172252</v>
          </cell>
          <cell r="I25">
            <v>1.0606238240911614</v>
          </cell>
          <cell r="J25">
            <v>1.0511314165166132</v>
          </cell>
          <cell r="K25">
            <v>1.0523867536180753</v>
          </cell>
          <cell r="L25">
            <v>1.0518484314340111</v>
          </cell>
          <cell r="M25">
            <v>1.0520961550474148</v>
          </cell>
        </row>
        <row r="26">
          <cell r="B26">
            <v>1.5475483868684117</v>
          </cell>
          <cell r="C26">
            <v>1.4187813676402234</v>
          </cell>
          <cell r="D26">
            <v>1.4328145153101266</v>
          </cell>
          <cell r="E26">
            <v>1.4090328574615725</v>
          </cell>
          <cell r="F26">
            <v>1.3984701274214018</v>
          </cell>
          <cell r="G26">
            <v>1.0246097649246577</v>
          </cell>
          <cell r="H26">
            <v>0.67854828264832878</v>
          </cell>
          <cell r="I26">
            <v>0.69933093172023397</v>
          </cell>
          <cell r="J26">
            <v>0.70858051123363319</v>
          </cell>
          <cell r="K26">
            <v>0.71192447638019218</v>
          </cell>
          <cell r="L26">
            <v>0.71526351807266597</v>
          </cell>
          <cell r="M26">
            <v>0.71859649693168903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0.36847685376865158</v>
          </cell>
          <cell r="H27">
            <v>0.69932276139691674</v>
          </cell>
          <cell r="I27">
            <v>0.71175178662670202</v>
          </cell>
          <cell r="J27">
            <v>0.71175164152503045</v>
          </cell>
          <cell r="K27">
            <v>0.71175167846824239</v>
          </cell>
          <cell r="L27">
            <v>0.71175161911593943</v>
          </cell>
          <cell r="M27">
            <v>0.71175168205312189</v>
          </cell>
        </row>
        <row r="28">
          <cell r="B28">
            <v>1.8005038057018266E-3</v>
          </cell>
          <cell r="C28">
            <v>8.573236888551085E-6</v>
          </cell>
          <cell r="D28">
            <v>2.6724697548067259E-4</v>
          </cell>
          <cell r="E28">
            <v>9.7855744290098253E-5</v>
          </cell>
          <cell r="F28">
            <v>3.7401942749645504E-5</v>
          </cell>
          <cell r="G28">
            <v>2.0227722179540667E-4</v>
          </cell>
          <cell r="H28">
            <v>1.7839719680855592E-4</v>
          </cell>
          <cell r="I28">
            <v>0</v>
          </cell>
          <cell r="J28">
            <v>2.9169610770132554E-5</v>
          </cell>
          <cell r="K28">
            <v>2.9094041845945647E-5</v>
          </cell>
          <cell r="L28">
            <v>2.8871550978494317E-5</v>
          </cell>
          <cell r="M28">
            <v>3.065670124412339E-5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0.27207118109220191</v>
          </cell>
          <cell r="H30">
            <v>0.76610780447809179</v>
          </cell>
          <cell r="I30">
            <v>1.131861465879255</v>
          </cell>
          <cell r="J30">
            <v>1.1326722663625644</v>
          </cell>
          <cell r="K30">
            <v>1.1330299895149512</v>
          </cell>
          <cell r="L30">
            <v>1.1330304581354413</v>
          </cell>
          <cell r="M30">
            <v>1.1331509379214393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1.4627267074867362E-4</v>
          </cell>
          <cell r="H31">
            <v>2.5243081270522161E-2</v>
          </cell>
          <cell r="I31">
            <v>0.43795972370874542</v>
          </cell>
          <cell r="J31">
            <v>0.45039689583182074</v>
          </cell>
          <cell r="K31">
            <v>0.45090436383363547</v>
          </cell>
          <cell r="L31">
            <v>0.45071312205340647</v>
          </cell>
          <cell r="M31">
            <v>0.45057646345910979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8.3358520273324761E-3</v>
          </cell>
          <cell r="I32">
            <v>8.3877235679145623E-3</v>
          </cell>
          <cell r="J32">
            <v>8.3917018339525126E-3</v>
          </cell>
          <cell r="K32">
            <v>8.3947143860961856E-3</v>
          </cell>
          <cell r="L32">
            <v>8.4257902671997422E-3</v>
          </cell>
          <cell r="M32">
            <v>8.5744288931562419E-3</v>
          </cell>
        </row>
        <row r="33">
          <cell r="B33">
            <v>0.52400000000000047</v>
          </cell>
          <cell r="C33">
            <v>0.54529201541730321</v>
          </cell>
          <cell r="D33">
            <v>0.50316461375085242</v>
          </cell>
          <cell r="E33">
            <v>2.0502580118443223</v>
          </cell>
          <cell r="F33">
            <v>2.6087278270265699</v>
          </cell>
          <cell r="G33">
            <v>2.6087303278524723</v>
          </cell>
          <cell r="H33">
            <v>3.02629808325768</v>
          </cell>
          <cell r="I33">
            <v>3.0263334704456639</v>
          </cell>
          <cell r="J33">
            <v>3.0263347098079607</v>
          </cell>
          <cell r="K33">
            <v>3.0264180288717606</v>
          </cell>
          <cell r="L33">
            <v>3.0268161257046819</v>
          </cell>
          <cell r="M33">
            <v>3.0270610836370531</v>
          </cell>
        </row>
        <row r="34">
          <cell r="B34">
            <v>0</v>
          </cell>
          <cell r="C34">
            <v>0</v>
          </cell>
          <cell r="D34">
            <v>0.15619207185326314</v>
          </cell>
          <cell r="E34">
            <v>0.64200371044621907</v>
          </cell>
          <cell r="F34">
            <v>2.3202395754064646</v>
          </cell>
          <cell r="G34">
            <v>3.0679891737690017</v>
          </cell>
          <cell r="H34">
            <v>7.7816154149580532</v>
          </cell>
          <cell r="I34">
            <v>12.905384321944524</v>
          </cell>
          <cell r="J34">
            <v>12.564192617371187</v>
          </cell>
          <cell r="K34">
            <v>11.633556415844186</v>
          </cell>
          <cell r="L34">
            <v>11.402419710409172</v>
          </cell>
          <cell r="M34">
            <v>10.158133846573097</v>
          </cell>
        </row>
        <row r="35">
          <cell r="B35">
            <v>3.517953999707534</v>
          </cell>
          <cell r="C35">
            <v>4.8486222317880792</v>
          </cell>
          <cell r="D35">
            <v>11.927075264761642</v>
          </cell>
          <cell r="E35">
            <v>14.11662421317634</v>
          </cell>
          <cell r="F35">
            <v>19.784680653789398</v>
          </cell>
          <cell r="G35">
            <v>20.793899372673938</v>
          </cell>
          <cell r="H35">
            <v>21.854597760987033</v>
          </cell>
          <cell r="I35">
            <v>22.969402308816292</v>
          </cell>
          <cell r="J35">
            <v>24.141072964450984</v>
          </cell>
          <cell r="K35">
            <v>25.372510578218783</v>
          </cell>
          <cell r="L35">
            <v>26.666763841702945</v>
          </cell>
          <cell r="M35">
            <v>28.027037153395895</v>
          </cell>
        </row>
        <row r="36">
          <cell r="B36">
            <v>2.1349390887346629</v>
          </cell>
          <cell r="C36">
            <v>3.3906677965880174</v>
          </cell>
          <cell r="D36">
            <v>4.317899359575466</v>
          </cell>
          <cell r="E36">
            <v>18.917594622614914</v>
          </cell>
          <cell r="F36">
            <v>19.882586928798681</v>
          </cell>
          <cell r="G36">
            <v>20.896798949908288</v>
          </cell>
          <cell r="H36">
            <v>21.962746706891227</v>
          </cell>
          <cell r="I36">
            <v>23.083071197112371</v>
          </cell>
          <cell r="J36">
            <v>24.260541662721149</v>
          </cell>
          <cell r="K36">
            <v>25.498079912401227</v>
          </cell>
          <cell r="L36">
            <v>26.798743556109635</v>
          </cell>
          <cell r="M36">
            <v>28.166099323931</v>
          </cell>
        </row>
        <row r="37">
          <cell r="B37">
            <v>0.86248322578584768</v>
          </cell>
          <cell r="C37">
            <v>1.287585404580073</v>
          </cell>
          <cell r="D37">
            <v>5.8101383398366746</v>
          </cell>
          <cell r="E37">
            <v>13.46065870031693</v>
          </cell>
          <cell r="F37">
            <v>14.147297290901427</v>
          </cell>
          <cell r="G37">
            <v>14.868952473924839</v>
          </cell>
          <cell r="H37">
            <v>15.627420627348634</v>
          </cell>
          <cell r="I37">
            <v>16.424578182911205</v>
          </cell>
          <cell r="J37">
            <v>17.262398113239961</v>
          </cell>
          <cell r="K37">
            <v>18.142956858653015</v>
          </cell>
          <cell r="L37">
            <v>19.068433390353412</v>
          </cell>
          <cell r="M37">
            <v>20.041134622302931</v>
          </cell>
        </row>
        <row r="38">
          <cell r="B38">
            <v>2.8396236857719668</v>
          </cell>
          <cell r="C38">
            <v>3.294455050835158</v>
          </cell>
          <cell r="D38">
            <v>6.5886958271267977</v>
          </cell>
          <cell r="E38">
            <v>7.610260806737136</v>
          </cell>
          <cell r="F38">
            <v>25.191493623140293</v>
          </cell>
          <cell r="G38">
            <v>27.726870257350591</v>
          </cell>
          <cell r="H38">
            <v>29.141226229104419</v>
          </cell>
          <cell r="I38">
            <v>30.62772319688607</v>
          </cell>
          <cell r="J38">
            <v>32.190045930012744</v>
          </cell>
          <cell r="K38">
            <v>33.832062931292477</v>
          </cell>
          <cell r="L38">
            <v>35.557839338627119</v>
          </cell>
          <cell r="M38">
            <v>37.371648660613616</v>
          </cell>
        </row>
        <row r="39">
          <cell r="B39">
            <v>0.66996226482167398</v>
          </cell>
          <cell r="C39">
            <v>0.42845964760309846</v>
          </cell>
          <cell r="D39">
            <v>5.2089940926601415E-2</v>
          </cell>
          <cell r="E39">
            <v>0.36060566992919424</v>
          </cell>
          <cell r="F39">
            <v>0.21961923088574656</v>
          </cell>
          <cell r="G39">
            <v>0.66654665787829204</v>
          </cell>
          <cell r="H39">
            <v>0.42376004878009776</v>
          </cell>
          <cell r="I39">
            <v>0.42426738988633461</v>
          </cell>
          <cell r="J39">
            <v>0.42408244048330673</v>
          </cell>
          <cell r="K39">
            <v>0.31016057443253908</v>
          </cell>
          <cell r="L39">
            <v>0.42426856588701173</v>
          </cell>
          <cell r="M39">
            <v>0.42430087919535076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1.7425849428373684E-3</v>
          </cell>
          <cell r="H40">
            <v>0.24501632354153549</v>
          </cell>
          <cell r="I40">
            <v>0.24531505341295293</v>
          </cell>
          <cell r="J40">
            <v>0.24520204226161574</v>
          </cell>
          <cell r="K40">
            <v>0.17933842825220625</v>
          </cell>
          <cell r="L40">
            <v>0.2453143463539405</v>
          </cell>
          <cell r="M40">
            <v>0.24533053825293552</v>
          </cell>
        </row>
        <row r="41">
          <cell r="B41">
            <v>7.0500761060521999E-2</v>
          </cell>
          <cell r="C41">
            <v>0.17150657878524322</v>
          </cell>
          <cell r="D41">
            <v>8.6566902326043749E-3</v>
          </cell>
          <cell r="E41">
            <v>0.17130756733375688</v>
          </cell>
          <cell r="F41">
            <v>0.1713373992749245</v>
          </cell>
          <cell r="G41">
            <v>0</v>
          </cell>
          <cell r="H41">
            <v>0</v>
          </cell>
          <cell r="I41">
            <v>0</v>
          </cell>
          <cell r="J41">
            <v>2.1047727058214616E-3</v>
          </cell>
          <cell r="K41">
            <v>2.0468285257359362E-3</v>
          </cell>
          <cell r="L41">
            <v>0.17120635407998666</v>
          </cell>
          <cell r="M41">
            <v>0.17083533993319586</v>
          </cell>
        </row>
        <row r="42">
          <cell r="B42">
            <v>0.17246126807569231</v>
          </cell>
          <cell r="C42">
            <v>0.23817412354783213</v>
          </cell>
          <cell r="D42">
            <v>1.1317624035093872</v>
          </cell>
          <cell r="E42">
            <v>1.5900467247938288</v>
          </cell>
          <cell r="F42">
            <v>1.5894016828777582</v>
          </cell>
          <cell r="G42">
            <v>0.63599296185989274</v>
          </cell>
          <cell r="H42">
            <v>0.21472289275339088</v>
          </cell>
          <cell r="I42">
            <v>3.334235045832864E-4</v>
          </cell>
          <cell r="J42">
            <v>3.3361279959143327E-4</v>
          </cell>
          <cell r="K42">
            <v>5.195384837129286E-4</v>
          </cell>
          <cell r="L42">
            <v>3.05509821754741E-4</v>
          </cell>
          <cell r="M42">
            <v>3.9934267763656954E-4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1.6408064797670174</v>
          </cell>
          <cell r="H43">
            <v>3.6233054437658372</v>
          </cell>
          <cell r="I43">
            <v>4.2955479757675104</v>
          </cell>
          <cell r="J43">
            <v>4.2391773081949378</v>
          </cell>
          <cell r="K43">
            <v>4.2955498471678659</v>
          </cell>
          <cell r="L43">
            <v>4.2785982353192482</v>
          </cell>
          <cell r="M43">
            <v>4.2955509522021371</v>
          </cell>
        </row>
        <row r="44">
          <cell r="B44">
            <v>0.2300412681563673</v>
          </cell>
          <cell r="C44">
            <v>0.23015738910177216</v>
          </cell>
          <cell r="D44">
            <v>0.3367057779011039</v>
          </cell>
          <cell r="E44">
            <v>0.33294536777593942</v>
          </cell>
          <cell r="F44">
            <v>0.32918511329001515</v>
          </cell>
          <cell r="G44">
            <v>0.19678762278669815</v>
          </cell>
          <cell r="H44">
            <v>6.324127176100072E-5</v>
          </cell>
          <cell r="I44">
            <v>3.5045437475376407E-5</v>
          </cell>
          <cell r="J44">
            <v>4.5013514105378797E-5</v>
          </cell>
          <cell r="K44">
            <v>2.467576172733334E-5</v>
          </cell>
          <cell r="L44">
            <v>4.2525744106635084E-5</v>
          </cell>
          <cell r="M44">
            <v>1.8146344697861053E-5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0.1176658357127055</v>
          </cell>
          <cell r="H45">
            <v>0.59579998382036614</v>
          </cell>
          <cell r="I45">
            <v>0.59292417943252118</v>
          </cell>
          <cell r="J45">
            <v>0.59288714452700286</v>
          </cell>
          <cell r="K45">
            <v>0.59293568648166306</v>
          </cell>
          <cell r="L45">
            <v>0.59291492389289813</v>
          </cell>
          <cell r="M45">
            <v>0.5929475385807873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2.5731122505309179E-3</v>
          </cell>
          <cell r="F46">
            <v>0.67865945031001174</v>
          </cell>
          <cell r="G46">
            <v>3.3667071685303029</v>
          </cell>
          <cell r="H46">
            <v>4.0998599840379519</v>
          </cell>
          <cell r="I46">
            <v>4.844904172368377</v>
          </cell>
          <cell r="J46">
            <v>4.8449072809991547</v>
          </cell>
          <cell r="K46">
            <v>4.8449066965237124</v>
          </cell>
          <cell r="L46">
            <v>4.8449073393689117</v>
          </cell>
          <cell r="M46">
            <v>4.8449084426978821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1.1849717550258535E-4</v>
          </cell>
          <cell r="F47">
            <v>1.9353851378985004E-4</v>
          </cell>
          <cell r="G47">
            <v>1.687021826227655E-3</v>
          </cell>
          <cell r="H47">
            <v>1.2041751960152572E-3</v>
          </cell>
          <cell r="I47">
            <v>3.9904772473828715E-4</v>
          </cell>
          <cell r="J47">
            <v>6.8768607489515113E-4</v>
          </cell>
          <cell r="K47">
            <v>3.810058724569653E-4</v>
          </cell>
          <cell r="L47">
            <v>3.9246518006148367E-4</v>
          </cell>
          <cell r="M47">
            <v>3.4732442532565955E-4</v>
          </cell>
        </row>
        <row r="48">
          <cell r="B48">
            <v>1.3199589458690583E-2</v>
          </cell>
          <cell r="C48">
            <v>1.7225432064573313E-3</v>
          </cell>
          <cell r="D48">
            <v>3.8002819893836904E-3</v>
          </cell>
          <cell r="E48">
            <v>2.8373252586001399E-3</v>
          </cell>
          <cell r="F48">
            <v>2.7159491808590435E-3</v>
          </cell>
          <cell r="G48">
            <v>1.9920837422573935E-3</v>
          </cell>
          <cell r="H48">
            <v>0</v>
          </cell>
          <cell r="I48">
            <v>0</v>
          </cell>
          <cell r="J48">
            <v>1.1451253871839653E-3</v>
          </cell>
          <cell r="K48">
            <v>1.6374457583379178E-3</v>
          </cell>
          <cell r="L48">
            <v>1.6545998847189761E-3</v>
          </cell>
          <cell r="M48">
            <v>1.8537577157919814E-3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3.8715402080685072E-4</v>
          </cell>
          <cell r="K49">
            <v>6.4932171607212934E-4</v>
          </cell>
          <cell r="L49">
            <v>6.5134018548956797E-4</v>
          </cell>
          <cell r="M49">
            <v>1.202373059643051E-3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2.1562655422128129E-4</v>
          </cell>
          <cell r="F50">
            <v>3.5902144041362208E-4</v>
          </cell>
          <cell r="G50">
            <v>1.2501916331407381E-3</v>
          </cell>
          <cell r="H50">
            <v>2.4221253469735517E-3</v>
          </cell>
          <cell r="I50">
            <v>2.8034770988487837E-3</v>
          </cell>
          <cell r="J50">
            <v>1.8311879358364675E-3</v>
          </cell>
          <cell r="K50">
            <v>1.1397896267725956E-3</v>
          </cell>
          <cell r="L50">
            <v>1.0760303054151974E-3</v>
          </cell>
          <cell r="M50">
            <v>1.6756747669847583E-3</v>
          </cell>
        </row>
        <row r="51">
          <cell r="B51">
            <v>2.7658329493418725E-2</v>
          </cell>
          <cell r="C51">
            <v>2.9044276932024417E-2</v>
          </cell>
          <cell r="D51">
            <v>0.11545162905629829</v>
          </cell>
          <cell r="E51">
            <v>0.11448060481093074</v>
          </cell>
          <cell r="F51">
            <v>0.11545362055349455</v>
          </cell>
          <cell r="G51">
            <v>4.8486818117746203E-2</v>
          </cell>
          <cell r="H51">
            <v>0</v>
          </cell>
          <cell r="I51">
            <v>0</v>
          </cell>
          <cell r="J51">
            <v>1.2750969645665231E-3</v>
          </cell>
          <cell r="K51">
            <v>3.2011338636744858E-3</v>
          </cell>
          <cell r="L51">
            <v>2.1349594136354615E-3</v>
          </cell>
          <cell r="M51">
            <v>2.886025580248695E-3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9.3857508610734682E-4</v>
          </cell>
          <cell r="K52">
            <v>1.8155706432822962E-3</v>
          </cell>
          <cell r="L52">
            <v>1.4054606696984138E-3</v>
          </cell>
          <cell r="M52">
            <v>2.4744427843376598E-3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3.1633032701331679E-4</v>
          </cell>
          <cell r="F53">
            <v>5.5999290099706433E-4</v>
          </cell>
          <cell r="G53">
            <v>5.2959123186333425E-2</v>
          </cell>
          <cell r="H53">
            <v>8.8954611377336429E-2</v>
          </cell>
          <cell r="I53">
            <v>8.82440184675298E-2</v>
          </cell>
          <cell r="J53">
            <v>8.6844481640914864E-2</v>
          </cell>
          <cell r="K53">
            <v>8.5551949631043345E-2</v>
          </cell>
          <cell r="L53">
            <v>8.6619479210714403E-2</v>
          </cell>
          <cell r="M53">
            <v>8.5406835199300535E-2</v>
          </cell>
        </row>
        <row r="54">
          <cell r="B54">
            <v>0.95936493589577942</v>
          </cell>
          <cell r="C54">
            <v>1.1059417555439905</v>
          </cell>
          <cell r="D54">
            <v>1.1059832162553229</v>
          </cell>
          <cell r="E54">
            <v>1.1059844091620241</v>
          </cell>
          <cell r="F54">
            <v>1.1076967880855895</v>
          </cell>
          <cell r="G54">
            <v>1.3402525745503058</v>
          </cell>
          <cell r="H54">
            <v>2.526454076856965</v>
          </cell>
          <cell r="I54">
            <v>3.8368055334813187</v>
          </cell>
          <cell r="J54">
            <v>4.2622552558167834</v>
          </cell>
          <cell r="K54">
            <v>5.2000120914270589</v>
          </cell>
          <cell r="L54">
            <v>5.8224732321660859</v>
          </cell>
          <cell r="M54">
            <v>6.9513599220855751</v>
          </cell>
        </row>
        <row r="55">
          <cell r="B55">
            <v>0.5943997765211273</v>
          </cell>
          <cell r="C55">
            <v>0.6258657106413863</v>
          </cell>
          <cell r="D55">
            <v>0.96046534662965544</v>
          </cell>
          <cell r="E55">
            <v>1.0859181335897903</v>
          </cell>
          <cell r="F55">
            <v>1.0037712170127806</v>
          </cell>
          <cell r="G55">
            <v>0.6116423901853324</v>
          </cell>
          <cell r="H55">
            <v>0</v>
          </cell>
          <cell r="I55">
            <v>0</v>
          </cell>
          <cell r="J55">
            <v>8.0197819326735065E-4</v>
          </cell>
          <cell r="K55">
            <v>7.7791643803718782E-4</v>
          </cell>
          <cell r="L55">
            <v>5.4785018317706521E-4</v>
          </cell>
          <cell r="M55">
            <v>9.266089551715471E-4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2.4128248590611498E-4</v>
          </cell>
          <cell r="F56">
            <v>2.5941142232589726E-4</v>
          </cell>
          <cell r="G56">
            <v>2.1686251757717084E-3</v>
          </cell>
          <cell r="H56">
            <v>2.0097844641842263E-3</v>
          </cell>
          <cell r="I56">
            <v>1.2433683754265136E-3</v>
          </cell>
          <cell r="J56">
            <v>6.6584304814154463E-4</v>
          </cell>
          <cell r="K56">
            <v>7.0341773939620693E-4</v>
          </cell>
          <cell r="L56">
            <v>6.4112631303956703E-4</v>
          </cell>
          <cell r="M56">
            <v>1.069502388990127E-3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4.4797777997224452E-4</v>
          </cell>
          <cell r="F57">
            <v>1.6766317751610532E-3</v>
          </cell>
          <cell r="G57">
            <v>2.5961073602389006E-3</v>
          </cell>
          <cell r="H57">
            <v>3.0924559812498136E-3</v>
          </cell>
          <cell r="I57">
            <v>1.5960746267757234E-2</v>
          </cell>
          <cell r="J57">
            <v>2.7730657954115466E-2</v>
          </cell>
          <cell r="K57">
            <v>2.7241113105057752E-2</v>
          </cell>
          <cell r="L57">
            <v>1.1660784045069881E-2</v>
          </cell>
          <cell r="M57">
            <v>6.8209327829334546E-2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3.905199909659273E-4</v>
          </cell>
          <cell r="K58">
            <v>6.2078096028159039E-4</v>
          </cell>
          <cell r="L58">
            <v>5.0559534651559341E-4</v>
          </cell>
          <cell r="M58">
            <v>1.0206311917389846E-3</v>
          </cell>
        </row>
        <row r="70">
          <cell r="B70">
            <v>9.4508217838747174E-2</v>
          </cell>
          <cell r="C70">
            <v>7.2899756046386661E-3</v>
          </cell>
          <cell r="D70">
            <v>8.1130065720600608E-2</v>
          </cell>
          <cell r="E70">
            <v>4.4301428067518932E-2</v>
          </cell>
          <cell r="F70">
            <v>3.4340610071854988E-2</v>
          </cell>
          <cell r="G70">
            <v>2.4005100947742643E-2</v>
          </cell>
          <cell r="H70">
            <v>2.7802789759560995E-2</v>
          </cell>
          <cell r="I70">
            <v>9.4480333081112339E-2</v>
          </cell>
          <cell r="J70">
            <v>9.4498044153493888E-2</v>
          </cell>
          <cell r="K70">
            <v>9.4495897155678604E-2</v>
          </cell>
          <cell r="L70">
            <v>9.4495799488665225E-2</v>
          </cell>
          <cell r="M70">
            <v>9.4496025685118903E-2</v>
          </cell>
        </row>
        <row r="71">
          <cell r="B71">
            <v>1.0329958047662487E-3</v>
          </cell>
          <cell r="C71">
            <v>8.2877843048332299E-4</v>
          </cell>
          <cell r="D71">
            <v>1.0194886159321718E-3</v>
          </cell>
          <cell r="E71">
            <v>1.0303401656017925E-3</v>
          </cell>
          <cell r="F71">
            <v>0.7834310770354701</v>
          </cell>
          <cell r="G71">
            <v>1.1008340934030159</v>
          </cell>
          <cell r="H71">
            <v>1.1010482848954182</v>
          </cell>
          <cell r="I71">
            <v>1.5002443913590482</v>
          </cell>
          <cell r="J71">
            <v>1.7442987381446133</v>
          </cell>
          <cell r="K71">
            <v>1.7853183029090101</v>
          </cell>
          <cell r="L71">
            <v>1.9884892842262727</v>
          </cell>
          <cell r="M71">
            <v>2.0179202523231008</v>
          </cell>
        </row>
        <row r="72">
          <cell r="B72">
            <v>9.3815147459513709E-4</v>
          </cell>
          <cell r="C72">
            <v>7.5613276214147478E-4</v>
          </cell>
          <cell r="D72">
            <v>9.1853707396935297E-4</v>
          </cell>
          <cell r="E72">
            <v>9.6869787214046068E-4</v>
          </cell>
          <cell r="F72">
            <v>1.2561646898472055E-2</v>
          </cell>
          <cell r="G72">
            <v>1.8302360848023003E-2</v>
          </cell>
          <cell r="H72">
            <v>1.0666244012692276</v>
          </cell>
          <cell r="I72">
            <v>1.6805950604913313</v>
          </cell>
          <cell r="J72">
            <v>2.8492944700224276</v>
          </cell>
          <cell r="K72">
            <v>2.8035916191934671</v>
          </cell>
          <cell r="L72">
            <v>3.1060357056832966</v>
          </cell>
          <cell r="M72">
            <v>3.5616835515549656</v>
          </cell>
        </row>
        <row r="73">
          <cell r="B73">
            <v>3.0265920242216951E-4</v>
          </cell>
          <cell r="C73">
            <v>3.0245531761112049E-4</v>
          </cell>
          <cell r="D73">
            <v>3.0340396600480137E-4</v>
          </cell>
          <cell r="E73">
            <v>7.6771122307751433E-2</v>
          </cell>
          <cell r="F73">
            <v>0.20619285648349897</v>
          </cell>
          <cell r="G73">
            <v>0.33468630998116028</v>
          </cell>
          <cell r="H73">
            <v>0.36784099512709095</v>
          </cell>
          <cell r="I73">
            <v>0.28521232695389376</v>
          </cell>
          <cell r="J73">
            <v>0.42325574147540512</v>
          </cell>
          <cell r="K73">
            <v>0.47700929720892549</v>
          </cell>
          <cell r="L73">
            <v>0.44925984359674653</v>
          </cell>
          <cell r="M73">
            <v>0.40293265726838307</v>
          </cell>
        </row>
        <row r="74">
          <cell r="B74">
            <v>6.0768191781202462E-4</v>
          </cell>
          <cell r="C74">
            <v>6.0726879309636733E-4</v>
          </cell>
          <cell r="D74">
            <v>6.0920951656065535E-4</v>
          </cell>
          <cell r="E74">
            <v>2.4128273911752804E-2</v>
          </cell>
          <cell r="F74">
            <v>3.7392712349514481E-2</v>
          </cell>
          <cell r="G74">
            <v>2.5160708888050928E-2</v>
          </cell>
          <cell r="H74">
            <v>3.543431106816812E-2</v>
          </cell>
          <cell r="I74">
            <v>4.6523323468268325E-2</v>
          </cell>
          <cell r="J74">
            <v>2.9972828176240876E-2</v>
          </cell>
          <cell r="K74">
            <v>4.9842778659879433E-2</v>
          </cell>
          <cell r="L74">
            <v>4.7216466707786744E-2</v>
          </cell>
          <cell r="M74">
            <v>7.6662728598738905E-2</v>
          </cell>
        </row>
        <row r="75">
          <cell r="B75">
            <v>6.0744168834381371E-4</v>
          </cell>
          <cell r="C75">
            <v>6.0702454627620695E-4</v>
          </cell>
          <cell r="D75">
            <v>6.0888513524597608E-4</v>
          </cell>
          <cell r="E75">
            <v>3.9341439093620506E-2</v>
          </cell>
          <cell r="F75">
            <v>7.7830539230980864E-2</v>
          </cell>
          <cell r="G75">
            <v>6.0906302106327193E-2</v>
          </cell>
          <cell r="H75">
            <v>4.2300480994044043E-2</v>
          </cell>
          <cell r="I75">
            <v>0.12471885274290062</v>
          </cell>
          <cell r="J75">
            <v>0.11277915204497077</v>
          </cell>
          <cell r="K75">
            <v>0.11090881012968179</v>
          </cell>
          <cell r="L75">
            <v>0.12109404678329475</v>
          </cell>
          <cell r="M75">
            <v>0.18460358521630049</v>
          </cell>
        </row>
        <row r="76">
          <cell r="B76">
            <v>3.0382408318067427E-4</v>
          </cell>
          <cell r="C76">
            <v>3.0362196464207928E-4</v>
          </cell>
          <cell r="D76">
            <v>3.0452804743120435E-4</v>
          </cell>
          <cell r="E76">
            <v>2.4588409333468095E-2</v>
          </cell>
          <cell r="F76">
            <v>8.0113666365391287E-2</v>
          </cell>
          <cell r="G76">
            <v>5.5052962213828494E-2</v>
          </cell>
          <cell r="H76">
            <v>2.8335119720255514E-2</v>
          </cell>
          <cell r="I76">
            <v>0.13428699570876287</v>
          </cell>
          <cell r="J76">
            <v>0.13284605167337393</v>
          </cell>
          <cell r="K76">
            <v>9.602585325211177E-2</v>
          </cell>
          <cell r="L76">
            <v>0.11573857157917368</v>
          </cell>
          <cell r="M76">
            <v>0.14763494211100861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1.2624651877967116E-4</v>
          </cell>
          <cell r="H90">
            <v>1.2670362025095916E-4</v>
          </cell>
          <cell r="I90">
            <v>1.27922135816608E-4</v>
          </cell>
          <cell r="J90">
            <v>1.2930351668822507E-4</v>
          </cell>
          <cell r="K90">
            <v>1.418304122765964E-4</v>
          </cell>
          <cell r="L90">
            <v>1.4404905663952872E-4</v>
          </cell>
          <cell r="M90">
            <v>3.1326583997625811E-4</v>
          </cell>
        </row>
        <row r="91">
          <cell r="B91">
            <v>1.8035507547076934</v>
          </cell>
          <cell r="C91">
            <v>1.5059188149097683E-4</v>
          </cell>
          <cell r="D91">
            <v>8.8879303485418066E-4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0.45801571768323734</v>
          </cell>
          <cell r="C92">
            <v>0.24881503061630164</v>
          </cell>
          <cell r="D92">
            <v>0.21500879542263965</v>
          </cell>
          <cell r="E92">
            <v>1.0250318585827436E-3</v>
          </cell>
          <cell r="F92">
            <v>1.694093453862107E-3</v>
          </cell>
          <cell r="G92">
            <v>2.3503170692788329</v>
          </cell>
          <cell r="H92">
            <v>3.289592455815352</v>
          </cell>
          <cell r="I92">
            <v>4.0926301330921548</v>
          </cell>
          <cell r="J92">
            <v>4.148620687090987</v>
          </cell>
          <cell r="K92">
            <v>4.0710845642135336</v>
          </cell>
          <cell r="L92">
            <v>4.1509565653814064</v>
          </cell>
          <cell r="M92">
            <v>4.2962553185051258</v>
          </cell>
        </row>
        <row r="93">
          <cell r="B93">
            <v>14.461260745686962</v>
          </cell>
          <cell r="C93">
            <v>13.051647707454439</v>
          </cell>
          <cell r="D93">
            <v>13.166421397581127</v>
          </cell>
          <cell r="E93">
            <v>12.779633941215595</v>
          </cell>
          <cell r="F93">
            <v>12.342946483352721</v>
          </cell>
          <cell r="G93">
            <v>11.988154258861959</v>
          </cell>
          <cell r="H93">
            <v>10.886520882570363</v>
          </cell>
          <cell r="I93">
            <v>10.757713100279821</v>
          </cell>
          <cell r="J93">
            <v>10.757711364483406</v>
          </cell>
          <cell r="K93">
            <v>10.757710835956559</v>
          </cell>
          <cell r="L93">
            <v>10.757710573279503</v>
          </cell>
          <cell r="M93">
            <v>10.757711811650486</v>
          </cell>
        </row>
        <row r="94">
          <cell r="B94">
            <v>9.2597338578950944E-3</v>
          </cell>
          <cell r="C94">
            <v>4.4090932569691263E-5</v>
          </cell>
          <cell r="D94">
            <v>1.374413016757742E-3</v>
          </cell>
          <cell r="E94">
            <v>5.03258113491933E-4</v>
          </cell>
          <cell r="F94">
            <v>1.9235284842674823E-4</v>
          </cell>
          <cell r="G94">
            <v>1.0402828549478051E-3</v>
          </cell>
          <cell r="H94">
            <v>9.1747129787257253E-4</v>
          </cell>
          <cell r="I94">
            <v>5.3939834334347328E-6</v>
          </cell>
          <cell r="J94">
            <v>1.5001514110353888E-4</v>
          </cell>
          <cell r="K94">
            <v>1.4962650092200608E-4</v>
          </cell>
          <cell r="L94">
            <v>1.4848226217511362E-4</v>
          </cell>
          <cell r="M94">
            <v>1.5766303496977737E-4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0.33037214846910129</v>
          </cell>
          <cell r="H96">
            <v>0.94851442459192192</v>
          </cell>
          <cell r="I96">
            <v>1.4283013736095338</v>
          </cell>
          <cell r="J96">
            <v>1.4293245266003773</v>
          </cell>
          <cell r="K96">
            <v>1.429775939149819</v>
          </cell>
          <cell r="L96">
            <v>1.4297765305042451</v>
          </cell>
          <cell r="M96">
            <v>1.4299285645199096</v>
          </cell>
        </row>
        <row r="97">
          <cell r="B97">
            <v>1.7328995569212777</v>
          </cell>
          <cell r="C97">
            <v>1.4893295948494873</v>
          </cell>
          <cell r="D97">
            <v>1.4749765943912718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B98">
            <v>0.90177510829181529</v>
          </cell>
          <cell r="C98">
            <v>0.90177398187521951</v>
          </cell>
          <cell r="D98">
            <v>0.9017741023114032</v>
          </cell>
          <cell r="E98">
            <v>0.90177409567001077</v>
          </cell>
          <cell r="F98">
            <v>0.90177458769010976</v>
          </cell>
          <cell r="G98">
            <v>0.90177468519084092</v>
          </cell>
          <cell r="H98">
            <v>0.90177296959634701</v>
          </cell>
          <cell r="I98">
            <v>0.90177469961006462</v>
          </cell>
          <cell r="J98">
            <v>0.90177301817347089</v>
          </cell>
          <cell r="K98">
            <v>4.5186837109373723</v>
          </cell>
          <cell r="L98">
            <v>6.5515812582438153</v>
          </cell>
          <cell r="M98">
            <v>8.5178643940116014</v>
          </cell>
        </row>
        <row r="99">
          <cell r="B99">
            <v>2.9000120813914632</v>
          </cell>
          <cell r="C99">
            <v>7.6038005716900443</v>
          </cell>
          <cell r="D99">
            <v>7.6035071363454128</v>
          </cell>
          <cell r="E99">
            <v>2.3005228408152822</v>
          </cell>
          <cell r="F99">
            <v>1.6982584261347644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B100">
            <v>0.18406587926606541</v>
          </cell>
          <cell r="C100">
            <v>0.18586337060125313</v>
          </cell>
          <cell r="D100">
            <v>5.346827961875926E-2</v>
          </cell>
          <cell r="E100">
            <v>5.3631234756674688E-2</v>
          </cell>
          <cell r="F100">
            <v>1.88998906927503E-4</v>
          </cell>
          <cell r="G100">
            <v>2.4372143362802935E-5</v>
          </cell>
          <cell r="H100">
            <v>5.0293491263287009E-5</v>
          </cell>
          <cell r="I100">
            <v>3.1458405265468248E-5</v>
          </cell>
          <cell r="J100">
            <v>3.1958637704679582E-7</v>
          </cell>
          <cell r="K100">
            <v>0</v>
          </cell>
          <cell r="L100">
            <v>5.1194888462321799E-8</v>
          </cell>
          <cell r="M100">
            <v>1.00161258951833E-8</v>
          </cell>
        </row>
        <row r="101">
          <cell r="B101">
            <v>2.0570442403504705</v>
          </cell>
          <cell r="C101">
            <v>1.856482208438532</v>
          </cell>
          <cell r="D101">
            <v>1.5917114647796469</v>
          </cell>
          <cell r="E101">
            <v>3.6071458122102666</v>
          </cell>
          <cell r="F101">
            <v>2.7913580858755243</v>
          </cell>
          <cell r="G101">
            <v>2.1598996916274276</v>
          </cell>
          <cell r="H101">
            <v>1.6712898652816974</v>
          </cell>
          <cell r="I101">
            <v>1.2932164185846347</v>
          </cell>
          <cell r="J101">
            <v>1.0006618163197833</v>
          </cell>
          <cell r="K101">
            <v>0.77429547508115815</v>
          </cell>
          <cell r="L101">
            <v>0.59913408685995218</v>
          </cell>
          <cell r="M101">
            <v>0.46360323786092617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1.4555472365237275E-5</v>
          </cell>
          <cell r="F102">
            <v>2.1940043421209092E-5</v>
          </cell>
          <cell r="G102">
            <v>2.2226851875610692E-5</v>
          </cell>
          <cell r="H102">
            <v>2.2901331037541532E-5</v>
          </cell>
          <cell r="I102">
            <v>2.5250430095370821E-5</v>
          </cell>
          <cell r="J102">
            <v>2.5780845736088154E-5</v>
          </cell>
          <cell r="K102">
            <v>3.1477027392311066E-5</v>
          </cell>
          <cell r="L102">
            <v>3.2654261967319557E-5</v>
          </cell>
          <cell r="M102">
            <v>6.15663676882221E-5</v>
          </cell>
        </row>
        <row r="103">
          <cell r="F103">
            <v>0.35742840795876329</v>
          </cell>
          <cell r="G103">
            <v>0.75690980751843606</v>
          </cell>
          <cell r="H103">
            <v>0.74831770976628043</v>
          </cell>
          <cell r="I103">
            <v>0.74006480575184641</v>
          </cell>
          <cell r="J103">
            <v>0.7397354809286012</v>
          </cell>
          <cell r="K103">
            <v>0.5410252134936675</v>
          </cell>
          <cell r="L103">
            <v>0.74006532405579151</v>
          </cell>
          <cell r="M103">
            <v>0.74011893507442417</v>
          </cell>
        </row>
        <row r="104">
          <cell r="B104">
            <v>0.92932821397960896</v>
          </cell>
          <cell r="C104">
            <v>2.0727098903810917</v>
          </cell>
          <cell r="D104">
            <v>9.0380552040381784E-2</v>
          </cell>
          <cell r="E104">
            <v>1.3189430550609258</v>
          </cell>
          <cell r="F104">
            <v>0.8494898863105772</v>
          </cell>
          <cell r="G104">
            <v>0</v>
          </cell>
          <cell r="H104">
            <v>0</v>
          </cell>
          <cell r="I104">
            <v>0</v>
          </cell>
          <cell r="J104">
            <v>4.6656916750264467E-3</v>
          </cell>
          <cell r="K104">
            <v>4.5372456542786838E-3</v>
          </cell>
          <cell r="L104">
            <v>0.37951654291852188</v>
          </cell>
          <cell r="M104">
            <v>0.37869410845269474</v>
          </cell>
        </row>
        <row r="105">
          <cell r="B105">
            <v>0.65956574891523456</v>
          </cell>
          <cell r="C105">
            <v>0.8294698561564271</v>
          </cell>
          <cell r="D105">
            <v>3.3612284531445775</v>
          </cell>
          <cell r="E105">
            <v>3.3635603793715645</v>
          </cell>
          <cell r="F105">
            <v>3.3621958676260326</v>
          </cell>
          <cell r="G105">
            <v>4.8163065111338597</v>
          </cell>
          <cell r="H105">
            <v>8.1189060964830002</v>
          </cell>
          <cell r="I105">
            <v>9.0874414215371342</v>
          </cell>
          <cell r="J105">
            <v>8.9681961790269025</v>
          </cell>
          <cell r="K105">
            <v>9.0878390850322059</v>
          </cell>
          <cell r="L105">
            <v>9.0515271531829278</v>
          </cell>
          <cell r="M105">
            <v>9.0875871622456952</v>
          </cell>
        </row>
        <row r="106">
          <cell r="B106">
            <v>1.9347901992156566</v>
          </cell>
          <cell r="C106">
            <v>1.8587657774038655</v>
          </cell>
          <cell r="D106">
            <v>2.5502857889282793</v>
          </cell>
          <cell r="E106">
            <v>2.2433294776403399</v>
          </cell>
          <cell r="F106">
            <v>1.9426644674626261</v>
          </cell>
          <cell r="G106">
            <v>1.5927190098575736</v>
          </cell>
          <cell r="H106">
            <v>2.519692923356406</v>
          </cell>
          <cell r="I106">
            <v>2.0114643260932512</v>
          </cell>
          <cell r="J106">
            <v>2.0113725087161947</v>
          </cell>
          <cell r="K106">
            <v>2.0114681843450706</v>
          </cell>
          <cell r="L106">
            <v>2.0114583040639373</v>
          </cell>
          <cell r="M106">
            <v>2.0114862401990021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5.9248587751292642E-5</v>
          </cell>
          <cell r="F107">
            <v>9.1886404482795721E-5</v>
          </cell>
          <cell r="G107">
            <v>7.5838595857940551E-4</v>
          </cell>
          <cell r="H107">
            <v>5.1361085939810613E-4</v>
          </cell>
          <cell r="I107">
            <v>1.6101925735053727E-4</v>
          </cell>
          <cell r="J107">
            <v>2.7748736355418419E-4</v>
          </cell>
          <cell r="K107">
            <v>1.5373921169316168E-4</v>
          </cell>
          <cell r="L107">
            <v>1.5836314283182678E-4</v>
          </cell>
          <cell r="M107">
            <v>1.4014845232438922E-4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1.9233364296897756E-3</v>
          </cell>
          <cell r="F108">
            <v>0.45723823571391725</v>
          </cell>
          <cell r="G108">
            <v>2.0200243011181827</v>
          </cell>
          <cell r="H108">
            <v>2.2549229912208739</v>
          </cell>
          <cell r="I108">
            <v>2.4224520861841889</v>
          </cell>
          <cell r="J108">
            <v>2.4224536404995782</v>
          </cell>
          <cell r="K108">
            <v>2.4224533482618567</v>
          </cell>
          <cell r="L108">
            <v>2.422453669684455</v>
          </cell>
          <cell r="M108">
            <v>2.4224542213489419</v>
          </cell>
        </row>
        <row r="109">
          <cell r="B109">
            <v>3.1776789437588479E-2</v>
          </cell>
          <cell r="C109">
            <v>4.1049389427956764E-3</v>
          </cell>
          <cell r="D109">
            <v>8.9175929221781431E-3</v>
          </cell>
          <cell r="E109">
            <v>6.4853148768003422E-3</v>
          </cell>
          <cell r="F109">
            <v>6.153428720542805E-3</v>
          </cell>
          <cell r="G109">
            <v>4.473451210683271E-3</v>
          </cell>
          <cell r="H109">
            <v>0</v>
          </cell>
          <cell r="I109">
            <v>0</v>
          </cell>
          <cell r="J109">
            <v>3.2619942275650769E-3</v>
          </cell>
          <cell r="K109">
            <v>4.8558531830162916E-3</v>
          </cell>
          <cell r="L109">
            <v>4.8971559826100162E-3</v>
          </cell>
          <cell r="M109">
            <v>6.431874950144547E-3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5.8209850738541393E-4</v>
          </cell>
          <cell r="F110">
            <v>9.4917787826439767E-4</v>
          </cell>
          <cell r="G110">
            <v>3.2355152405794474E-3</v>
          </cell>
          <cell r="H110">
            <v>6.1441228223301806E-3</v>
          </cell>
          <cell r="I110">
            <v>6.9675276324647466E-3</v>
          </cell>
          <cell r="J110">
            <v>4.5510814225719724E-3</v>
          </cell>
          <cell r="K110">
            <v>2.832737860778616E-3</v>
          </cell>
          <cell r="L110">
            <v>2.6742757732633295E-3</v>
          </cell>
          <cell r="M110">
            <v>4.1645819924067008E-3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B112">
            <v>6.0085336485702814E-2</v>
          </cell>
          <cell r="C112">
            <v>6.2481918052847064E-2</v>
          </cell>
          <cell r="D112">
            <v>0.24470437239059104</v>
          </cell>
          <cell r="E112">
            <v>0.23659324994259051</v>
          </cell>
          <cell r="F112">
            <v>0.23570203627751693</v>
          </cell>
          <cell r="G112">
            <v>9.7768502106275176E-2</v>
          </cell>
          <cell r="H112">
            <v>0</v>
          </cell>
          <cell r="I112">
            <v>0</v>
          </cell>
          <cell r="J112">
            <v>4.3862119412004319E-3</v>
          </cell>
          <cell r="K112">
            <v>9.9301466312143819E-3</v>
          </cell>
          <cell r="L112">
            <v>7.0119705081633822E-3</v>
          </cell>
          <cell r="M112">
            <v>1.0627839129809849E-2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8.4146983540488325E-4</v>
          </cell>
          <cell r="F113">
            <v>1.4896362883665758E-3</v>
          </cell>
          <cell r="G113">
            <v>0.14087648532325142</v>
          </cell>
          <cell r="H113">
            <v>0.23662803026483592</v>
          </cell>
          <cell r="I113">
            <v>0.23473778311559643</v>
          </cell>
          <cell r="J113">
            <v>0.23101487727139955</v>
          </cell>
          <cell r="K113">
            <v>0.22757661478208602</v>
          </cell>
          <cell r="L113">
            <v>0.23041634863933894</v>
          </cell>
          <cell r="M113">
            <v>0.22719059609666178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B115">
            <v>1.4243088526007546</v>
          </cell>
          <cell r="C115">
            <v>1.5783210442457019</v>
          </cell>
          <cell r="D115">
            <v>1.4829748307860846</v>
          </cell>
          <cell r="E115">
            <v>1.3239672867673631</v>
          </cell>
          <cell r="F115">
            <v>1.1667618302846412</v>
          </cell>
          <cell r="G115">
            <v>1.2190277959722897</v>
          </cell>
          <cell r="H115">
            <v>2.2979383165665794</v>
          </cell>
          <cell r="I115">
            <v>3.4897695269291669</v>
          </cell>
          <cell r="J115">
            <v>3.8767376605211794</v>
          </cell>
          <cell r="K115">
            <v>4.72967513676927</v>
          </cell>
          <cell r="L115">
            <v>5.2958351627838427</v>
          </cell>
          <cell r="M115">
            <v>6.3226149501509621</v>
          </cell>
        </row>
        <row r="116">
          <cell r="B116">
            <v>0.69257847478241374</v>
          </cell>
          <cell r="C116">
            <v>0.75019741049638833</v>
          </cell>
          <cell r="D116">
            <v>1.1995056056092124</v>
          </cell>
          <cell r="E116">
            <v>1.4470797572112304</v>
          </cell>
          <cell r="F116">
            <v>1.4216343586593605</v>
          </cell>
          <cell r="G116">
            <v>0.91746358527799832</v>
          </cell>
          <cell r="H116">
            <v>0</v>
          </cell>
          <cell r="I116">
            <v>0</v>
          </cell>
          <cell r="J116">
            <v>1.2029672899010247E-3</v>
          </cell>
          <cell r="K116">
            <v>1.1668746570557813E-3</v>
          </cell>
          <cell r="L116">
            <v>8.2177527476559858E-4</v>
          </cell>
          <cell r="M116">
            <v>1.3899134327573204E-3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3.8561004839362243E-4</v>
          </cell>
          <cell r="F117">
            <v>4.0564816049308241E-4</v>
          </cell>
          <cell r="G117">
            <v>3.3164391135608313E-3</v>
          </cell>
          <cell r="H117">
            <v>3.0125442202922287E-3</v>
          </cell>
          <cell r="I117">
            <v>1.8260058961774837E-3</v>
          </cell>
          <cell r="J117">
            <v>9.7785447648865952E-4</v>
          </cell>
          <cell r="K117">
            <v>1.0330365199876564E-3</v>
          </cell>
          <cell r="L117">
            <v>9.4155557672374814E-4</v>
          </cell>
          <cell r="M117">
            <v>1.5706669936831571E-3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1.1337677157075297E-4</v>
          </cell>
          <cell r="K118">
            <v>1.8022673040433274E-4</v>
          </cell>
          <cell r="L118">
            <v>1.4678574576259163E-4</v>
          </cell>
          <cell r="M118">
            <v>2.9631228147260815E-4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3.3716222387384726E-4</v>
          </cell>
          <cell r="F119">
            <v>1.1587715319363568E-3</v>
          </cell>
          <cell r="G119">
            <v>1.634586115705976E-3</v>
          </cell>
          <cell r="H119">
            <v>1.8475059082828991E-3</v>
          </cell>
          <cell r="I119">
            <v>9.0212913687323544E-3</v>
          </cell>
          <cell r="J119">
            <v>1.567385014797832E-2</v>
          </cell>
          <cell r="K119">
            <v>1.5397150885467422E-2</v>
          </cell>
          <cell r="L119">
            <v>6.590877938517762E-3</v>
          </cell>
          <cell r="M119">
            <v>3.8553098338319526E-2</v>
          </cell>
        </row>
        <row r="123">
          <cell r="B123">
            <v>0</v>
          </cell>
          <cell r="C123">
            <v>3.9395024946800921</v>
          </cell>
          <cell r="D123">
            <v>4.0588737643165347</v>
          </cell>
          <cell r="E123">
            <v>4.4363916552004268</v>
          </cell>
          <cell r="F123">
            <v>6.3703246638021369</v>
          </cell>
          <cell r="G123">
            <v>6.6952757294021703</v>
          </cell>
          <cell r="H123">
            <v>7.0368040998578669</v>
          </cell>
          <cell r="I123">
            <v>8.6768712579846667</v>
          </cell>
          <cell r="J123">
            <v>9.1195141100998001</v>
          </cell>
          <cell r="K123">
            <v>13.674953921558634</v>
          </cell>
          <cell r="L123">
            <v>14.372516991519728</v>
          </cell>
          <cell r="M123">
            <v>15.106304346304738</v>
          </cell>
        </row>
      </sheetData>
      <sheetData sheetId="59">
        <row r="13">
          <cell r="B13">
            <v>16.052401455553035</v>
          </cell>
          <cell r="C13">
            <v>20.041871225862714</v>
          </cell>
          <cell r="D13">
            <v>6.6188409832110073</v>
          </cell>
          <cell r="E13">
            <v>15.994120982765203</v>
          </cell>
          <cell r="F13">
            <v>16.372240028576268</v>
          </cell>
          <cell r="G13">
            <v>16.456225056913965</v>
          </cell>
          <cell r="H13">
            <v>16.5876216659302</v>
          </cell>
          <cell r="I13">
            <v>16.721978267655103</v>
          </cell>
          <cell r="J13">
            <v>16.783395037105006</v>
          </cell>
          <cell r="K13">
            <v>16.839983062514253</v>
          </cell>
          <cell r="L13">
            <v>16.90986775849203</v>
          </cell>
          <cell r="M13">
            <v>16.96937261497537</v>
          </cell>
        </row>
        <row r="14">
          <cell r="B14">
            <v>250.94817837501915</v>
          </cell>
          <cell r="C14">
            <v>254.3925432404817</v>
          </cell>
          <cell r="D14">
            <v>224.18692539895807</v>
          </cell>
          <cell r="E14">
            <v>221.53743910497565</v>
          </cell>
          <cell r="F14">
            <v>189.73912816767853</v>
          </cell>
          <cell r="G14">
            <v>100.03575043037419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B15">
            <v>66.745680071503884</v>
          </cell>
          <cell r="C15">
            <v>49.798799722391109</v>
          </cell>
          <cell r="D15">
            <v>68.759993668574865</v>
          </cell>
          <cell r="E15">
            <v>70.434312649408767</v>
          </cell>
          <cell r="F15">
            <v>71.412657219040256</v>
          </cell>
          <cell r="G15">
            <v>72.497173234813303</v>
          </cell>
          <cell r="H15">
            <v>73.751259760003663</v>
          </cell>
          <cell r="I15">
            <v>74.836026536032151</v>
          </cell>
          <cell r="J15">
            <v>74.836040651777509</v>
          </cell>
          <cell r="K15">
            <v>74.836026015869976</v>
          </cell>
          <cell r="L15">
            <v>74.836035221176147</v>
          </cell>
          <cell r="M15">
            <v>74.83604224785708</v>
          </cell>
        </row>
        <row r="16">
          <cell r="B16">
            <v>66.632400649744582</v>
          </cell>
          <cell r="C16">
            <v>55.764000107013885</v>
          </cell>
          <cell r="D16">
            <v>65.54974368884578</v>
          </cell>
          <cell r="E16">
            <v>64.713757043043117</v>
          </cell>
          <cell r="F16">
            <v>63.735421098953111</v>
          </cell>
          <cell r="G16">
            <v>62.650907534077902</v>
          </cell>
          <cell r="H16">
            <v>61.565868386089662</v>
          </cell>
          <cell r="I16">
            <v>60.481145119729575</v>
          </cell>
          <cell r="J16">
            <v>60.481130963801938</v>
          </cell>
          <cell r="K16">
            <v>60.481146817568373</v>
          </cell>
          <cell r="L16">
            <v>60.481137947601312</v>
          </cell>
          <cell r="M16">
            <v>60.481134043620003</v>
          </cell>
        </row>
        <row r="18">
          <cell r="B18">
            <v>0.11471567159110566</v>
          </cell>
          <cell r="C18">
            <v>2.4834251267435742E-4</v>
          </cell>
          <cell r="D18">
            <v>2.6784083032807575E-3</v>
          </cell>
          <cell r="E18">
            <v>4.5789587145417775E-4</v>
          </cell>
          <cell r="F18">
            <v>3.5818411295874647E-4</v>
          </cell>
          <cell r="G18">
            <v>0.49459674968182049</v>
          </cell>
          <cell r="H18">
            <v>0.49597450109973273</v>
          </cell>
          <cell r="I18">
            <v>1.4424084932158645E-5</v>
          </cell>
          <cell r="J18">
            <v>1.8604276386831324E-3</v>
          </cell>
          <cell r="K18">
            <v>2.016774494703047E-3</v>
          </cell>
          <cell r="L18">
            <v>9.9103372616753354E-4</v>
          </cell>
          <cell r="M18">
            <v>2.209237130126991E-3</v>
          </cell>
        </row>
        <row r="19">
          <cell r="B19">
            <v>18.203591075972078</v>
          </cell>
          <cell r="C19">
            <v>20.429784036757798</v>
          </cell>
          <cell r="D19">
            <v>20.760180849076569</v>
          </cell>
          <cell r="E19">
            <v>20.696585711058717</v>
          </cell>
          <cell r="F19">
            <v>20.958776635600721</v>
          </cell>
          <cell r="G19">
            <v>15.205959058513395</v>
          </cell>
          <cell r="H19">
            <v>12.523771809680056</v>
          </cell>
          <cell r="I19">
            <v>13.018159217022086</v>
          </cell>
          <cell r="J19">
            <v>13.018155963593705</v>
          </cell>
          <cell r="K19">
            <v>13.018157429179237</v>
          </cell>
          <cell r="L19">
            <v>13.018156065432743</v>
          </cell>
          <cell r="M19">
            <v>13.01815667151152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6.5813584105389653</v>
          </cell>
          <cell r="H20">
            <v>12.635756132503102</v>
          </cell>
          <cell r="I20">
            <v>13.01723292136729</v>
          </cell>
          <cell r="J20">
            <v>13.017231170072609</v>
          </cell>
          <cell r="K20">
            <v>13.017231172252796</v>
          </cell>
          <cell r="L20">
            <v>13.017230559058728</v>
          </cell>
          <cell r="M20">
            <v>13.017230984792162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8.3162229216532925E-6</v>
          </cell>
          <cell r="H21">
            <v>7.7374713604625845E-6</v>
          </cell>
          <cell r="I21">
            <v>2.1048662914619989E-4</v>
          </cell>
          <cell r="J21">
            <v>1.2401459702953042E-3</v>
          </cell>
          <cell r="K21">
            <v>1.0142741259827448E-3</v>
          </cell>
          <cell r="L21">
            <v>1.1655432465106222E-3</v>
          </cell>
          <cell r="M21">
            <v>1.8906685117677862E-3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6.5688743966800774E-6</v>
          </cell>
          <cell r="H22">
            <v>1.1758886947129012E-6</v>
          </cell>
          <cell r="I22">
            <v>3.5681207610703362E-3</v>
          </cell>
          <cell r="J22">
            <v>1.4588659549062835E-3</v>
          </cell>
          <cell r="K22">
            <v>1.141580062091726E-3</v>
          </cell>
          <cell r="L22">
            <v>1.1669446350147526E-3</v>
          </cell>
          <cell r="M22">
            <v>2.2478743569160757E-3</v>
          </cell>
          <cell r="P22">
            <v>2.5503645254728546</v>
          </cell>
          <cell r="Q22">
            <v>1.2781474596672384</v>
          </cell>
          <cell r="R22">
            <v>1.2772372394044511</v>
          </cell>
          <cell r="S22">
            <v>1.1998304766730294</v>
          </cell>
          <cell r="T22">
            <v>1.0223071339458794</v>
          </cell>
          <cell r="U22">
            <v>0.94310115541046913</v>
          </cell>
          <cell r="V22">
            <v>0.57853748249679116</v>
          </cell>
          <cell r="W22">
            <v>0.20218151116695965</v>
          </cell>
          <cell r="X22">
            <v>3.9051065605329111E-3</v>
          </cell>
          <cell r="Y22">
            <v>6.3708717736218647E-3</v>
          </cell>
          <cell r="Z22">
            <v>5.1602670462558287E-3</v>
          </cell>
          <cell r="AA22">
            <v>7.377401384270477E-3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7.9466711179976242E-6</v>
          </cell>
          <cell r="I23">
            <v>2.1748416025307903E-4</v>
          </cell>
          <cell r="J23">
            <v>4.8232803909019291</v>
          </cell>
          <cell r="K23">
            <v>5.4700189179788303</v>
          </cell>
          <cell r="L23">
            <v>5.554974788105949</v>
          </cell>
          <cell r="M23">
            <v>5.638417158857985</v>
          </cell>
          <cell r="P23">
            <v>6.7013957614098521E-2</v>
          </cell>
          <cell r="Q23">
            <v>5.6603936662965461E-2</v>
          </cell>
          <cell r="R23">
            <v>9.8486422974213325E-2</v>
          </cell>
          <cell r="S23">
            <v>2.6278087194142589E-2</v>
          </cell>
          <cell r="T23">
            <v>3.0324932073676779E-2</v>
          </cell>
          <cell r="U23">
            <v>7.8554502842804005E-2</v>
          </cell>
          <cell r="V23">
            <v>0.15072830139015386</v>
          </cell>
          <cell r="W23">
            <v>0.52897567408990764</v>
          </cell>
          <cell r="X23">
            <v>2.0642641050195607</v>
          </cell>
          <cell r="Y23">
            <v>2.0434494804976757</v>
          </cell>
          <cell r="Z23">
            <v>2.2653800546436464</v>
          </cell>
          <cell r="AA23">
            <v>2.3082610370807242</v>
          </cell>
        </row>
        <row r="24">
          <cell r="B24">
            <v>3.6693758486571624</v>
          </cell>
          <cell r="C24">
            <v>4.2280162343189144E-4</v>
          </cell>
          <cell r="D24">
            <v>2.1504386049121015E-3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3.3453194000596173E-5</v>
          </cell>
          <cell r="K24">
            <v>4.9915290276277488E-5</v>
          </cell>
          <cell r="L24">
            <v>4.6596061018379245E-5</v>
          </cell>
          <cell r="M24">
            <v>9.6657650318694992E-5</v>
          </cell>
        </row>
        <row r="25">
          <cell r="B25">
            <v>0.2699619285516956</v>
          </cell>
          <cell r="C25">
            <v>5.0310599581161308E-4</v>
          </cell>
          <cell r="D25">
            <v>4.1752274824611725E-2</v>
          </cell>
          <cell r="E25">
            <v>1.5493230161287958E-3</v>
          </cell>
          <cell r="F25">
            <v>2.4610258699791798E-3</v>
          </cell>
          <cell r="G25">
            <v>2.9348772600807074</v>
          </cell>
          <cell r="H25">
            <v>4.1136554968557171</v>
          </cell>
          <cell r="I25">
            <v>3.4673716785867481</v>
          </cell>
          <cell r="J25">
            <v>3.4351404004869504</v>
          </cell>
          <cell r="K25">
            <v>3.4380612373356172</v>
          </cell>
          <cell r="L25">
            <v>3.4365448805734169</v>
          </cell>
          <cell r="M25">
            <v>3.4380584641976029</v>
          </cell>
        </row>
        <row r="26">
          <cell r="B26">
            <v>40.31790279324737</v>
          </cell>
          <cell r="C26">
            <v>37.998760095525789</v>
          </cell>
          <cell r="D26">
            <v>38.028040592753939</v>
          </cell>
          <cell r="E26">
            <v>37.765447824621887</v>
          </cell>
          <cell r="F26">
            <v>37.524188316049617</v>
          </cell>
          <cell r="G26">
            <v>29.333786596990706</v>
          </cell>
          <cell r="H26">
            <v>26.400587968824006</v>
          </cell>
          <cell r="I26">
            <v>27.655025682327356</v>
          </cell>
          <cell r="J26">
            <v>28.450228530257142</v>
          </cell>
          <cell r="K26">
            <v>28.737720233050929</v>
          </cell>
          <cell r="L26">
            <v>29.024780497891157</v>
          </cell>
          <cell r="M26">
            <v>29.311316486803413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7.6379578457843875</v>
          </cell>
          <cell r="H27">
            <v>13.679641406622943</v>
          </cell>
          <cell r="I27">
            <v>13.180588641235218</v>
          </cell>
          <cell r="J27">
            <v>13.180585954167238</v>
          </cell>
          <cell r="K27">
            <v>13.180586638300783</v>
          </cell>
          <cell r="L27">
            <v>13.180585539184062</v>
          </cell>
          <cell r="M27">
            <v>13.18058670468745</v>
          </cell>
        </row>
        <row r="28">
          <cell r="B28">
            <v>1.7963115845459721E-2</v>
          </cell>
          <cell r="C28">
            <v>2.8809173385590533E-4</v>
          </cell>
          <cell r="D28">
            <v>2.7505272810180461E-3</v>
          </cell>
          <cell r="E28">
            <v>9.8965895682450291E-4</v>
          </cell>
          <cell r="F28">
            <v>3.7076972607278264E-4</v>
          </cell>
          <cell r="G28">
            <v>2.0809897351545146E-3</v>
          </cell>
          <cell r="H28">
            <v>1.7334841348684822E-3</v>
          </cell>
          <cell r="I28">
            <v>1.1415590289109776E-5</v>
          </cell>
          <cell r="J28">
            <v>3.2188637348442721E-4</v>
          </cell>
          <cell r="K28">
            <v>3.5787819675258255E-4</v>
          </cell>
          <cell r="L28">
            <v>3.4284832891363096E-4</v>
          </cell>
          <cell r="M28">
            <v>4.3271538948561262E-4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0.64778852641000473</v>
          </cell>
          <cell r="H30">
            <v>1.824066201138314</v>
          </cell>
          <cell r="I30">
            <v>2.6949082520934651</v>
          </cell>
          <cell r="J30">
            <v>2.6968387294346781</v>
          </cell>
          <cell r="K30">
            <v>2.6976904512260766</v>
          </cell>
          <cell r="L30">
            <v>2.6976915669891448</v>
          </cell>
          <cell r="M30">
            <v>2.697978423622474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1.0264472724410534E-3</v>
          </cell>
          <cell r="H31">
            <v>0.10692866786284609</v>
          </cell>
          <cell r="I31">
            <v>1.6563000456705772</v>
          </cell>
          <cell r="J31">
            <v>1.7052672875606096</v>
          </cell>
          <cell r="K31">
            <v>1.7071772724434258</v>
          </cell>
          <cell r="L31">
            <v>1.7148487088754327</v>
          </cell>
          <cell r="M31">
            <v>1.7055407016271611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5.5572346848883139E-2</v>
          </cell>
          <cell r="I32">
            <v>5.591815711943042E-2</v>
          </cell>
          <cell r="J32">
            <v>5.5944678893016707E-2</v>
          </cell>
          <cell r="K32">
            <v>5.596476257397457E-2</v>
          </cell>
          <cell r="L32">
            <v>5.6171935114664957E-2</v>
          </cell>
          <cell r="M32">
            <v>5.7162859287708284E-2</v>
          </cell>
        </row>
        <row r="33">
          <cell r="B33">
            <v>0.52400000000000047</v>
          </cell>
          <cell r="C33">
            <v>0.54529201541730321</v>
          </cell>
          <cell r="D33">
            <v>0.50316461375085242</v>
          </cell>
          <cell r="E33">
            <v>2.0502580118443223</v>
          </cell>
          <cell r="F33">
            <v>2.6087278270265699</v>
          </cell>
          <cell r="G33">
            <v>2.6087303278524723</v>
          </cell>
          <cell r="H33">
            <v>3.02629808325768</v>
          </cell>
          <cell r="I33">
            <v>3.0263334704456639</v>
          </cell>
          <cell r="J33">
            <v>3.0263347098079607</v>
          </cell>
          <cell r="K33">
            <v>3.0264180288717606</v>
          </cell>
          <cell r="L33">
            <v>3.0268161257046819</v>
          </cell>
          <cell r="M33">
            <v>3.0270610836370531</v>
          </cell>
        </row>
        <row r="34">
          <cell r="B34">
            <v>0</v>
          </cell>
          <cell r="C34">
            <v>0</v>
          </cell>
          <cell r="D34">
            <v>0.15619207185326314</v>
          </cell>
          <cell r="E34">
            <v>0.64200371044621907</v>
          </cell>
          <cell r="F34">
            <v>2.3202395754064646</v>
          </cell>
          <cell r="G34">
            <v>3.0679891737690017</v>
          </cell>
          <cell r="H34">
            <v>7.7816154149580532</v>
          </cell>
          <cell r="I34">
            <v>12.905384321944524</v>
          </cell>
          <cell r="J34">
            <v>12.564192617371187</v>
          </cell>
          <cell r="K34">
            <v>11.633556415844186</v>
          </cell>
          <cell r="L34">
            <v>11.402419710409172</v>
          </cell>
          <cell r="M34">
            <v>10.158133846573097</v>
          </cell>
        </row>
        <row r="35">
          <cell r="B35">
            <v>3.517953999707534</v>
          </cell>
          <cell r="C35">
            <v>4.8486222317880792</v>
          </cell>
          <cell r="D35">
            <v>11.927075264761642</v>
          </cell>
          <cell r="E35">
            <v>14.11662421317634</v>
          </cell>
          <cell r="F35">
            <v>19.784680653789398</v>
          </cell>
          <cell r="G35">
            <v>20.793899372673938</v>
          </cell>
          <cell r="H35">
            <v>21.854597760987033</v>
          </cell>
          <cell r="I35">
            <v>22.969402308816292</v>
          </cell>
          <cell r="J35">
            <v>24.141072964450984</v>
          </cell>
          <cell r="K35">
            <v>25.372510578218783</v>
          </cell>
          <cell r="L35">
            <v>26.666763841702945</v>
          </cell>
          <cell r="M35">
            <v>28.027037153395895</v>
          </cell>
        </row>
        <row r="36">
          <cell r="B36">
            <v>2.1349390887346629</v>
          </cell>
          <cell r="C36">
            <v>3.3906677965880174</v>
          </cell>
          <cell r="D36">
            <v>4.317899359575466</v>
          </cell>
          <cell r="E36">
            <v>18.917594622614914</v>
          </cell>
          <cell r="F36">
            <v>19.882586928798681</v>
          </cell>
          <cell r="G36">
            <v>20.896798949908288</v>
          </cell>
          <cell r="H36">
            <v>21.962746706891227</v>
          </cell>
          <cell r="I36">
            <v>23.083071197112371</v>
          </cell>
          <cell r="J36">
            <v>24.260541662721149</v>
          </cell>
          <cell r="K36">
            <v>25.498079912401227</v>
          </cell>
          <cell r="L36">
            <v>26.798743556109635</v>
          </cell>
          <cell r="M36">
            <v>28.166099323931</v>
          </cell>
        </row>
        <row r="37">
          <cell r="B37">
            <v>0.86248322578584768</v>
          </cell>
          <cell r="C37">
            <v>1.287585404580073</v>
          </cell>
          <cell r="D37">
            <v>5.8101383398366746</v>
          </cell>
          <cell r="E37">
            <v>13.46065870031693</v>
          </cell>
          <cell r="F37">
            <v>14.147297290901427</v>
          </cell>
          <cell r="G37">
            <v>14.868952473924839</v>
          </cell>
          <cell r="H37">
            <v>15.627420627348634</v>
          </cell>
          <cell r="I37">
            <v>16.424578182911205</v>
          </cell>
          <cell r="J37">
            <v>17.262398113239961</v>
          </cell>
          <cell r="K37">
            <v>18.142956858653015</v>
          </cell>
          <cell r="L37">
            <v>19.068433390353412</v>
          </cell>
          <cell r="M37">
            <v>20.041134622302931</v>
          </cell>
        </row>
        <row r="38">
          <cell r="B38">
            <v>2.8396236857719668</v>
          </cell>
          <cell r="C38">
            <v>3.294455050835158</v>
          </cell>
          <cell r="D38">
            <v>6.5886958271267977</v>
          </cell>
          <cell r="E38">
            <v>7.610260806737136</v>
          </cell>
          <cell r="F38">
            <v>25.191493623140293</v>
          </cell>
          <cell r="G38">
            <v>27.726870257350591</v>
          </cell>
          <cell r="H38">
            <v>29.141226229104419</v>
          </cell>
          <cell r="I38">
            <v>30.62772319688607</v>
          </cell>
          <cell r="J38">
            <v>32.190045930012744</v>
          </cell>
          <cell r="K38">
            <v>33.832062931292477</v>
          </cell>
          <cell r="L38">
            <v>35.557839338627119</v>
          </cell>
          <cell r="M38">
            <v>37.371648660613616</v>
          </cell>
        </row>
        <row r="39">
          <cell r="B39">
            <v>1.9160720785402261</v>
          </cell>
          <cell r="C39">
            <v>1.2172682854752561</v>
          </cell>
          <cell r="D39">
            <v>0.14750352838225442</v>
          </cell>
          <cell r="E39">
            <v>1.0017127796708485</v>
          </cell>
          <cell r="F39">
            <v>0.61887185326258698</v>
          </cell>
          <cell r="G39">
            <v>1.8630131929203113</v>
          </cell>
          <cell r="H39">
            <v>1.9468632573344433</v>
          </cell>
          <cell r="I39">
            <v>1.9496073787218711</v>
          </cell>
          <cell r="J39">
            <v>1.9487879819886671</v>
          </cell>
          <cell r="K39">
            <v>1.4228141923064641</v>
          </cell>
          <cell r="L39">
            <v>1.9526588029983243</v>
          </cell>
          <cell r="M39">
            <v>1.9967760280794731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5.6769170603534888E-3</v>
          </cell>
          <cell r="H40">
            <v>0.75741361330234147</v>
          </cell>
          <cell r="I40">
            <v>0.75918377118874103</v>
          </cell>
          <cell r="J40">
            <v>0.75881098007316206</v>
          </cell>
          <cell r="K40">
            <v>0.55551630942114472</v>
          </cell>
          <cell r="L40">
            <v>0.76161798127799252</v>
          </cell>
          <cell r="M40">
            <v>0.78371756107866819</v>
          </cell>
        </row>
        <row r="41">
          <cell r="B41">
            <v>0.29211208353088042</v>
          </cell>
          <cell r="C41">
            <v>0.69531448112224581</v>
          </cell>
          <cell r="D41">
            <v>3.4761641583815936E-2</v>
          </cell>
          <cell r="E41">
            <v>0.6503796835953527</v>
          </cell>
          <cell r="F41">
            <v>0.65057093589944326</v>
          </cell>
          <cell r="G41">
            <v>0</v>
          </cell>
          <cell r="H41">
            <v>0</v>
          </cell>
          <cell r="I41">
            <v>0</v>
          </cell>
          <cell r="J41">
            <v>8.1367738736480306E-3</v>
          </cell>
          <cell r="K41">
            <v>7.9814535430889743E-3</v>
          </cell>
          <cell r="L41">
            <v>0.6515811087026917</v>
          </cell>
          <cell r="M41">
            <v>0.65291800330252858</v>
          </cell>
        </row>
        <row r="42">
          <cell r="B42">
            <v>0.87267683648045991</v>
          </cell>
          <cell r="C42">
            <v>1.0547282470522683</v>
          </cell>
          <cell r="D42">
            <v>4.5387129146696505</v>
          </cell>
          <cell r="E42">
            <v>5.2368462900615915</v>
          </cell>
          <cell r="F42">
            <v>5.5736290216856208</v>
          </cell>
          <cell r="G42">
            <v>1.8049708253847281</v>
          </cell>
          <cell r="H42">
            <v>0.59685275239067848</v>
          </cell>
          <cell r="I42">
            <v>1.0697098571476782E-3</v>
          </cell>
          <cell r="J42">
            <v>9.7879137690581571E-4</v>
          </cell>
          <cell r="K42">
            <v>1.5920921876330498E-3</v>
          </cell>
          <cell r="L42">
            <v>9.4274772040774829E-4</v>
          </cell>
          <cell r="M42">
            <v>1.519960669339804E-3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4.8928920573963381</v>
          </cell>
          <cell r="H43">
            <v>10.594120077988148</v>
          </cell>
          <cell r="I43">
            <v>12.307132426076668</v>
          </cell>
          <cell r="J43">
            <v>12.145090097953759</v>
          </cell>
          <cell r="K43">
            <v>12.30738419879409</v>
          </cell>
          <cell r="L43">
            <v>12.259034480112975</v>
          </cell>
          <cell r="M43">
            <v>12.310722964100068</v>
          </cell>
        </row>
        <row r="44">
          <cell r="B44">
            <v>3.7119615113799473</v>
          </cell>
          <cell r="C44">
            <v>3.7138486212298081</v>
          </cell>
          <cell r="D44">
            <v>5.433135017117813</v>
          </cell>
          <cell r="E44">
            <v>5.3724564743939132</v>
          </cell>
          <cell r="F44">
            <v>5.3117804430881739</v>
          </cell>
          <cell r="G44">
            <v>3.1753946456238569</v>
          </cell>
          <cell r="H44">
            <v>1.0204706621716405E-3</v>
          </cell>
          <cell r="I44">
            <v>5.6549844414492342E-4</v>
          </cell>
          <cell r="J44">
            <v>7.2634482619806035E-4</v>
          </cell>
          <cell r="K44">
            <v>3.9817179838894204E-4</v>
          </cell>
          <cell r="L44">
            <v>6.8620179574884854E-4</v>
          </cell>
          <cell r="M44">
            <v>2.9281214425609545E-4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2.1096373361740683</v>
          </cell>
          <cell r="H45">
            <v>10.682131165313503</v>
          </cell>
          <cell r="I45">
            <v>10.630570707926847</v>
          </cell>
          <cell r="J45">
            <v>10.629906707038661</v>
          </cell>
          <cell r="K45">
            <v>10.630777018453196</v>
          </cell>
          <cell r="L45">
            <v>10.630404764840328</v>
          </cell>
          <cell r="M45">
            <v>10.630989515399937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5.1982065667291206E-3</v>
          </cell>
          <cell r="F46">
            <v>1.2988697613588731</v>
          </cell>
          <cell r="G46">
            <v>6.121285760964188</v>
          </cell>
          <cell r="H46">
            <v>7.1301912765877447</v>
          </cell>
          <cell r="I46">
            <v>8.0748402872806242</v>
          </cell>
          <cell r="J46">
            <v>8.074845468331926</v>
          </cell>
          <cell r="K46">
            <v>8.0748444942061912</v>
          </cell>
          <cell r="L46">
            <v>8.0748455656148472</v>
          </cell>
          <cell r="M46">
            <v>8.0748474044964667</v>
          </cell>
        </row>
        <row r="47">
          <cell r="B47">
            <v>0</v>
          </cell>
        </row>
        <row r="48">
          <cell r="B48">
            <v>5.3976864431203843E-2</v>
          </cell>
          <cell r="C48">
            <v>6.3696071123238215E-3</v>
          </cell>
          <cell r="D48">
            <v>1.5226388783971664E-2</v>
          </cell>
          <cell r="E48">
            <v>1.0708612254685664E-2</v>
          </cell>
          <cell r="F48">
            <v>1.0240148873789212E-2</v>
          </cell>
          <cell r="G48">
            <v>7.572281637649096E-3</v>
          </cell>
          <cell r="H48">
            <v>0</v>
          </cell>
          <cell r="I48">
            <v>0</v>
          </cell>
          <cell r="J48">
            <v>4.0864979900244111E-3</v>
          </cell>
          <cell r="K48">
            <v>5.9079885602629986E-3</v>
          </cell>
          <cell r="L48">
            <v>5.9329310336323623E-3</v>
          </cell>
          <cell r="M48">
            <v>6.8528626993428479E-3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8.6034226845966839E-4</v>
          </cell>
          <cell r="K49">
            <v>1.4429371468269556E-3</v>
          </cell>
          <cell r="L49">
            <v>1.4474226344212613E-3</v>
          </cell>
          <cell r="M49">
            <v>2.6719401325401137E-3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1.2389598373114372E-3</v>
          </cell>
          <cell r="F50">
            <v>2.0224602500514776E-3</v>
          </cell>
          <cell r="G50">
            <v>5.4042914363870726E-3</v>
          </cell>
          <cell r="H50">
            <v>9.6059450427477266E-3</v>
          </cell>
          <cell r="I50">
            <v>1.0911822943122311E-2</v>
          </cell>
          <cell r="J50">
            <v>7.0440513614317309E-3</v>
          </cell>
          <cell r="K50">
            <v>4.6577788348789043E-3</v>
          </cell>
          <cell r="L50">
            <v>4.2808262656246106E-3</v>
          </cell>
          <cell r="M50">
            <v>7.2088786141644035E-3</v>
          </cell>
        </row>
        <row r="51">
          <cell r="B51">
            <v>0.10036638977025085</v>
          </cell>
          <cell r="C51">
            <v>9.9499671639890902E-2</v>
          </cell>
          <cell r="D51">
            <v>0.39294846366332309</v>
          </cell>
          <cell r="E51">
            <v>0.38298902895015635</v>
          </cell>
          <cell r="F51">
            <v>0.38381652101578728</v>
          </cell>
          <cell r="G51">
            <v>0.1601707069694458</v>
          </cell>
          <cell r="H51">
            <v>0</v>
          </cell>
          <cell r="I51">
            <v>0</v>
          </cell>
          <cell r="J51">
            <v>4.266447905112155E-3</v>
          </cell>
          <cell r="K51">
            <v>1.0586820486198047E-2</v>
          </cell>
          <cell r="L51">
            <v>7.1523467769205283E-3</v>
          </cell>
          <cell r="M51">
            <v>9.8254963973984141E-3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2.0857224135718841E-3</v>
          </cell>
          <cell r="K52">
            <v>4.0346014295162156E-3</v>
          </cell>
          <cell r="L52">
            <v>3.1232459326631413E-3</v>
          </cell>
          <cell r="M52">
            <v>5.4987617429725823E-3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1.555957472082196E-3</v>
          </cell>
          <cell r="F53">
            <v>2.6953785734141491E-3</v>
          </cell>
          <cell r="G53">
            <v>0.19412296291759815</v>
          </cell>
          <cell r="H53">
            <v>0.31856971235884335</v>
          </cell>
          <cell r="I53">
            <v>0.30959644712292544</v>
          </cell>
          <cell r="J53">
            <v>0.30446951611570217</v>
          </cell>
          <cell r="K53">
            <v>0.30016232555312011</v>
          </cell>
          <cell r="L53">
            <v>0.30378927251490551</v>
          </cell>
          <cell r="M53">
            <v>0.30036101483589706</v>
          </cell>
        </row>
        <row r="54">
          <cell r="B54">
            <v>2.6453939414924559</v>
          </cell>
          <cell r="C54">
            <v>3.0460492697469137</v>
          </cell>
          <cell r="D54">
            <v>3.0412520962039551</v>
          </cell>
          <cell r="E54">
            <v>3.0322820470182732</v>
          </cell>
          <cell r="F54">
            <v>3.0022139545710944</v>
          </cell>
          <cell r="G54">
            <v>3.5858676542682457</v>
          </cell>
          <cell r="H54">
            <v>6.6678156480781157</v>
          </cell>
          <cell r="I54">
            <v>9.9701627618611042</v>
          </cell>
          <cell r="J54">
            <v>11.077441795564248</v>
          </cell>
          <cell r="K54">
            <v>13.523316217492027</v>
          </cell>
          <cell r="L54">
            <v>15.170705120421808</v>
          </cell>
          <cell r="M54">
            <v>18.111723493808768</v>
          </cell>
        </row>
        <row r="55">
          <cell r="B55">
            <v>1.6546955264689265</v>
          </cell>
          <cell r="C55">
            <v>1.7385276787886723</v>
          </cell>
          <cell r="D55">
            <v>2.6685572251966216</v>
          </cell>
          <cell r="E55">
            <v>3.0194700195026307</v>
          </cell>
          <cell r="F55">
            <v>2.7983578421796502</v>
          </cell>
          <cell r="G55">
            <v>1.7055323934341733</v>
          </cell>
          <cell r="H55">
            <v>0</v>
          </cell>
          <cell r="I55">
            <v>0</v>
          </cell>
          <cell r="J55">
            <v>2.3040481541889662E-3</v>
          </cell>
          <cell r="K55">
            <v>2.2999453669753549E-3</v>
          </cell>
          <cell r="L55">
            <v>1.6533750595531011E-3</v>
          </cell>
          <cell r="M55">
            <v>2.8475507835370902E-3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9.2333448035322003E-4</v>
          </cell>
          <cell r="F56">
            <v>1.1168875703172639E-3</v>
          </cell>
          <cell r="G56">
            <v>6.3955122111420534E-3</v>
          </cell>
          <cell r="H56">
            <v>5.7191319690428873E-3</v>
          </cell>
          <cell r="I56">
            <v>3.5685543785976964E-3</v>
          </cell>
          <cell r="J56">
            <v>1.8854335370185218E-3</v>
          </cell>
          <cell r="K56">
            <v>2.1075325142185628E-3</v>
          </cell>
          <cell r="L56">
            <v>1.8653058177426774E-3</v>
          </cell>
          <cell r="M56">
            <v>3.3851632150407505E-3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9.4311111573104113E-4</v>
          </cell>
          <cell r="F57">
            <v>3.3037079313518267E-3</v>
          </cell>
          <cell r="G57">
            <v>4.8076062226646314E-3</v>
          </cell>
          <cell r="H57">
            <v>5.5470062443942775E-3</v>
          </cell>
          <cell r="I57">
            <v>2.7757819596099499E-2</v>
          </cell>
          <cell r="J57">
            <v>4.8227231224548611E-2</v>
          </cell>
          <cell r="K57">
            <v>4.7375848878361312E-2</v>
          </cell>
          <cell r="L57">
            <v>2.0279624426208495E-2</v>
          </cell>
          <cell r="M57">
            <v>0.11862491796406009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6.2987095317085077E-4</v>
          </cell>
          <cell r="K58">
            <v>1.0012596133574035E-3</v>
          </cell>
          <cell r="L58">
            <v>8.1547636534773187E-4</v>
          </cell>
          <cell r="M58">
            <v>1.646179341514491E-3</v>
          </cell>
        </row>
        <row r="63">
          <cell r="B63">
            <v>0.13501509851530649</v>
          </cell>
          <cell r="C63">
            <v>1.0414441760463848E-2</v>
          </cell>
          <cell r="D63">
            <v>0.11590025617913205</v>
          </cell>
          <cell r="E63">
            <v>6.3287936448446977E-2</v>
          </cell>
          <cell r="F63">
            <v>4.9058317491779788E-2</v>
          </cell>
          <cell r="G63">
            <v>3.4293145258473066E-2</v>
          </cell>
          <cell r="H63">
            <v>3.9718459077678139E-2</v>
          </cell>
          <cell r="I63">
            <v>0.13497225632258714</v>
          </cell>
          <cell r="J63">
            <v>0.13499753872522838</v>
          </cell>
          <cell r="K63">
            <v>0.13499449501990091</v>
          </cell>
          <cell r="L63">
            <v>0.13499429929965964</v>
          </cell>
          <cell r="M63">
            <v>0.13499470008484316</v>
          </cell>
        </row>
        <row r="64">
          <cell r="B64">
            <v>1.1917417834613195E-3</v>
          </cell>
          <cell r="C64">
            <v>9.5638475720422349E-4</v>
          </cell>
          <cell r="D64">
            <v>1.1759309906962054E-3</v>
          </cell>
          <cell r="E64">
            <v>1.1884877685748299E-3</v>
          </cell>
          <cell r="F64">
            <v>0.90357059092702396</v>
          </cell>
          <cell r="G64">
            <v>1.2696472641633971</v>
          </cell>
          <cell r="H64">
            <v>1.2698942914772025</v>
          </cell>
          <cell r="I64">
            <v>1.7303074148847399</v>
          </cell>
          <cell r="J64">
            <v>2.0117873933667174</v>
          </cell>
          <cell r="K64">
            <v>2.0590974006914831</v>
          </cell>
          <cell r="L64">
            <v>2.2934247004119372</v>
          </cell>
          <cell r="M64">
            <v>2.3273692855473351</v>
          </cell>
        </row>
        <row r="65">
          <cell r="B65">
            <v>1.0493218910473661E-3</v>
          </cell>
          <cell r="C65">
            <v>8.455989295997118E-4</v>
          </cell>
          <cell r="D65">
            <v>1.0272566175683149E-3</v>
          </cell>
          <cell r="E65">
            <v>1.0833799765445349E-3</v>
          </cell>
          <cell r="F65">
            <v>1.4047049522722016E-2</v>
          </cell>
          <cell r="G65">
            <v>2.0466303845287009E-2</v>
          </cell>
          <cell r="H65">
            <v>1.192732430281636</v>
          </cell>
          <cell r="I65">
            <v>1.8792936464910388</v>
          </cell>
          <cell r="J65">
            <v>3.1861693162236651</v>
          </cell>
          <cell r="K65">
            <v>3.1350630358691682</v>
          </cell>
          <cell r="L65">
            <v>3.4732653347706641</v>
          </cell>
          <cell r="M65">
            <v>3.9827849405812072</v>
          </cell>
        </row>
        <row r="66">
          <cell r="B66">
            <v>3.3486809457612481E-4</v>
          </cell>
          <cell r="C66">
            <v>3.3468592188201955E-4</v>
          </cell>
          <cell r="D66">
            <v>3.3564833955183562E-4</v>
          </cell>
          <cell r="E66">
            <v>8.4898575896696277E-2</v>
          </cell>
          <cell r="F66">
            <v>0.22802151537497747</v>
          </cell>
          <cell r="G66">
            <v>0.3701178373418394</v>
          </cell>
          <cell r="H66">
            <v>0.40678245843203159</v>
          </cell>
          <cell r="I66">
            <v>0.31540653662677198</v>
          </cell>
          <cell r="J66">
            <v>0.46806375633320801</v>
          </cell>
          <cell r="K66">
            <v>0.52750805062326855</v>
          </cell>
          <cell r="L66">
            <v>0.4968208499980008</v>
          </cell>
          <cell r="M66">
            <v>0.44558944129727651</v>
          </cell>
        </row>
        <row r="67">
          <cell r="B67">
            <v>6.7234991493892999E-4</v>
          </cell>
          <cell r="C67">
            <v>6.7197964754129886E-4</v>
          </cell>
          <cell r="D67">
            <v>6.739525069141591E-4</v>
          </cell>
          <cell r="E67">
            <v>2.6682797422983101E-2</v>
          </cell>
          <cell r="F67">
            <v>4.1351472485869858E-2</v>
          </cell>
          <cell r="G67">
            <v>2.7824401588949103E-2</v>
          </cell>
          <cell r="H67">
            <v>3.9185664355413832E-2</v>
          </cell>
          <cell r="I67">
            <v>5.144903515339698E-2</v>
          </cell>
          <cell r="J67">
            <v>3.314615998358679E-2</v>
          </cell>
          <cell r="K67">
            <v>5.5119891074484791E-2</v>
          </cell>
          <cell r="L67">
            <v>5.2215438000979983E-2</v>
          </cell>
          <cell r="M67">
            <v>8.4779413389718714E-2</v>
          </cell>
        </row>
        <row r="68">
          <cell r="B68">
            <v>6.7208425362698886E-4</v>
          </cell>
          <cell r="C68">
            <v>6.717095435812598E-4</v>
          </cell>
          <cell r="D68">
            <v>6.7359378503766302E-4</v>
          </cell>
          <cell r="E68">
            <v>4.3506501153118743E-2</v>
          </cell>
          <cell r="F68">
            <v>8.6070241673489756E-2</v>
          </cell>
          <cell r="G68">
            <v>6.735419486608632E-2</v>
          </cell>
          <cell r="H68">
            <v>4.6778719781222833E-2</v>
          </cell>
          <cell r="I68">
            <v>0.13792271821108837</v>
          </cell>
          <cell r="J68">
            <v>0.12471875864063767</v>
          </cell>
          <cell r="K68">
            <v>0.12265066553046033</v>
          </cell>
          <cell r="L68">
            <v>0.13391405363737441</v>
          </cell>
          <cell r="M68">
            <v>0.20414740681221538</v>
          </cell>
        </row>
        <row r="69">
          <cell r="B69">
            <v>3.361562951989046E-4</v>
          </cell>
          <cell r="C69">
            <v>3.3597607576333683E-4</v>
          </cell>
          <cell r="D69">
            <v>3.3689142162953567E-4</v>
          </cell>
          <cell r="E69">
            <v>2.7191550597393321E-2</v>
          </cell>
          <cell r="F69">
            <v>8.8594977468601177E-2</v>
          </cell>
          <cell r="G69">
            <v>6.0881162487435601E-2</v>
          </cell>
          <cell r="H69">
            <v>3.1334863464894613E-2</v>
          </cell>
          <cell r="I69">
            <v>0.14850352592354915</v>
          </cell>
          <cell r="J69">
            <v>0.14690990392733974</v>
          </cell>
          <cell r="K69">
            <v>0.10619186905294824</v>
          </cell>
          <cell r="L69">
            <v>0.12799141663932745</v>
          </cell>
          <cell r="M69">
            <v>0.16326468551314258</v>
          </cell>
        </row>
        <row r="90">
          <cell r="B90">
            <v>2.0280758312452618</v>
          </cell>
          <cell r="C90">
            <v>1.7430169821491588</v>
          </cell>
          <cell r="D90">
            <v>1.7262191399321081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B91">
            <v>1.1839510663446045</v>
          </cell>
          <cell r="C91">
            <v>1.1839495874591059</v>
          </cell>
          <cell r="D91">
            <v>1.1839497455811783</v>
          </cell>
          <cell r="E91">
            <v>1.1839497368616154</v>
          </cell>
          <cell r="F91">
            <v>1.1839503828405458</v>
          </cell>
          <cell r="G91">
            <v>1.1839505108503956</v>
          </cell>
          <cell r="H91">
            <v>1.1839482584263561</v>
          </cell>
          <cell r="I91">
            <v>1.1839505297815649</v>
          </cell>
          <cell r="J91">
            <v>1.1839483222038303</v>
          </cell>
          <cell r="K91">
            <v>5.9326325919245244</v>
          </cell>
          <cell r="L91">
            <v>8.601647512354031</v>
          </cell>
          <cell r="M91">
            <v>11.183203594266143</v>
          </cell>
        </row>
        <row r="92">
          <cell r="B92">
            <v>1.4500060406957316</v>
          </cell>
          <cell r="C92">
            <v>3.8019002858450222</v>
          </cell>
          <cell r="D92">
            <v>3.8017535681727064</v>
          </cell>
          <cell r="E92">
            <v>1.1502614204076411</v>
          </cell>
          <cell r="F92">
            <v>0.8491292130673822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B93">
            <v>0.21541904122800415</v>
          </cell>
          <cell r="C93">
            <v>0.21752271118348868</v>
          </cell>
          <cell r="D93">
            <v>6.2575886294138683E-2</v>
          </cell>
          <cell r="E93">
            <v>6.276659866143286E-2</v>
          </cell>
          <cell r="F93">
            <v>2.2119234420743398E-4</v>
          </cell>
          <cell r="G93">
            <v>2.8523612180709091E-5</v>
          </cell>
          <cell r="H93">
            <v>5.886031518250917E-5</v>
          </cell>
          <cell r="I93">
            <v>3.6816924070177393E-5</v>
          </cell>
          <cell r="J93">
            <v>3.7402364418359915E-7</v>
          </cell>
          <cell r="K93">
            <v>0</v>
          </cell>
          <cell r="L93">
            <v>5.9915253344627698E-8</v>
          </cell>
          <cell r="M93">
            <v>1.1722239047034299E-8</v>
          </cell>
        </row>
        <row r="94">
          <cell r="B94">
            <v>2.9386346290721015</v>
          </cell>
          <cell r="C94">
            <v>2.6521174406264709</v>
          </cell>
          <cell r="D94">
            <v>2.2738735211137793</v>
          </cell>
          <cell r="E94">
            <v>5.1530654460146703</v>
          </cell>
          <cell r="F94">
            <v>3.987654408393607</v>
          </cell>
          <cell r="G94">
            <v>3.0855709880391844</v>
          </cell>
          <cell r="H94">
            <v>2.387556950402427</v>
          </cell>
          <cell r="I94">
            <v>1.8474520265494778</v>
          </cell>
          <cell r="J94">
            <v>1.4295168804568346</v>
          </cell>
          <cell r="K94">
            <v>1.1061363929730823</v>
          </cell>
          <cell r="L94">
            <v>0.85590583837136058</v>
          </cell>
          <cell r="M94">
            <v>0.6622903398013229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2.9110944730474573E-5</v>
          </cell>
          <cell r="F95">
            <v>4.3880086842418192E-5</v>
          </cell>
          <cell r="G95">
            <v>4.4453703751221391E-5</v>
          </cell>
          <cell r="H95">
            <v>4.5802662075083037E-5</v>
          </cell>
          <cell r="I95">
            <v>5.0500860190741622E-5</v>
          </cell>
          <cell r="J95">
            <v>5.1561691472176253E-5</v>
          </cell>
          <cell r="K95">
            <v>6.2954054784622064E-5</v>
          </cell>
          <cell r="L95">
            <v>6.5308523934639156E-5</v>
          </cell>
          <cell r="M95">
            <v>1.231327353764442E-4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1.4852531621137782E-4</v>
          </cell>
          <cell r="H96">
            <v>1.4906308264818745E-4</v>
          </cell>
          <cell r="I96">
            <v>1.5049663037248025E-4</v>
          </cell>
          <cell r="J96">
            <v>1.5212178433908838E-4</v>
          </cell>
          <cell r="K96">
            <v>1.6685930856070156E-4</v>
          </cell>
          <cell r="L96">
            <v>1.6946947839944536E-4</v>
          </cell>
          <cell r="M96">
            <v>3.6854804703089178E-4</v>
          </cell>
        </row>
        <row r="97">
          <cell r="B97">
            <v>0</v>
          </cell>
          <cell r="C97">
            <v>1.3131674982266976</v>
          </cell>
          <cell r="D97">
            <v>1.3529579214388443</v>
          </cell>
          <cell r="E97">
            <v>1.4787972184001406</v>
          </cell>
          <cell r="F97">
            <v>2.1234415546007153</v>
          </cell>
          <cell r="G97">
            <v>2.2317585764673904</v>
          </cell>
          <cell r="H97">
            <v>2.3456013666192912</v>
          </cell>
          <cell r="I97">
            <v>2.8922904193282224</v>
          </cell>
          <cell r="J97">
            <v>3.0398380366999311</v>
          </cell>
          <cell r="K97">
            <v>4.5583179738528745</v>
          </cell>
          <cell r="L97">
            <v>4.7908389971732452</v>
          </cell>
          <cell r="M97">
            <v>5.0354347821015768</v>
          </cell>
        </row>
      </sheetData>
      <sheetData sheetId="60">
        <row r="14">
          <cell r="B14">
            <v>3.0935587219222112</v>
          </cell>
          <cell r="C14">
            <v>3.0935586238935744</v>
          </cell>
          <cell r="D14">
            <v>2.8346941880308449</v>
          </cell>
          <cell r="E14">
            <v>2.7577517594821237</v>
          </cell>
          <cell r="F14">
            <v>2.3634341605962454</v>
          </cell>
          <cell r="G14">
            <v>1.3535311191749628</v>
          </cell>
          <cell r="H14">
            <v>0.120558721922211</v>
          </cell>
          <cell r="I14">
            <v>0.120558721922211</v>
          </cell>
          <cell r="J14">
            <v>8.85558611937695E-2</v>
          </cell>
          <cell r="K14">
            <v>0</v>
          </cell>
          <cell r="L14">
            <v>0</v>
          </cell>
          <cell r="M14">
            <v>0</v>
          </cell>
        </row>
        <row r="15">
          <cell r="B15">
            <v>7.3394300010600002</v>
          </cell>
          <cell r="C15">
            <v>7.3400177676983231</v>
          </cell>
          <cell r="D15">
            <v>7.3419678556403953</v>
          </cell>
          <cell r="E15">
            <v>7.4149267779022603</v>
          </cell>
          <cell r="F15">
            <v>7.4248445860672367</v>
          </cell>
          <cell r="G15">
            <v>7.4521612669792994</v>
          </cell>
          <cell r="H15">
            <v>7.5788359106955783</v>
          </cell>
          <cell r="I15">
            <v>7.6884426156717476</v>
          </cell>
          <cell r="J15">
            <v>7.688443182503633</v>
          </cell>
          <cell r="K15">
            <v>7.6884436335163056</v>
          </cell>
          <cell r="L15">
            <v>7.6884438907000074</v>
          </cell>
          <cell r="M15">
            <v>7.6884470531797611</v>
          </cell>
        </row>
        <row r="16">
          <cell r="B16">
            <v>4.7247299999999992</v>
          </cell>
          <cell r="C16">
            <v>4.8071885854955507</v>
          </cell>
          <cell r="D16">
            <v>4.8584759602697698</v>
          </cell>
          <cell r="E16">
            <v>4.8798956909926821</v>
          </cell>
          <cell r="F16">
            <v>4.8875055235230702</v>
          </cell>
          <cell r="G16">
            <v>4.8875057963239517</v>
          </cell>
          <cell r="H16">
            <v>4.8875060801379329</v>
          </cell>
          <cell r="I16">
            <v>4.8875063424336371</v>
          </cell>
          <cell r="J16">
            <v>4.8875065029804308</v>
          </cell>
          <cell r="K16">
            <v>4.8875086646597579</v>
          </cell>
          <cell r="L16">
            <v>4.8875096998909964</v>
          </cell>
          <cell r="M16">
            <v>4.8876331880931385</v>
          </cell>
        </row>
        <row r="17">
          <cell r="B17">
            <v>3.3394499999999998</v>
          </cell>
          <cell r="C17">
            <v>3.9710958834482586</v>
          </cell>
          <cell r="D17">
            <v>4.359516937327208</v>
          </cell>
          <cell r="E17">
            <v>4.359516937327208</v>
          </cell>
          <cell r="F17">
            <v>4.3595173632170185</v>
          </cell>
          <cell r="G17">
            <v>4.3595176319624747</v>
          </cell>
          <cell r="H17">
            <v>4.3595220128812064</v>
          </cell>
          <cell r="I17">
            <v>4.3595446007747398</v>
          </cell>
          <cell r="J17">
            <v>4.359544714969914</v>
          </cell>
          <cell r="K17">
            <v>4.35957140936633</v>
          </cell>
          <cell r="L17">
            <v>4.3595717382672277</v>
          </cell>
          <cell r="M17">
            <v>4.3596899982304977</v>
          </cell>
        </row>
        <row r="18">
          <cell r="B18">
            <v>2.0034491085252702E-2</v>
          </cell>
          <cell r="C18">
            <v>2.0011548491050857E-2</v>
          </cell>
          <cell r="D18">
            <v>1.2887982249631377E-2</v>
          </cell>
          <cell r="E18">
            <v>7.1224494336027858E-2</v>
          </cell>
          <cell r="F18">
            <v>7.3438482247058609E-2</v>
          </cell>
          <cell r="G18">
            <v>7.9999174306351228E-2</v>
          </cell>
          <cell r="H18">
            <v>7.4261332946613107E-2</v>
          </cell>
          <cell r="I18">
            <v>7.1555922156459159E-2</v>
          </cell>
          <cell r="J18">
            <v>8.8004968096500238E-3</v>
          </cell>
          <cell r="K18">
            <v>6.5963572340510404E-3</v>
          </cell>
          <cell r="L18">
            <v>3.0690318254067775E-4</v>
          </cell>
          <cell r="M18">
            <v>8.9563296550472277E-4</v>
          </cell>
        </row>
        <row r="19">
          <cell r="B19">
            <v>0.27684098120569189</v>
          </cell>
          <cell r="C19">
            <v>0.27684047824347285</v>
          </cell>
          <cell r="D19">
            <v>0.2768404145374449</v>
          </cell>
          <cell r="E19">
            <v>0.2759923095871058</v>
          </cell>
          <cell r="F19">
            <v>0.34345235524570228</v>
          </cell>
          <cell r="G19">
            <v>0.31951382935961847</v>
          </cell>
          <cell r="H19">
            <v>0.27659531311178037</v>
          </cell>
          <cell r="I19">
            <v>0.25838070761388165</v>
          </cell>
          <cell r="J19">
            <v>0.24472331583373982</v>
          </cell>
          <cell r="K19">
            <v>0.23432901370924517</v>
          </cell>
          <cell r="L19">
            <v>0.24442898087265139</v>
          </cell>
          <cell r="M19">
            <v>0.24486558785810358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0.110175787185489</v>
          </cell>
          <cell r="H20">
            <v>0.19655686803269462</v>
          </cell>
          <cell r="I20">
            <v>0.19655704271528898</v>
          </cell>
          <cell r="J20">
            <v>0.19655703111836992</v>
          </cell>
          <cell r="K20">
            <v>0.19655729862374474</v>
          </cell>
          <cell r="L20">
            <v>0.17930995664573393</v>
          </cell>
          <cell r="M20">
            <v>0.17157490123259961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1.3495214409202001E-6</v>
          </cell>
          <cell r="H21">
            <v>1.5699473415975297E-6</v>
          </cell>
          <cell r="I21">
            <v>3.3980855176926299E-6</v>
          </cell>
          <cell r="J21">
            <v>9.60899861415303E-5</v>
          </cell>
          <cell r="K21">
            <v>1.0982694813244676E-4</v>
          </cell>
          <cell r="L21">
            <v>1.4891181901441499E-4</v>
          </cell>
          <cell r="M21">
            <v>1.9028936782447935E-4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6.3915137608970402E-5</v>
          </cell>
          <cell r="G22">
            <v>2.6635266523868334E-4</v>
          </cell>
          <cell r="H22">
            <v>3.3489185570502531E-4</v>
          </cell>
          <cell r="I22">
            <v>4.0672419918027971E-4</v>
          </cell>
          <cell r="J22">
            <v>4.0815306586550583E-4</v>
          </cell>
          <cell r="K22">
            <v>3.4258324410867445E-4</v>
          </cell>
          <cell r="L22">
            <v>3.0779498960013173E-4</v>
          </cell>
          <cell r="M22">
            <v>4.3380992631396006E-4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1.44102495743651E-6</v>
          </cell>
          <cell r="I23">
            <v>2.9928512294744301E-6</v>
          </cell>
          <cell r="J23">
            <v>0.19195932377143521</v>
          </cell>
          <cell r="K23">
            <v>0.34889325171454244</v>
          </cell>
          <cell r="L23">
            <v>0.34889329999172458</v>
          </cell>
          <cell r="M23">
            <v>0.3488921171127059</v>
          </cell>
        </row>
        <row r="24">
          <cell r="B24">
            <v>4.5125431785257894E-2</v>
          </cell>
          <cell r="C24">
            <v>2.6710712870581244E-5</v>
          </cell>
          <cell r="D24">
            <v>2.6711969773690614E-5</v>
          </cell>
          <cell r="E24">
            <v>-4.6951541307627132E-8</v>
          </cell>
          <cell r="F24">
            <v>-3.9198648280405757E-8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2.4619793887402999E-3</v>
          </cell>
          <cell r="C25">
            <v>2.0329579872503667E-5</v>
          </cell>
          <cell r="D25">
            <v>4.0152922175277356E-4</v>
          </cell>
          <cell r="E25">
            <v>6.5681988247186934E-5</v>
          </cell>
          <cell r="F25">
            <v>9.6470216439877715E-5</v>
          </cell>
          <cell r="G25">
            <v>7.0181178714883538E-2</v>
          </cell>
          <cell r="H25">
            <v>7.0127918837176936E-2</v>
          </cell>
          <cell r="I25">
            <v>5.9719405073640701E-2</v>
          </cell>
          <cell r="J25">
            <v>5.7778359014812992E-2</v>
          </cell>
          <cell r="K25">
            <v>5.7770576316945314E-2</v>
          </cell>
          <cell r="L25">
            <v>6.4329460857600301E-2</v>
          </cell>
          <cell r="M25">
            <v>5.8356424641721819E-2</v>
          </cell>
        </row>
        <row r="26">
          <cell r="B26">
            <v>7.8399999999999997E-2</v>
          </cell>
          <cell r="C26">
            <v>7.1996588711071688E-2</v>
          </cell>
          <cell r="D26">
            <v>7.1996333764142995E-2</v>
          </cell>
          <cell r="E26">
            <v>7.0489693296165931E-2</v>
          </cell>
          <cell r="F26">
            <v>6.9925935504355566E-2</v>
          </cell>
          <cell r="G26">
            <v>5.1250780082882939E-2</v>
          </cell>
          <cell r="H26">
            <v>4.5332551395686184E-2</v>
          </cell>
          <cell r="I26">
            <v>3.6066663818768621E-2</v>
          </cell>
          <cell r="J26">
            <v>3.640200443073463E-2</v>
          </cell>
          <cell r="K26">
            <v>3.6402101582481076E-2</v>
          </cell>
          <cell r="L26">
            <v>3.1746304316747354E-2</v>
          </cell>
          <cell r="M26">
            <v>3.0635153536462102E-2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2.0132120406629501E-2</v>
          </cell>
          <cell r="H27">
            <v>3.8208011490142767E-2</v>
          </cell>
          <cell r="I27">
            <v>3.8887082028636347E-2</v>
          </cell>
          <cell r="J27">
            <v>3.888710180367895E-2</v>
          </cell>
          <cell r="K27">
            <v>4.2962536659629222E-2</v>
          </cell>
          <cell r="L27">
            <v>5.0321334656779466E-2</v>
          </cell>
          <cell r="M27">
            <v>3.8887372676498347E-2</v>
          </cell>
        </row>
        <row r="28">
          <cell r="B28">
            <v>1.22180651322705E-3</v>
          </cell>
          <cell r="C28">
            <v>2.186870621281381E-4</v>
          </cell>
          <cell r="D28">
            <v>2.0060419953112953E-4</v>
          </cell>
          <cell r="E28">
            <v>1.595346233965924E-4</v>
          </cell>
          <cell r="F28">
            <v>1.5321328693791974E-4</v>
          </cell>
          <cell r="G28">
            <v>7.5795740232131208E-5</v>
          </cell>
          <cell r="H28">
            <v>5.66279570115849E-5</v>
          </cell>
          <cell r="I28">
            <v>7.2204208023946134E-5</v>
          </cell>
          <cell r="J28">
            <v>7.0761721859343888E-5</v>
          </cell>
          <cell r="K28">
            <v>6.94854973144294E-5</v>
          </cell>
          <cell r="L28">
            <v>3.8801550900217415E-5</v>
          </cell>
          <cell r="M28">
            <v>1.9790291157496881E-5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1.73594505085089E-2</v>
          </cell>
          <cell r="H30">
            <v>5.9506101639232541E-2</v>
          </cell>
          <cell r="I30">
            <v>7.2313867145638241E-2</v>
          </cell>
          <cell r="J30">
            <v>7.0016290165959422E-2</v>
          </cell>
          <cell r="K30">
            <v>8.2872817507595467E-2</v>
          </cell>
          <cell r="L30">
            <v>7.6907347002128715E-2</v>
          </cell>
          <cell r="M30">
            <v>7.1959363332542284E-2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1.5138895901548301E-5</v>
          </cell>
          <cell r="H31">
            <v>9.0082614503977278E-3</v>
          </cell>
          <cell r="I31">
            <v>1.8666875513837417E-2</v>
          </cell>
          <cell r="J31">
            <v>2.4757105008188715E-2</v>
          </cell>
          <cell r="K31">
            <v>2.4757404982945774E-2</v>
          </cell>
          <cell r="L31">
            <v>2.7764441373319113E-2</v>
          </cell>
          <cell r="M31">
            <v>2.4987955010241016E-2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3.3081350091760298E-4</v>
          </cell>
          <cell r="I32">
            <v>3.3292456136776809E-4</v>
          </cell>
          <cell r="J32">
            <v>3.3307385629283099E-4</v>
          </cell>
          <cell r="K32">
            <v>3.3329344991514867E-4</v>
          </cell>
          <cell r="L32">
            <v>3.3452534190987586E-4</v>
          </cell>
          <cell r="M32">
            <v>3.4061926293049472E-4</v>
          </cell>
        </row>
        <row r="33">
          <cell r="B33">
            <v>8.7120000000000003E-2</v>
          </cell>
          <cell r="C33">
            <v>9.066000073121272E-2</v>
          </cell>
          <cell r="D33">
            <v>8.365591822514172E-2</v>
          </cell>
          <cell r="E33">
            <v>0.34087493483648229</v>
          </cell>
          <cell r="F33">
            <v>0.43372589975304776</v>
          </cell>
          <cell r="G33">
            <v>0.43372633924507326</v>
          </cell>
          <cell r="H33">
            <v>0.50315098833471295</v>
          </cell>
          <cell r="I33">
            <v>0.50315682077162405</v>
          </cell>
          <cell r="J33">
            <v>0.50315714964138103</v>
          </cell>
          <cell r="K33">
            <v>0.50317100159521999</v>
          </cell>
          <cell r="L33">
            <v>0.50323739344540597</v>
          </cell>
          <cell r="M33">
            <v>0.50327833542927503</v>
          </cell>
        </row>
        <row r="34">
          <cell r="B34">
            <v>0</v>
          </cell>
          <cell r="C34">
            <v>0</v>
          </cell>
          <cell r="D34">
            <v>4.4925250391578297E-2</v>
          </cell>
          <cell r="E34">
            <v>0.11812314755694298</v>
          </cell>
          <cell r="F34">
            <v>0.42370436088267166</v>
          </cell>
          <cell r="G34">
            <v>0.59435678399602299</v>
          </cell>
          <cell r="H34">
            <v>1.5115594544274187</v>
          </cell>
          <cell r="I34">
            <v>2.4882234197150903</v>
          </cell>
          <cell r="J34">
            <v>2.4387363129550024</v>
          </cell>
          <cell r="K34">
            <v>2.3037542040441861</v>
          </cell>
          <cell r="L34">
            <v>2.2702047321772039</v>
          </cell>
          <cell r="M34">
            <v>2.0897515061629264</v>
          </cell>
        </row>
        <row r="35">
          <cell r="B35">
            <v>1.1186210000000001</v>
          </cell>
          <cell r="C35">
            <v>1.65292701458705</v>
          </cell>
          <cell r="D35">
            <v>3.56118533973215</v>
          </cell>
          <cell r="E35">
            <v>3.4922779148589802</v>
          </cell>
          <cell r="F35">
            <v>4.8944848288940896</v>
          </cell>
          <cell r="G35">
            <v>5.1441530892085803</v>
          </cell>
          <cell r="H35">
            <v>5.4065567180811298</v>
          </cell>
          <cell r="I35">
            <v>5.68234555335036</v>
          </cell>
          <cell r="J35">
            <v>5.9722023784771698</v>
          </cell>
          <cell r="K35">
            <v>6.2768448192488799</v>
          </cell>
          <cell r="L35">
            <v>6.5970271701168102</v>
          </cell>
          <cell r="M35">
            <v>6.9335420388101703</v>
          </cell>
        </row>
        <row r="36">
          <cell r="B36">
            <v>0.67885700000000004</v>
          </cell>
          <cell r="C36">
            <v>1.1559009324899741</v>
          </cell>
          <cell r="D36">
            <v>1.2892437040131894</v>
          </cell>
          <cell r="E36">
            <v>4.680000273842551</v>
          </cell>
          <cell r="F36">
            <v>4.9187284509778593</v>
          </cell>
          <cell r="G36">
            <v>5.1696332250159225</v>
          </cell>
          <cell r="H36">
            <v>5.4333367221838209</v>
          </cell>
          <cell r="I36">
            <v>5.7104925495945347</v>
          </cell>
          <cell r="J36">
            <v>6.0017856248598651</v>
          </cell>
          <cell r="K36">
            <v>6.3079389390713976</v>
          </cell>
          <cell r="L36">
            <v>6.6297088226308816</v>
          </cell>
          <cell r="M36">
            <v>6.9679914874442552</v>
          </cell>
        </row>
        <row r="37">
          <cell r="B37">
            <v>0.27424799999999999</v>
          </cell>
          <cell r="C37">
            <v>0.43894638668065489</v>
          </cell>
          <cell r="D37">
            <v>1.734790774626086</v>
          </cell>
          <cell r="E37">
            <v>3.3300002881596624</v>
          </cell>
          <cell r="F37">
            <v>3.499866037783812</v>
          </cell>
          <cell r="G37">
            <v>3.6783946989741039</v>
          </cell>
          <cell r="H37">
            <v>3.86603028134203</v>
          </cell>
          <cell r="I37">
            <v>4.0632372004783903</v>
          </cell>
          <cell r="J37">
            <v>4.2705035256666193</v>
          </cell>
          <cell r="K37">
            <v>4.4883428715154201</v>
          </cell>
          <cell r="L37">
            <v>4.71729443688396</v>
          </cell>
          <cell r="M37">
            <v>4.9579288736809097</v>
          </cell>
        </row>
        <row r="38">
          <cell r="B38">
            <v>0.90292899999999998</v>
          </cell>
          <cell r="C38">
            <v>1.12310126156801</v>
          </cell>
          <cell r="D38">
            <v>1.967252371091021</v>
          </cell>
          <cell r="E38">
            <v>1.8826842477659862</v>
          </cell>
          <cell r="F38">
            <v>6.2320633333314985</v>
          </cell>
          <cell r="G38">
            <v>6.8592841394232522</v>
          </cell>
          <cell r="H38">
            <v>7.2091782596365199</v>
          </cell>
          <cell r="I38">
            <v>7.5769191903459596</v>
          </cell>
          <cell r="J38">
            <v>7.9634185013171699</v>
          </cell>
          <cell r="K38">
            <v>8.3696332119892993</v>
          </cell>
          <cell r="L38">
            <v>8.7965689771068902</v>
          </cell>
          <cell r="M38">
            <v>9.2452830340159995</v>
          </cell>
        </row>
        <row r="39">
          <cell r="B39">
            <v>2.6334187352073907E-2</v>
          </cell>
          <cell r="C39">
            <v>1.9476876477775809E-2</v>
          </cell>
          <cell r="D39">
            <v>1.2389338873356623E-2</v>
          </cell>
          <cell r="E39">
            <v>1.5538276028703297E-2</v>
          </cell>
          <cell r="F39">
            <v>4.6722004123493303E-2</v>
          </cell>
          <cell r="G39">
            <v>6.8832843430291182E-2</v>
          </cell>
          <cell r="H39">
            <v>6.5099429417863064E-2</v>
          </cell>
          <cell r="I39">
            <v>6.0776058012930012E-2</v>
          </cell>
          <cell r="J39">
            <v>6.1097076820806062E-2</v>
          </cell>
          <cell r="K39">
            <v>4.3251205669566861E-2</v>
          </cell>
          <cell r="L39">
            <v>6.1010092312343861E-2</v>
          </cell>
          <cell r="M39">
            <v>6.0978473180983692E-2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2.21432419492082E-4</v>
          </cell>
          <cell r="H40">
            <v>1.2726444134720974E-2</v>
          </cell>
          <cell r="I40">
            <v>2.4720381559183074E-2</v>
          </cell>
          <cell r="J40">
            <v>2.4694196121827217E-2</v>
          </cell>
          <cell r="K40">
            <v>2.4503522037546133E-2</v>
          </cell>
          <cell r="L40">
            <v>1.9947523326694888E-2</v>
          </cell>
          <cell r="M40">
            <v>1.861198922478954E-2</v>
          </cell>
        </row>
        <row r="41">
          <cell r="B41">
            <v>8.3052550808421707E-3</v>
          </cell>
          <cell r="C41">
            <v>2.2178361586122783E-2</v>
          </cell>
          <cell r="D41">
            <v>2.2178172125903318E-2</v>
          </cell>
          <cell r="E41">
            <v>2.2178079105731979E-2</v>
          </cell>
          <cell r="F41">
            <v>1.0892779501093987E-2</v>
          </cell>
          <cell r="G41">
            <v>0</v>
          </cell>
          <cell r="H41">
            <v>0</v>
          </cell>
          <cell r="I41">
            <v>0</v>
          </cell>
          <cell r="J41">
            <v>2.51316829438641E-4</v>
          </cell>
          <cell r="K41">
            <v>2.5652829291683229E-4</v>
          </cell>
          <cell r="L41">
            <v>2.5337834721204728E-2</v>
          </cell>
          <cell r="M41">
            <v>2.5168381447473707E-2</v>
          </cell>
        </row>
        <row r="42">
          <cell r="B42">
            <v>6.3838626628134106E-3</v>
          </cell>
          <cell r="C42">
            <v>8.8063690141508191E-3</v>
          </cell>
          <cell r="D42">
            <v>4.1846321796668889E-2</v>
          </cell>
          <cell r="E42">
            <v>5.8791240491557116E-2</v>
          </cell>
          <cell r="F42">
            <v>7.3483776393805503E-2</v>
          </cell>
          <cell r="G42">
            <v>4.0488597677040029E-2</v>
          </cell>
          <cell r="H42">
            <v>1.6065215708045481E-2</v>
          </cell>
          <cell r="I42">
            <v>2.4688351156067235E-5</v>
          </cell>
          <cell r="J42">
            <v>2.488417514313735E-5</v>
          </cell>
          <cell r="K42">
            <v>3.8644387130742683E-5</v>
          </cell>
          <cell r="L42">
            <v>2.27724224733867E-5</v>
          </cell>
          <cell r="M42">
            <v>2.9694361334874369E-5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6.2021040027272899E-2</v>
          </cell>
          <cell r="H43">
            <v>0.15034858536413201</v>
          </cell>
          <cell r="I43">
            <v>0.18183441604546699</v>
          </cell>
          <cell r="J43">
            <v>0.17645114969629799</v>
          </cell>
          <cell r="K43">
            <v>0.18650513443726499</v>
          </cell>
          <cell r="L43">
            <v>0.171497946099604</v>
          </cell>
          <cell r="M43">
            <v>0.17105237926705499</v>
          </cell>
        </row>
        <row r="44">
          <cell r="B44">
            <v>4.8839575424723412E-2</v>
          </cell>
          <cell r="C44">
            <v>1.3699023313783705E-2</v>
          </cell>
          <cell r="D44">
            <v>1.3699288270466695E-2</v>
          </cell>
          <cell r="E44">
            <v>1.3545741072964697E-2</v>
          </cell>
          <cell r="F44">
            <v>1.3392719247466624E-2</v>
          </cell>
          <cell r="G44">
            <v>1.2588213303545637E-2</v>
          </cell>
          <cell r="H44">
            <v>2.4075361834189485E-5</v>
          </cell>
          <cell r="I44">
            <v>2.2724725893300338E-5</v>
          </cell>
          <cell r="J44">
            <v>2.1214761060700006E-5</v>
          </cell>
          <cell r="K44">
            <v>2.1085284032280015E-5</v>
          </cell>
          <cell r="L44">
            <v>1.4981510670774938E-5</v>
          </cell>
          <cell r="M44">
            <v>1.5823994589061552E-5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5.1729370218078401E-3</v>
          </cell>
          <cell r="H45">
            <v>3.5306221860522624E-2</v>
          </cell>
          <cell r="I45">
            <v>4.9733094354799792E-2</v>
          </cell>
          <cell r="J45">
            <v>4.9734021393512337E-2</v>
          </cell>
          <cell r="K45">
            <v>4.9734072277357821E-2</v>
          </cell>
          <cell r="L45">
            <v>4.8924200981353194E-2</v>
          </cell>
          <cell r="M45">
            <v>5.1600380856826104E-2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9.8984846551847597E-5</v>
          </cell>
          <cell r="F46">
            <v>3.8286070970523993E-2</v>
          </cell>
          <cell r="G46">
            <v>0.1255975904018572</v>
          </cell>
          <cell r="H46">
            <v>0.16468162621638252</v>
          </cell>
          <cell r="I46">
            <v>0.19427518268764829</v>
          </cell>
          <cell r="J46">
            <v>0.18818731112782441</v>
          </cell>
          <cell r="K46">
            <v>0.18680404354697142</v>
          </cell>
          <cell r="L46">
            <v>0.18074372423552898</v>
          </cell>
          <cell r="M46">
            <v>0.18077203588179191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2.2319037342327399E-5</v>
          </cell>
          <cell r="F47">
            <v>4.2086687801299215E-5</v>
          </cell>
          <cell r="G47">
            <v>9.4488952440760599E-5</v>
          </cell>
          <cell r="H47">
            <v>7.7724261793455542E-5</v>
          </cell>
          <cell r="I47">
            <v>8.689486503351945E-5</v>
          </cell>
          <cell r="J47">
            <v>7.2241025880492494E-5</v>
          </cell>
          <cell r="K47">
            <v>8.6504252952552876E-5</v>
          </cell>
          <cell r="L47">
            <v>7.1801411390581376E-5</v>
          </cell>
          <cell r="M47">
            <v>8.2346603504927091E-5</v>
          </cell>
        </row>
        <row r="48">
          <cell r="B48">
            <v>3.9231362500107194E-3</v>
          </cell>
          <cell r="C48">
            <v>4.3424938161098998E-4</v>
          </cell>
          <cell r="D48">
            <v>4.3393612854007003E-4</v>
          </cell>
          <cell r="E48">
            <v>4.3138149487136789E-4</v>
          </cell>
          <cell r="F48">
            <v>4.0606976952689468E-4</v>
          </cell>
          <cell r="G48">
            <v>1.7694762318957384E-4</v>
          </cell>
          <cell r="H48">
            <v>0</v>
          </cell>
          <cell r="I48">
            <v>0</v>
          </cell>
          <cell r="J48">
            <v>1.0236873816474951E-4</v>
          </cell>
          <cell r="K48">
            <v>1.5116132338082402E-4</v>
          </cell>
          <cell r="L48">
            <v>1.5641345977780325E-4</v>
          </cell>
          <cell r="M48">
            <v>1.8117235216624707E-4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3.4400817091506498E-5</v>
          </cell>
          <cell r="K49">
            <v>5.7838061268956594E-5</v>
          </cell>
          <cell r="L49">
            <v>5.805247681023329E-5</v>
          </cell>
          <cell r="M49">
            <v>1.0732393481571553E-4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1.9217312535419232E-5</v>
          </cell>
          <cell r="F50">
            <v>3.1999664406345997E-5</v>
          </cell>
          <cell r="G50">
            <v>1.1115135684679659E-4</v>
          </cell>
          <cell r="H50">
            <v>2.1532315778002164E-4</v>
          </cell>
          <cell r="I50">
            <v>2.4923336631771446E-4</v>
          </cell>
          <cell r="J50">
            <v>1.6302156520576E-4</v>
          </cell>
          <cell r="K50">
            <v>1.075519544471033E-4</v>
          </cell>
          <cell r="L50">
            <v>9.5856475099921154E-5</v>
          </cell>
          <cell r="M50">
            <v>1.5009815163048975E-4</v>
          </cell>
        </row>
        <row r="51">
          <cell r="B51">
            <v>8.3595667728242808E-3</v>
          </cell>
          <cell r="C51">
            <v>8.5679721820490912E-3</v>
          </cell>
          <cell r="D51">
            <v>8.5679086459906784E-3</v>
          </cell>
          <cell r="E51">
            <v>8.5677782488674716E-3</v>
          </cell>
          <cell r="F51">
            <v>8.5670635662779548E-3</v>
          </cell>
          <cell r="G51">
            <v>3.5975189476694651E-3</v>
          </cell>
          <cell r="H51">
            <v>0</v>
          </cell>
          <cell r="I51">
            <v>0</v>
          </cell>
          <cell r="J51">
            <v>1.2645496367662631E-4</v>
          </cell>
          <cell r="K51">
            <v>2.5151001540173228E-4</v>
          </cell>
          <cell r="L51">
            <v>2.514174213222305E-4</v>
          </cell>
          <cell r="M51">
            <v>3.1507853424898288E-4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9.2141107363259299E-5</v>
          </cell>
          <cell r="K52">
            <v>1.6643370886631752E-4</v>
          </cell>
          <cell r="L52">
            <v>1.6668588510695783E-4</v>
          </cell>
          <cell r="M52">
            <v>2.6962517440898731E-4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2.5335388317659299E-5</v>
          </cell>
          <cell r="F53">
            <v>5.9073937098835448E-5</v>
          </cell>
          <cell r="G53">
            <v>3.929810472060034E-3</v>
          </cell>
          <cell r="H53">
            <v>6.6009724456864045E-3</v>
          </cell>
          <cell r="I53">
            <v>6.5711465997691058E-3</v>
          </cell>
          <cell r="J53">
            <v>6.4507016820230202E-3</v>
          </cell>
          <cell r="K53">
            <v>6.3510819737879884E-3</v>
          </cell>
          <cell r="L53">
            <v>6.4564338402699718E-3</v>
          </cell>
          <cell r="M53">
            <v>6.3585020351173225E-3</v>
          </cell>
        </row>
        <row r="54">
          <cell r="B54">
            <v>7.35127E-2</v>
          </cell>
          <cell r="C54">
            <v>8.4744436234638898E-2</v>
          </cell>
          <cell r="D54">
            <v>8.4747687263552141E-2</v>
          </cell>
          <cell r="E54">
            <v>8.4747822019729802E-2</v>
          </cell>
          <cell r="F54">
            <v>8.4879018735396772E-2</v>
          </cell>
          <cell r="G54">
            <v>0.10269879226136384</v>
          </cell>
          <cell r="H54">
            <v>0.19359325713942341</v>
          </cell>
          <cell r="I54">
            <v>0.29400096183019431</v>
          </cell>
          <cell r="J54">
            <v>0.32660170856907911</v>
          </cell>
          <cell r="K54">
            <v>0.39845873455959424</v>
          </cell>
          <cell r="L54">
            <v>0.4461557282013634</v>
          </cell>
          <cell r="M54">
            <v>0.53265842907135952</v>
          </cell>
        </row>
        <row r="55">
          <cell r="B55">
            <v>6.5199999999999994E-2</v>
          </cell>
          <cell r="C55">
            <v>8.3659002096010085E-2</v>
          </cell>
          <cell r="D55">
            <v>8.3658250741285384E-2</v>
          </cell>
          <cell r="E55">
            <v>8.1998949031996601E-2</v>
          </cell>
          <cell r="F55">
            <v>7.303276995500034E-2</v>
          </cell>
          <cell r="G55">
            <v>4.3637538583628871E-2</v>
          </cell>
          <cell r="H55">
            <v>0</v>
          </cell>
          <cell r="I55">
            <v>0</v>
          </cell>
          <cell r="J55">
            <v>8.6595464348373006E-5</v>
          </cell>
          <cell r="K55">
            <v>8.9064380699335446E-5</v>
          </cell>
          <cell r="L55">
            <v>8.9083249590522079E-5</v>
          </cell>
          <cell r="M55">
            <v>1.426164197809175E-4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2.4527397520886201E-5</v>
          </cell>
          <cell r="F56">
            <v>3.5768564490618339E-5</v>
          </cell>
          <cell r="G56">
            <v>1.5031518949846113E-4</v>
          </cell>
          <cell r="H56">
            <v>1.4481970494493782E-4</v>
          </cell>
          <cell r="I56">
            <v>1.3452649666164678E-4</v>
          </cell>
          <cell r="J56">
            <v>6.1961553772843593E-5</v>
          </cell>
          <cell r="K56">
            <v>7.5159250339171149E-5</v>
          </cell>
          <cell r="L56">
            <v>6.6199754551936985E-5</v>
          </cell>
          <cell r="M56">
            <v>1.1338242552723258E-4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2.6858447716941499E-5</v>
          </cell>
          <cell r="F57">
            <v>9.8525872428691135E-5</v>
          </cell>
          <cell r="G57">
            <v>1.5194417156303371E-4</v>
          </cell>
          <cell r="H57">
            <v>1.8199777943270031E-4</v>
          </cell>
          <cell r="I57">
            <v>1.2017394618909143E-3</v>
          </cell>
          <cell r="J57">
            <v>2.0952765542292203E-3</v>
          </cell>
          <cell r="K57">
            <v>2.04242536311172E-3</v>
          </cell>
          <cell r="L57">
            <v>8.4634464142669731E-4</v>
          </cell>
          <cell r="M57">
            <v>5.0063762124463625E-3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4.73139089087463E-5</v>
          </cell>
          <cell r="K58">
            <v>8.2331393276036528E-5</v>
          </cell>
          <cell r="L58">
            <v>6.8484845966265061E-5</v>
          </cell>
          <cell r="M58">
            <v>1.3860640543437519E-4</v>
          </cell>
        </row>
        <row r="63">
          <cell r="B63">
            <v>0.1</v>
          </cell>
          <cell r="C63">
            <v>9.999916877210166E-2</v>
          </cell>
          <cell r="D63">
            <v>9.9999156481179449E-2</v>
          </cell>
          <cell r="E63">
            <v>9.9999184900558077E-2</v>
          </cell>
          <cell r="F63">
            <v>9.999938769915738E-2</v>
          </cell>
          <cell r="G63">
            <v>9.9999485925967982E-2</v>
          </cell>
          <cell r="H63">
            <v>9.9999496944732508E-2</v>
          </cell>
          <cell r="I63">
            <v>9.9999353675764568E-2</v>
          </cell>
          <cell r="J63">
            <v>9.9999250618451205E-2</v>
          </cell>
          <cell r="K63">
            <v>9.9999102695985359E-2</v>
          </cell>
          <cell r="L63">
            <v>9.9999061590249724E-2</v>
          </cell>
          <cell r="M63">
            <v>9.9999111542086044E-2</v>
          </cell>
        </row>
        <row r="64">
          <cell r="B64">
            <v>1.7671841677395901E-4</v>
          </cell>
          <cell r="C64">
            <v>1.769363566495092E-4</v>
          </cell>
          <cell r="D64">
            <v>1.7772369839500363E-4</v>
          </cell>
          <cell r="E64">
            <v>1.7593971731089318E-4</v>
          </cell>
          <cell r="F64">
            <v>0.30260614539339492</v>
          </cell>
          <cell r="G64">
            <v>0.55754556613716755</v>
          </cell>
          <cell r="H64">
            <v>0.55756258863228148</v>
          </cell>
          <cell r="I64">
            <v>0.55756592325221199</v>
          </cell>
          <cell r="J64">
            <v>0.55756816222996841</v>
          </cell>
          <cell r="K64">
            <v>0.55757436111092029</v>
          </cell>
          <cell r="L64">
            <v>0.55758138904039989</v>
          </cell>
          <cell r="M64">
            <v>0.55761664983077575</v>
          </cell>
        </row>
        <row r="65">
          <cell r="B65">
            <v>1.3007250809375301E-4</v>
          </cell>
          <cell r="C65">
            <v>1.30238053211357E-4</v>
          </cell>
          <cell r="D65">
            <v>1.3086658207921663E-4</v>
          </cell>
          <cell r="E65">
            <v>1.3368489086647148E-4</v>
          </cell>
          <cell r="F65">
            <v>2.0875627616560185E-3</v>
          </cell>
          <cell r="G65">
            <v>4.6746372725716568E-3</v>
          </cell>
          <cell r="H65">
            <v>0.33626753685271182</v>
          </cell>
          <cell r="I65">
            <v>0.54709392694297165</v>
          </cell>
          <cell r="J65">
            <v>0.61142304254414237</v>
          </cell>
          <cell r="K65">
            <v>0.65762536722156562</v>
          </cell>
          <cell r="L65">
            <v>0.73321748924710806</v>
          </cell>
          <cell r="M65">
            <v>0.77449687755939423</v>
          </cell>
        </row>
        <row r="66">
          <cell r="B66">
            <v>1.2388805100912306E-4</v>
          </cell>
          <cell r="C66">
            <v>1.2402354114844104E-4</v>
          </cell>
          <cell r="D66">
            <v>1.2442613048572009E-4</v>
          </cell>
          <cell r="E66">
            <v>7.2321192628780354E-2</v>
          </cell>
          <cell r="F66">
            <v>0.12415276166889183</v>
          </cell>
          <cell r="G66">
            <v>0.17186116668618484</v>
          </cell>
          <cell r="H66">
            <v>0.20182411415027338</v>
          </cell>
          <cell r="I66">
            <v>0.14687253132167086</v>
          </cell>
          <cell r="J66">
            <v>0.17337986264908375</v>
          </cell>
          <cell r="K66">
            <v>0.19582726150244689</v>
          </cell>
          <cell r="L66">
            <v>0.19989265105831763</v>
          </cell>
          <cell r="M66">
            <v>0.16505578925455988</v>
          </cell>
        </row>
        <row r="67">
          <cell r="B67">
            <v>2.4872951811534018E-4</v>
          </cell>
          <cell r="C67">
            <v>2.4900020446045115E-4</v>
          </cell>
          <cell r="D67">
            <v>2.498013878676164E-4</v>
          </cell>
          <cell r="E67">
            <v>1.8494996259631497E-2</v>
          </cell>
          <cell r="F67">
            <v>1.8933281159808163E-2</v>
          </cell>
          <cell r="G67">
            <v>1.1900000900317363E-2</v>
          </cell>
          <cell r="H67">
            <v>1.7303997720996174E-2</v>
          </cell>
          <cell r="I67">
            <v>1.9114340666288442E-2</v>
          </cell>
          <cell r="J67">
            <v>1.2281654850080436E-2</v>
          </cell>
          <cell r="K67">
            <v>2.0428129288582023E-2</v>
          </cell>
          <cell r="L67">
            <v>1.9350126672927313E-2</v>
          </cell>
          <cell r="M67">
            <v>3.1409240430094618E-2</v>
          </cell>
        </row>
        <row r="68">
          <cell r="B68">
            <v>2.486303859539653E-4</v>
          </cell>
          <cell r="C68">
            <v>2.4889984494747995E-4</v>
          </cell>
          <cell r="D68">
            <v>2.4970483538233742E-4</v>
          </cell>
          <cell r="E68">
            <v>3.3154994546459586E-2</v>
          </cell>
          <cell r="F68">
            <v>3.6570171872068388E-2</v>
          </cell>
          <cell r="G68">
            <v>2.7105604611222592E-2</v>
          </cell>
          <cell r="H68">
            <v>2.0592921452390597E-2</v>
          </cell>
          <cell r="I68">
            <v>5.1274038188735396E-2</v>
          </cell>
          <cell r="J68">
            <v>4.6198604788974064E-2</v>
          </cell>
          <cell r="K68">
            <v>4.5439711008310235E-2</v>
          </cell>
          <cell r="L68">
            <v>4.9606741719702072E-2</v>
          </cell>
          <cell r="M68">
            <v>7.5619368650377133E-2</v>
          </cell>
        </row>
        <row r="69">
          <cell r="B69">
            <v>1.2435907699599467E-4</v>
          </cell>
          <cell r="C69">
            <v>1.2449441424634223E-4</v>
          </cell>
          <cell r="D69">
            <v>1.2489700815579126E-4</v>
          </cell>
          <cell r="E69">
            <v>1.9925754549440705E-2</v>
          </cell>
          <cell r="F69">
            <v>3.5717250005236227E-2</v>
          </cell>
          <cell r="G69">
            <v>2.4515460157753386E-2</v>
          </cell>
          <cell r="H69">
            <v>1.3560694131826473E-2</v>
          </cell>
          <cell r="I69">
            <v>5.5174007574647278E-2</v>
          </cell>
          <cell r="J69">
            <v>5.4414365714361417E-2</v>
          </cell>
          <cell r="K69">
            <v>3.9336758574539984E-2</v>
          </cell>
          <cell r="L69">
            <v>4.74089875293515E-2</v>
          </cell>
          <cell r="M69">
            <v>6.0472684351401768E-2</v>
          </cell>
        </row>
      </sheetData>
      <sheetData sheetId="61">
        <row r="14">
          <cell r="B14">
            <v>0</v>
          </cell>
          <cell r="C14">
            <v>1.23297243255392</v>
          </cell>
          <cell r="D14">
            <v>1.0099030616589999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B15">
            <v>0</v>
          </cell>
          <cell r="C15">
            <v>5.8776663832266901E-4</v>
          </cell>
          <cell r="D15">
            <v>3.2028050726893202E-3</v>
          </cell>
          <cell r="E15">
            <v>0.1089406061111725</v>
          </cell>
          <cell r="F15">
            <v>0.13459560098549375</v>
          </cell>
          <cell r="G15">
            <v>0.10168582086884732</v>
          </cell>
          <cell r="H15">
            <v>6.846754195037041E-7</v>
          </cell>
          <cell r="I15">
            <v>2.9748040167985798E-7</v>
          </cell>
          <cell r="J15">
            <v>2.1021678371299699E-7</v>
          </cell>
          <cell r="K15">
            <v>3.13103937151648E-6</v>
          </cell>
          <cell r="L15">
            <v>9.7590877196717996E-8</v>
          </cell>
          <cell r="M15">
            <v>3.1440382589953099E-8</v>
          </cell>
        </row>
        <row r="16">
          <cell r="B16">
            <v>0</v>
          </cell>
          <cell r="C16">
            <v>1.2401949107002832E-4</v>
          </cell>
          <cell r="D16">
            <v>2.5286116780323459E-2</v>
          </cell>
          <cell r="E16">
            <v>2.3267383805189538E-4</v>
          </cell>
          <cell r="F16">
            <v>1.2738981895233875E-5</v>
          </cell>
          <cell r="G16">
            <v>2.775186762510778E-7</v>
          </cell>
          <cell r="H16">
            <v>3.3308136212027532E-7</v>
          </cell>
          <cell r="I16">
            <v>2.1015659010593083E-7</v>
          </cell>
          <cell r="J16">
            <v>1.8331201585469189E-7</v>
          </cell>
          <cell r="K16">
            <v>2.1944205637811057E-6</v>
          </cell>
          <cell r="L16">
            <v>1.4750414622237011E-6</v>
          </cell>
          <cell r="M16">
            <v>1.2296547112896472E-4</v>
          </cell>
        </row>
        <row r="17">
          <cell r="B17">
            <v>0</v>
          </cell>
          <cell r="C17">
            <v>6.6937327208566502E-5</v>
          </cell>
          <cell r="D17">
            <v>3.4064187267239998E-7</v>
          </cell>
          <cell r="E17">
            <v>3.53993393453131E-7</v>
          </cell>
          <cell r="F17">
            <v>2.3854912561596001E-7</v>
          </cell>
          <cell r="G17">
            <v>2.6730263140011401E-5</v>
          </cell>
          <cell r="H17">
            <v>1.3492730475060401E-7</v>
          </cell>
          <cell r="I17">
            <v>2.6569334621513101E-5</v>
          </cell>
          <cell r="J17">
            <v>4.3323056143294098E-7</v>
          </cell>
          <cell r="K17">
            <v>1.1825996326956599E-4</v>
          </cell>
          <cell r="L17">
            <v>0</v>
          </cell>
          <cell r="M17">
            <v>0</v>
          </cell>
        </row>
        <row r="18">
          <cell r="B18">
            <v>0</v>
          </cell>
          <cell r="C18">
            <v>1.34449217445639E-6</v>
          </cell>
          <cell r="D18">
            <v>1.4437234110076299E-3</v>
          </cell>
          <cell r="E18">
            <v>6.2780297904582602E-2</v>
          </cell>
          <cell r="F18">
            <v>2.21462260949016E-3</v>
          </cell>
          <cell r="G18">
            <v>6.5615728193863104E-3</v>
          </cell>
          <cell r="H18">
            <v>2.2867765970838799E-5</v>
          </cell>
          <cell r="I18">
            <v>2.8188010074723699E-6</v>
          </cell>
          <cell r="J18">
            <v>3.7673039406849898E-6</v>
          </cell>
          <cell r="K18">
            <v>1.1760484570630601E-5</v>
          </cell>
          <cell r="L18">
            <v>2.7229431278351298E-4</v>
          </cell>
          <cell r="M18">
            <v>6.0774388254428602E-4</v>
          </cell>
        </row>
        <row r="19">
          <cell r="B19">
            <v>0</v>
          </cell>
          <cell r="C19">
            <v>6.0630871676280506E-8</v>
          </cell>
          <cell r="D19">
            <v>1.37814131581343E-7</v>
          </cell>
          <cell r="E19">
            <v>6.7162255935651199E-2</v>
          </cell>
          <cell r="F19">
            <v>0.155389833720502</v>
          </cell>
          <cell r="G19">
            <v>1.29547178724697E-5</v>
          </cell>
          <cell r="H19">
            <v>2.8421315822656602E-2</v>
          </cell>
          <cell r="I19">
            <v>2.6464030599425399E-3</v>
          </cell>
          <cell r="J19">
            <v>9.1106651950521502E-3</v>
          </cell>
          <cell r="K19">
            <v>3.8748171658832702E-2</v>
          </cell>
          <cell r="L19">
            <v>0.137968955835476</v>
          </cell>
          <cell r="M19">
            <v>2.7970465746660698E-2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0.110175787185489</v>
          </cell>
          <cell r="H20">
            <v>8.6381093194042496E-2</v>
          </cell>
          <cell r="I20">
            <v>2.0034486832402399E-7</v>
          </cell>
          <cell r="J20">
            <v>5.9623546820197103E-8</v>
          </cell>
          <cell r="K20">
            <v>3.8741187123092501E-7</v>
          </cell>
          <cell r="L20">
            <v>7.9775806334528401E-7</v>
          </cell>
          <cell r="M20">
            <v>8.5192688339901304E-2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3.50297681660541E-6</v>
          </cell>
          <cell r="H21">
            <v>3.4410225975544702E-6</v>
          </cell>
          <cell r="I21">
            <v>7.5874628449324995E-5</v>
          </cell>
          <cell r="J21">
            <v>3.0991694311215897E-5</v>
          </cell>
          <cell r="K21">
            <v>9.5864959956784099E-7</v>
          </cell>
          <cell r="L21">
            <v>8.2463467724180797E-5</v>
          </cell>
          <cell r="M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2.6540860958543499E-4</v>
          </cell>
          <cell r="G22">
            <v>2.9717866767700601E-6</v>
          </cell>
          <cell r="H22">
            <v>1.3936260654706599E-4</v>
          </cell>
          <cell r="I22">
            <v>1.97718772766814E-6</v>
          </cell>
          <cell r="J22">
            <v>1.80439591130464E-6</v>
          </cell>
          <cell r="K22">
            <v>6.6975116380634198E-6</v>
          </cell>
          <cell r="L22">
            <v>3.33670949406396E-4</v>
          </cell>
          <cell r="M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2.9928512294744301E-6</v>
          </cell>
          <cell r="I23">
            <v>0</v>
          </cell>
          <cell r="J23">
            <v>0.34889147491480599</v>
          </cell>
          <cell r="K23">
            <v>3.1065255811470299E-7</v>
          </cell>
          <cell r="L23">
            <v>5.0979690947886699E-7</v>
          </cell>
          <cell r="M23">
            <v>0</v>
          </cell>
        </row>
        <row r="24">
          <cell r="B24">
            <v>0</v>
          </cell>
          <cell r="C24">
            <v>6.4368345889345901E-8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0</v>
          </cell>
          <cell r="C25">
            <v>4.3484167195552099E-8</v>
          </cell>
          <cell r="D25">
            <v>3.8127092282117702E-4</v>
          </cell>
          <cell r="E25">
            <v>1.35082595317498E-7</v>
          </cell>
          <cell r="F25">
            <v>3.09978971896887E-5</v>
          </cell>
          <cell r="G25">
            <v>7.0084982428151602E-2</v>
          </cell>
          <cell r="H25">
            <v>5.5565541010517901E-7</v>
          </cell>
          <cell r="I25">
            <v>5.4878985678863001E-7</v>
          </cell>
          <cell r="J25">
            <v>5.9721225859846799E-3</v>
          </cell>
          <cell r="K25">
            <v>5.17977627243714E-2</v>
          </cell>
          <cell r="L25">
            <v>6.55934765046316E-3</v>
          </cell>
          <cell r="M25">
            <v>2.30512567333813E-7</v>
          </cell>
        </row>
        <row r="26">
          <cell r="B26">
            <v>0</v>
          </cell>
          <cell r="C26">
            <v>4.1748078460066702E-8</v>
          </cell>
          <cell r="D26">
            <v>5.5896869627518002E-8</v>
          </cell>
          <cell r="E26">
            <v>1.0265358853556E-7</v>
          </cell>
          <cell r="F26">
            <v>5.6589530286559201E-3</v>
          </cell>
          <cell r="G26">
            <v>1.2890771084435399E-4</v>
          </cell>
          <cell r="H26">
            <v>2.7248338303580801E-7</v>
          </cell>
          <cell r="I26">
            <v>3.0278573695516901E-2</v>
          </cell>
          <cell r="J26">
            <v>3.35439474108507E-4</v>
          </cell>
          <cell r="K26">
            <v>3.0137391663067402E-7</v>
          </cell>
          <cell r="L26">
            <v>2.10018643351925E-5</v>
          </cell>
          <cell r="M26">
            <v>1.09603078953528E-7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2.0132120406629501E-2</v>
          </cell>
          <cell r="H27">
            <v>1.8075904247919099E-2</v>
          </cell>
          <cell r="I27">
            <v>6.7909236500185595E-4</v>
          </cell>
          <cell r="J27">
            <v>9.0730155846644701E-8</v>
          </cell>
          <cell r="K27">
            <v>4.0755225389293697E-3</v>
          </cell>
          <cell r="L27">
            <v>1.0510591642692401E-2</v>
          </cell>
          <cell r="M27">
            <v>5.5465045966695903E-3</v>
          </cell>
        </row>
        <row r="28">
          <cell r="B28">
            <v>0</v>
          </cell>
          <cell r="C28">
            <v>4.5196379083733899E-7</v>
          </cell>
          <cell r="D28">
            <v>4.0128685382192401E-7</v>
          </cell>
          <cell r="E28">
            <v>5.4571463311251896E-7</v>
          </cell>
          <cell r="F28">
            <v>2.5228464800673601E-6</v>
          </cell>
          <cell r="G28">
            <v>1.5232190040201201E-5</v>
          </cell>
          <cell r="H28">
            <v>3.8952131465937402E-5</v>
          </cell>
          <cell r="I28">
            <v>1.65716541284363E-5</v>
          </cell>
          <cell r="J28">
            <v>3.0029182879714901E-6</v>
          </cell>
          <cell r="K28">
            <v>1.22501331628048E-5</v>
          </cell>
          <cell r="L28">
            <v>7.9316315729247306E-6</v>
          </cell>
          <cell r="M28">
            <v>4.8081696913645103E-7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1.73594505085089E-2</v>
          </cell>
          <cell r="H30">
            <v>4.2146675248880099E-2</v>
          </cell>
          <cell r="I30">
            <v>1.2807865436736799E-2</v>
          </cell>
          <cell r="J30">
            <v>2.6380575902786102E-6</v>
          </cell>
          <cell r="K30">
            <v>2.79160486562623E-2</v>
          </cell>
          <cell r="L30">
            <v>3.6181183971273498E-2</v>
          </cell>
          <cell r="M30">
            <v>7.8599743421976804E-3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3.9296301462217498E-5</v>
          </cell>
          <cell r="H31">
            <v>1.8627635920237098E-2</v>
          </cell>
          <cell r="I31">
            <v>6.0897422770497299E-3</v>
          </cell>
          <cell r="J31">
            <v>8.8416184709427405E-7</v>
          </cell>
          <cell r="K31">
            <v>1.02758870095753E-7</v>
          </cell>
          <cell r="L31">
            <v>6.32647943111974E-3</v>
          </cell>
          <cell r="M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3.3041907364950499E-4</v>
          </cell>
          <cell r="H32">
            <v>2.51949756815018E-6</v>
          </cell>
          <cell r="I32">
            <v>1.2852460537004301E-7</v>
          </cell>
          <cell r="J32">
            <v>3.0873286254823503E-7</v>
          </cell>
          <cell r="K32">
            <v>1.83573080733805E-7</v>
          </cell>
          <cell r="L32">
            <v>7.2634912483394904E-6</v>
          </cell>
          <cell r="M32">
            <v>0</v>
          </cell>
        </row>
        <row r="33">
          <cell r="B33">
            <v>0</v>
          </cell>
          <cell r="C33">
            <v>7.1321126946055202E-3</v>
          </cell>
          <cell r="D33">
            <v>0.399027290788042</v>
          </cell>
          <cell r="E33">
            <v>8.0893270962752901E-3</v>
          </cell>
          <cell r="F33">
            <v>2.1962583632699501E-2</v>
          </cell>
          <cell r="G33">
            <v>8.5689229302480902E-6</v>
          </cell>
          <cell r="H33">
            <v>0.47309634111971899</v>
          </cell>
          <cell r="I33">
            <v>5.3314956052166997E-5</v>
          </cell>
          <cell r="J33">
            <v>3.0012776596518801E-2</v>
          </cell>
          <cell r="K33">
            <v>8.5267602282383399E-5</v>
          </cell>
          <cell r="L33">
            <v>0.47312697627442202</v>
          </cell>
          <cell r="M33">
            <v>0</v>
          </cell>
        </row>
        <row r="34">
          <cell r="B34">
            <v>0</v>
          </cell>
          <cell r="C34">
            <v>0</v>
          </cell>
          <cell r="D34">
            <v>4.4925250391578297E-2</v>
          </cell>
          <cell r="E34">
            <v>0.20819245066221406</v>
          </cell>
          <cell r="F34">
            <v>0.17058730137598779</v>
          </cell>
          <cell r="G34">
            <v>0.38465929432302437</v>
          </cell>
          <cell r="H34">
            <v>1.0835373179419237</v>
          </cell>
          <cell r="I34">
            <v>0.66495940564206601</v>
          </cell>
          <cell r="J34">
            <v>0.14137674009003415</v>
          </cell>
          <cell r="K34">
            <v>0.19972042882487478</v>
          </cell>
          <cell r="L34">
            <v>0.68529042484543268</v>
          </cell>
          <cell r="M34">
            <v>0.66508808720014034</v>
          </cell>
        </row>
        <row r="35">
          <cell r="B35">
            <v>0</v>
          </cell>
          <cell r="C35">
            <v>0</v>
          </cell>
          <cell r="D35">
            <v>1.7679643397321501</v>
          </cell>
          <cell r="E35">
            <v>8.4719309368871592E-6</v>
          </cell>
          <cell r="F35">
            <v>1.9145901601714399</v>
          </cell>
          <cell r="G35">
            <v>0.86938949276820099</v>
          </cell>
          <cell r="H35">
            <v>2.3094260348182898</v>
          </cell>
          <cell r="I35">
            <v>0.58893986559242195</v>
          </cell>
          <cell r="J35">
            <v>1.73844318123396</v>
          </cell>
          <cell r="K35">
            <v>1.6400357376042101</v>
          </cell>
          <cell r="L35">
            <v>2.62960838568622</v>
          </cell>
          <cell r="M35">
            <v>0.92545473428578695</v>
          </cell>
        </row>
        <row r="36">
          <cell r="B36">
            <v>0</v>
          </cell>
          <cell r="C36">
            <v>1.01481182410241E-6</v>
          </cell>
          <cell r="D36">
            <v>8.5689201365352343E-5</v>
          </cell>
          <cell r="E36">
            <v>3.4276394047729828</v>
          </cell>
          <cell r="F36">
            <v>0.46161085301303056</v>
          </cell>
          <cell r="G36">
            <v>0.7511790159783226</v>
          </cell>
          <cell r="H36">
            <v>1.8795008878597206</v>
          </cell>
          <cell r="I36">
            <v>2.6182017927434571</v>
          </cell>
          <cell r="J36">
            <v>0.71230489467906932</v>
          </cell>
          <cell r="K36">
            <v>1.0979313637891495</v>
          </cell>
          <cell r="L36">
            <v>2.2012707714191952</v>
          </cell>
          <cell r="M36">
            <v>2.9564844575568299</v>
          </cell>
        </row>
        <row r="37">
          <cell r="B37">
            <v>0</v>
          </cell>
          <cell r="C37">
            <v>1.06920424186534E-6</v>
          </cell>
          <cell r="D37">
            <v>1.2516417054218441</v>
          </cell>
          <cell r="E37">
            <v>1.6069343012741011</v>
          </cell>
          <cell r="F37">
            <v>0.25831302930686961</v>
          </cell>
          <cell r="G37">
            <v>0.37419392770833831</v>
          </cell>
          <cell r="H37">
            <v>1.914316009942266</v>
          </cell>
          <cell r="I37">
            <v>1.516414233520909</v>
          </cell>
          <cell r="J37">
            <v>0.43674470815564903</v>
          </cell>
          <cell r="K37">
            <v>0.62086791989658896</v>
          </cell>
          <cell r="L37">
            <v>2.1432675753108028</v>
          </cell>
          <cell r="M37">
            <v>1.757048670317868</v>
          </cell>
        </row>
        <row r="38">
          <cell r="B38">
            <v>0</v>
          </cell>
          <cell r="C38">
            <v>0</v>
          </cell>
          <cell r="D38">
            <v>0.79202337109102094</v>
          </cell>
          <cell r="E38">
            <v>1.6984342848569599E-6</v>
          </cell>
          <cell r="F38">
            <v>4.8162074429416402</v>
          </cell>
          <cell r="G38">
            <v>0.99450941902998002</v>
          </cell>
          <cell r="H38">
            <v>1.2581755349021699</v>
          </cell>
          <cell r="I38">
            <v>0.50802679347216795</v>
          </cell>
          <cell r="J38">
            <v>3.8724643883654202</v>
          </cell>
          <cell r="K38">
            <v>2.73096649524954</v>
          </cell>
          <cell r="L38">
            <v>1.68511130001976</v>
          </cell>
          <cell r="M38">
            <v>0.95674085038128098</v>
          </cell>
        </row>
        <row r="39">
          <cell r="B39">
            <v>0</v>
          </cell>
          <cell r="C39">
            <v>1.7844468290272001E-7</v>
          </cell>
          <cell r="D39">
            <v>7.5113476031704198E-7</v>
          </cell>
          <cell r="E39">
            <v>1.1776845887952201E-2</v>
          </cell>
          <cell r="F39">
            <v>3.4944538029515901E-2</v>
          </cell>
          <cell r="G39">
            <v>2.2111271924206501E-2</v>
          </cell>
          <cell r="H39">
            <v>1.2364982582054734E-6</v>
          </cell>
          <cell r="I39">
            <v>3.7196892509611199E-3</v>
          </cell>
          <cell r="J39">
            <v>2.7587476074729601E-2</v>
          </cell>
          <cell r="K39">
            <v>1.1943642864153199E-2</v>
          </cell>
          <cell r="L39">
            <v>1.7760084009270399E-2</v>
          </cell>
          <cell r="M39">
            <v>3.6883724455132102E-3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2.21432419492082E-4</v>
          </cell>
          <cell r="H40">
            <v>1.2505064725039599E-2</v>
          </cell>
          <cell r="I40">
            <v>1.19941851291134E-2</v>
          </cell>
          <cell r="J40">
            <v>3.1160814728286898E-6</v>
          </cell>
          <cell r="K40">
            <v>2.0519315252910402E-6</v>
          </cell>
          <cell r="L40">
            <v>7.9486055089002302E-3</v>
          </cell>
          <cell r="M40">
            <v>1.06589337623108E-2</v>
          </cell>
        </row>
        <row r="41">
          <cell r="B41">
            <v>0</v>
          </cell>
          <cell r="C41">
            <v>2.1245669908495399E-2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2.51316829438641E-4</v>
          </cell>
          <cell r="K41">
            <v>5.3254722765772698E-6</v>
          </cell>
          <cell r="L41">
            <v>2.5161193917862899E-2</v>
          </cell>
          <cell r="M41">
            <v>2.3841238032921101E-6</v>
          </cell>
        </row>
        <row r="42">
          <cell r="B42">
            <v>0</v>
          </cell>
          <cell r="C42">
            <v>7.1273782333612498E-3</v>
          </cell>
          <cell r="D42">
            <v>3.3040035122684497E-2</v>
          </cell>
          <cell r="E42">
            <v>1.69453971763888E-2</v>
          </cell>
          <cell r="F42">
            <v>1.98327768361087E-2</v>
          </cell>
          <cell r="G42">
            <v>9.1186367836426098E-8</v>
          </cell>
          <cell r="H42">
            <v>1.5440360501533599E-7</v>
          </cell>
          <cell r="I42">
            <v>2.4546932842651599E-5</v>
          </cell>
          <cell r="J42">
            <v>3.07701709255479E-7</v>
          </cell>
          <cell r="K42">
            <v>1.39962840016926E-5</v>
          </cell>
          <cell r="L42">
            <v>4.4441799963737097E-6</v>
          </cell>
          <cell r="M42">
            <v>1.14718010651836E-5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6.2021040027272899E-2</v>
          </cell>
          <cell r="H43">
            <v>8.8327545336858701E-2</v>
          </cell>
          <cell r="I43">
            <v>3.1485830681335703E-2</v>
          </cell>
          <cell r="J43">
            <v>5.8810983930691403E-2</v>
          </cell>
          <cell r="K43">
            <v>9.6208319825237504E-2</v>
          </cell>
          <cell r="L43">
            <v>2.9545698506568598E-2</v>
          </cell>
          <cell r="M43">
            <v>4.5298360935248902E-2</v>
          </cell>
        </row>
        <row r="44">
          <cell r="B44">
            <v>0</v>
          </cell>
          <cell r="C44">
            <v>1.0059813250272E-7</v>
          </cell>
          <cell r="D44">
            <v>4.1739892549338699E-7</v>
          </cell>
          <cell r="E44">
            <v>1.54982145841861E-3</v>
          </cell>
          <cell r="F44">
            <v>5.0005830856344E-3</v>
          </cell>
          <cell r="G44">
            <v>4.66625444854061E-8</v>
          </cell>
          <cell r="H44">
            <v>4.83607900549406E-8</v>
          </cell>
          <cell r="I44">
            <v>6.3853584928799999E-8</v>
          </cell>
          <cell r="J44">
            <v>5.0200536891295102E-8</v>
          </cell>
          <cell r="K44">
            <v>1.79197648486061E-7</v>
          </cell>
          <cell r="L44">
            <v>1.10784791007806E-5</v>
          </cell>
          <cell r="M44">
            <v>4.5472178750610397E-6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5.1729370218078401E-3</v>
          </cell>
          <cell r="H45">
            <v>3.0133298692948399E-2</v>
          </cell>
          <cell r="I45">
            <v>1.44268871735585E-2</v>
          </cell>
          <cell r="J45">
            <v>9.2988385400138698E-7</v>
          </cell>
          <cell r="K45">
            <v>1.8833912828586901E-7</v>
          </cell>
          <cell r="L45">
            <v>2.3146987735761699E-7</v>
          </cell>
          <cell r="M45">
            <v>7.0391681621375804E-3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9.8984846551847597E-5</v>
          </cell>
          <cell r="F46">
            <v>3.8187105325923398E-2</v>
          </cell>
          <cell r="G46">
            <v>8.7330411213094594E-2</v>
          </cell>
          <cell r="H46">
            <v>3.9164185557985301E-2</v>
          </cell>
          <cell r="I46">
            <v>6.7780725196368005E-2</v>
          </cell>
          <cell r="J46">
            <v>7.3012944642177696E-2</v>
          </cell>
          <cell r="K46">
            <v>4.6010536665313698E-2</v>
          </cell>
          <cell r="L46">
            <v>7.2861104698560095E-2</v>
          </cell>
          <cell r="M46">
            <v>6.1900577291454102E-2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2.2319037342327399E-5</v>
          </cell>
          <cell r="F47">
            <v>1.9781035215116998E-5</v>
          </cell>
          <cell r="G47">
            <v>5.6685027860826199E-5</v>
          </cell>
          <cell r="H47">
            <v>1.31925132671394E-6</v>
          </cell>
          <cell r="I47">
            <v>2.8974175311352099E-5</v>
          </cell>
          <cell r="J47">
            <v>3.3503881321269701E-5</v>
          </cell>
          <cell r="K47">
            <v>2.41370493151624E-5</v>
          </cell>
          <cell r="L47">
            <v>1.9783023469675602E-5</v>
          </cell>
          <cell r="M47">
            <v>3.8564526169456799E-5</v>
          </cell>
        </row>
        <row r="48">
          <cell r="B48">
            <v>0</v>
          </cell>
          <cell r="C48">
            <v>5.1767023292719899E-5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1.0236873816474951E-4</v>
          </cell>
          <cell r="K48">
            <v>4.8792585216074469E-5</v>
          </cell>
          <cell r="L48">
            <v>5.2868834780021664E-6</v>
          </cell>
          <cell r="M48">
            <v>2.4854478969428931E-5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3.4400817091506498E-5</v>
          </cell>
          <cell r="K49">
            <v>2.3437244177450082E-5</v>
          </cell>
          <cell r="L49">
            <v>2.5749397827492798E-7</v>
          </cell>
          <cell r="M49">
            <v>4.9395158980571706E-5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1.9217312535419232E-5</v>
          </cell>
          <cell r="F50">
            <v>1.278235187092677E-5</v>
          </cell>
          <cell r="G50">
            <v>8.2856517744432092E-5</v>
          </cell>
          <cell r="H50">
            <v>1.1972386130138941E-4</v>
          </cell>
          <cell r="I50">
            <v>4.6684661716978801E-5</v>
          </cell>
          <cell r="J50">
            <v>3.176440478571948E-7</v>
          </cell>
          <cell r="K50">
            <v>6.0649354547560075E-5</v>
          </cell>
          <cell r="L50">
            <v>2.6819299402824671E-5</v>
          </cell>
          <cell r="M50">
            <v>6.2701508840451404E-5</v>
          </cell>
        </row>
        <row r="51">
          <cell r="B51">
            <v>0</v>
          </cell>
          <cell r="C51">
            <v>2.1706016859796972E-4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1.2645496367662631E-4</v>
          </cell>
          <cell r="K51">
            <v>1.2511678780480792E-4</v>
          </cell>
          <cell r="L51">
            <v>4.1566136375814597E-7</v>
          </cell>
          <cell r="M51">
            <v>6.4068027223692102E-5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9.2141107363259299E-5</v>
          </cell>
          <cell r="K52">
            <v>7.4350095330690896E-5</v>
          </cell>
          <cell r="L52">
            <v>5.0918088644024701E-7</v>
          </cell>
          <cell r="M52">
            <v>1.033929550982834E-4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2.5335388317659299E-5</v>
          </cell>
          <cell r="F53">
            <v>3.3770220977864896E-5</v>
          </cell>
          <cell r="G53">
            <v>3.8756377822474547E-3</v>
          </cell>
          <cell r="H53">
            <v>2.6916381341294785E-3</v>
          </cell>
          <cell r="I53">
            <v>4.2106265032902698E-6</v>
          </cell>
          <cell r="J53">
            <v>3.5162445564540261E-3</v>
          </cell>
          <cell r="K53">
            <v>2.8307609762455201E-3</v>
          </cell>
          <cell r="L53">
            <v>1.2332177642757705E-3</v>
          </cell>
          <cell r="M53">
            <v>2.294764209396582E-3</v>
          </cell>
        </row>
        <row r="54">
          <cell r="B54">
            <v>0</v>
          </cell>
          <cell r="C54">
            <v>2.6187044866540801E-2</v>
          </cell>
          <cell r="D54">
            <v>6.5693459386141498E-3</v>
          </cell>
          <cell r="E54">
            <v>1.2221039915347599E-2</v>
          </cell>
          <cell r="F54">
            <v>4.4214644492999097E-2</v>
          </cell>
          <cell r="G54">
            <v>4.7208735159669002E-2</v>
          </cell>
          <cell r="H54">
            <v>0.102169969423695</v>
          </cell>
          <cell r="I54">
            <v>0.14462241176872401</v>
          </cell>
          <cell r="J54">
            <v>8.6092739213326802E-2</v>
          </cell>
          <cell r="K54">
            <v>0.167743742501094</v>
          </cell>
          <cell r="L54">
            <v>0.193996237647968</v>
          </cell>
          <cell r="M54">
            <v>0.17091863328807499</v>
          </cell>
        </row>
        <row r="55">
          <cell r="B55">
            <v>0</v>
          </cell>
          <cell r="C55">
            <v>7.0984241304932E-2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8.6595464348373006E-5</v>
          </cell>
          <cell r="K55">
            <v>2.5180212741977099E-6</v>
          </cell>
          <cell r="L55">
            <v>2.2972510271976299E-7</v>
          </cell>
          <cell r="M55">
            <v>5.3857506248560897E-5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2.4527397520886201E-5</v>
          </cell>
          <cell r="F56">
            <v>1.1266059880146199E-5</v>
          </cell>
          <cell r="G56">
            <v>1.19267437047803E-4</v>
          </cell>
          <cell r="H56">
            <v>1.43276101953485E-5</v>
          </cell>
          <cell r="I56">
            <v>1.1327464529264401E-6</v>
          </cell>
          <cell r="J56">
            <v>3.02122514548111E-5</v>
          </cell>
          <cell r="K56">
            <v>4.3915949701125198E-5</v>
          </cell>
          <cell r="L56">
            <v>1.6411449599964201E-6</v>
          </cell>
          <cell r="M56">
            <v>6.7977444719073202E-5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2.6858447716941499E-5</v>
          </cell>
          <cell r="F57">
            <v>7.1678184697049403E-5</v>
          </cell>
          <cell r="G57">
            <v>5.8552336846485802E-5</v>
          </cell>
          <cell r="H57">
            <v>5.1789953471072598E-5</v>
          </cell>
          <cell r="I57">
            <v>1.09149178559701E-3</v>
          </cell>
          <cell r="J57">
            <v>9.5009526327807098E-4</v>
          </cell>
          <cell r="K57">
            <v>1.0352056117182901E-6</v>
          </cell>
          <cell r="L57">
            <v>3.26137706523959E-6</v>
          </cell>
          <cell r="M57">
            <v>5.0022343208558102E-3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4.73139089087463E-5</v>
          </cell>
          <cell r="K58">
            <v>3.5045948074455999E-5</v>
          </cell>
          <cell r="L58">
            <v>1.20871315229514E-6</v>
          </cell>
          <cell r="M58">
            <v>1.0246495706740899E-4</v>
          </cell>
        </row>
        <row r="63">
          <cell r="B63">
            <v>0</v>
          </cell>
          <cell r="C63">
            <v>2.0767258709946199E-7</v>
          </cell>
          <cell r="D63">
            <v>2.25092241920424E-7</v>
          </cell>
          <cell r="E63">
            <v>2.45521687724288E-7</v>
          </cell>
          <cell r="F63">
            <v>3.8216637114506303E-7</v>
          </cell>
          <cell r="G63">
            <v>3.5250391479183501E-7</v>
          </cell>
          <cell r="H63">
            <v>3.3131303478190502E-7</v>
          </cell>
          <cell r="I63">
            <v>2.97681843570699E-7</v>
          </cell>
          <cell r="J63">
            <v>2.85525155029684E-7</v>
          </cell>
          <cell r="K63">
            <v>3.4633231209497698E-7</v>
          </cell>
          <cell r="L63">
            <v>4.28342949235848E-7</v>
          </cell>
          <cell r="M63">
            <v>5.3235640052469901E-7</v>
          </cell>
        </row>
        <row r="64">
          <cell r="B64">
            <v>1.7671841677395901E-4</v>
          </cell>
          <cell r="C64">
            <v>2.6907388735077702E-7</v>
          </cell>
          <cell r="D64">
            <v>9.1199364437633201E-7</v>
          </cell>
          <cell r="E64">
            <v>4.58053324316391E-5</v>
          </cell>
          <cell r="F64">
            <v>0.30256009914114601</v>
          </cell>
          <cell r="G64">
            <v>0.254976104855903</v>
          </cell>
          <cell r="H64">
            <v>0.14570603241595001</v>
          </cell>
          <cell r="I64">
            <v>0.32476141714277001</v>
          </cell>
          <cell r="J64">
            <v>0.167267015315786</v>
          </cell>
          <cell r="K64">
            <v>0.22391858786979199</v>
          </cell>
          <cell r="L64">
            <v>0.30403669613318801</v>
          </cell>
          <cell r="M64">
            <v>0.102466710887615</v>
          </cell>
        </row>
        <row r="65">
          <cell r="B65">
            <v>1.3007250809375301E-4</v>
          </cell>
          <cell r="C65">
            <v>2.0353938537334499E-7</v>
          </cell>
          <cell r="D65">
            <v>7.1344489579753005E-7</v>
          </cell>
          <cell r="E65">
            <v>3.7836275260155999E-5</v>
          </cell>
          <cell r="F65">
            <v>2.0495295469007101E-3</v>
          </cell>
          <cell r="G65">
            <v>2.61735742779425E-3</v>
          </cell>
          <cell r="H65">
            <v>0.33258768997876098</v>
          </cell>
          <cell r="I65">
            <v>0.21361270250501899</v>
          </cell>
          <cell r="J65">
            <v>0.248209205256091</v>
          </cell>
          <cell r="K65">
            <v>0.29997367211613402</v>
          </cell>
          <cell r="L65">
            <v>0.38928101257936998</v>
          </cell>
          <cell r="M65">
            <v>0.18277574897532101</v>
          </cell>
        </row>
        <row r="66">
          <cell r="B66">
            <v>1.21761892172486E-4</v>
          </cell>
          <cell r="C66">
            <v>1.9581393886383299E-7</v>
          </cell>
          <cell r="D66">
            <v>5.2954277746016402E-7</v>
          </cell>
          <cell r="E66">
            <v>7.2231586084656504E-2</v>
          </cell>
          <cell r="F66">
            <v>5.1921008766830201E-2</v>
          </cell>
          <cell r="G66">
            <v>0.104771857739292</v>
          </cell>
          <cell r="H66">
            <v>7.0130770364948705E-2</v>
          </cell>
          <cell r="I66">
            <v>4.0952250799417299E-2</v>
          </cell>
          <cell r="J66">
            <v>0.100882214688876</v>
          </cell>
          <cell r="K66">
            <v>7.3963721981418803E-2</v>
          </cell>
          <cell r="L66">
            <v>0.108060710978315</v>
          </cell>
          <cell r="M66">
            <v>7.0801655638267798E-3</v>
          </cell>
        </row>
        <row r="67">
          <cell r="B67">
            <v>2.43236350358707E-4</v>
          </cell>
          <cell r="C67">
            <v>3.9225076981545796E-7</v>
          </cell>
          <cell r="D67">
            <v>1.06594622156117E-6</v>
          </cell>
          <cell r="E67">
            <v>1.8315994336616702E-2</v>
          </cell>
          <cell r="F67">
            <v>6.1694942798009808E-4</v>
          </cell>
          <cell r="G67">
            <v>7.4369699161611902E-3</v>
          </cell>
          <cell r="H67">
            <v>9.5473886755477709E-3</v>
          </cell>
          <cell r="I67">
            <v>7.0270305768970198E-3</v>
          </cell>
          <cell r="J67">
            <v>9.6044952822681498E-4</v>
          </cell>
          <cell r="K67">
            <v>1.5868034437661591E-2</v>
          </cell>
          <cell r="L67">
            <v>3.3124200572919298E-3</v>
          </cell>
          <cell r="M67">
            <v>1.738898062628165E-2</v>
          </cell>
        </row>
        <row r="68">
          <cell r="B68">
            <v>2.43137287534334E-4</v>
          </cell>
          <cell r="C68">
            <v>3.9190985099477101E-7</v>
          </cell>
          <cell r="D68">
            <v>1.0635276707373221E-6</v>
          </cell>
          <cell r="E68">
            <v>3.29760653521265E-2</v>
          </cell>
          <cell r="F68">
            <v>3.5937701312882802E-3</v>
          </cell>
          <cell r="G68">
            <v>1.65871829186508E-2</v>
          </cell>
          <cell r="H68">
            <v>2.1425855734495004E-3</v>
          </cell>
          <cell r="I68">
            <v>4.3465844238642595E-2</v>
          </cell>
          <cell r="J68">
            <v>1.769346389630241E-3</v>
          </cell>
          <cell r="K68">
            <v>2.1401519162591198E-2</v>
          </cell>
          <cell r="L68">
            <v>2.7892275650244297E-2</v>
          </cell>
          <cell r="M68">
            <v>3.3284910363687803E-2</v>
          </cell>
        </row>
        <row r="69">
          <cell r="B69">
            <v>1.21974374147498E-4</v>
          </cell>
          <cell r="C69">
            <v>1.96144761979917E-7</v>
          </cell>
          <cell r="D69">
            <v>5.3041185032661901E-7</v>
          </cell>
          <cell r="E69">
            <v>1.98359913715144E-2</v>
          </cell>
          <cell r="F69">
            <v>1.58810913976201E-2</v>
          </cell>
          <cell r="G69">
            <v>4.4689829908372098E-3</v>
          </cell>
          <cell r="H69">
            <v>8.5731875575156997E-4</v>
          </cell>
          <cell r="I69">
            <v>5.27903633111877E-2</v>
          </cell>
          <cell r="J69">
            <v>1.23854309996217E-3</v>
          </cell>
          <cell r="K69">
            <v>1.10517066323469E-2</v>
          </cell>
          <cell r="L69">
            <v>3.6138134164177299E-2</v>
          </cell>
          <cell r="M69">
            <v>1.6876618607021901E-2</v>
          </cell>
        </row>
      </sheetData>
      <sheetData sheetId="62"/>
      <sheetData sheetId="63"/>
      <sheetData sheetId="64"/>
      <sheetData sheetId="65"/>
      <sheetData sheetId="66"/>
      <sheetData sheetId="67"/>
      <sheetData sheetId="68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1.1813963527827773E-4</v>
          </cell>
          <cell r="J157">
            <v>1.159771527252808E-4</v>
          </cell>
          <cell r="K157">
            <v>1.2825948079029818E-4</v>
          </cell>
          <cell r="L157">
            <v>1.3711846023973376E-4</v>
          </cell>
          <cell r="M157">
            <v>2.3208412052887794E-4</v>
          </cell>
        </row>
      </sheetData>
      <sheetData sheetId="69">
        <row r="5">
          <cell r="B5">
            <v>0.73299918551022503</v>
          </cell>
          <cell r="C5">
            <v>0.63724031184186014</v>
          </cell>
          <cell r="D5">
            <v>0.47912811361511004</v>
          </cell>
          <cell r="E5">
            <v>7.2497362116269879E-5</v>
          </cell>
          <cell r="F5">
            <v>1.625609482478874E-4</v>
          </cell>
          <cell r="G5">
            <v>1.3153992231265771E-4</v>
          </cell>
          <cell r="H5">
            <v>1.0441415507253999E-4</v>
          </cell>
          <cell r="I5">
            <v>3.3816723751309095</v>
          </cell>
          <cell r="J5">
            <v>3.5888869738597911</v>
          </cell>
          <cell r="K5">
            <v>3.3816710231356497</v>
          </cell>
          <cell r="L5">
            <v>3.5900744976845496</v>
          </cell>
          <cell r="M5">
            <v>3.9609049863948558</v>
          </cell>
        </row>
        <row r="12">
          <cell r="B12">
            <v>0.18403683236482027</v>
          </cell>
          <cell r="C12">
            <v>1.9222415166544928E-5</v>
          </cell>
          <cell r="D12">
            <v>0.18402759594952389</v>
          </cell>
          <cell r="E12">
            <v>2.515008710809563E-5</v>
          </cell>
          <cell r="F12">
            <v>4.1498856525855553E-5</v>
          </cell>
          <cell r="G12">
            <v>6.2720223585995485E-5</v>
          </cell>
          <cell r="H12">
            <v>4.2391876188462694E-5</v>
          </cell>
          <cell r="I12">
            <v>7.5856648414537422E-5</v>
          </cell>
          <cell r="J12">
            <v>3.2769786455738902E-5</v>
          </cell>
          <cell r="K12">
            <v>7.8138090359956337E-5</v>
          </cell>
          <cell r="L12">
            <v>5.3498583727719341E-5</v>
          </cell>
          <cell r="M12">
            <v>1.7222528234823558E-4</v>
          </cell>
        </row>
        <row r="19">
          <cell r="B19">
            <v>1.3280004456093457</v>
          </cell>
          <cell r="C19">
            <v>3.5330854889444199</v>
          </cell>
          <cell r="D19">
            <v>4.3847354834723165</v>
          </cell>
          <cell r="E19">
            <v>4.3847644590165089</v>
          </cell>
          <cell r="F19">
            <v>4.384764699615185</v>
          </cell>
          <cell r="G19">
            <v>4.3850904202876579</v>
          </cell>
          <cell r="H19">
            <v>4.3860262441536273</v>
          </cell>
          <cell r="I19">
            <v>6.5775764903163045</v>
          </cell>
          <cell r="J19">
            <v>6.5775770968854905</v>
          </cell>
          <cell r="K19">
            <v>6.577592929147885</v>
          </cell>
          <cell r="L19">
            <v>6.5775944182194204</v>
          </cell>
          <cell r="M19">
            <v>6.5777126360911407</v>
          </cell>
        </row>
        <row r="20">
          <cell r="B20">
            <v>5.6294120091878685</v>
          </cell>
          <cell r="C20">
            <v>5.9623003116832836</v>
          </cell>
          <cell r="D20">
            <v>5.7531171700775827</v>
          </cell>
          <cell r="E20">
            <v>5.9428271468890772</v>
          </cell>
          <cell r="F20">
            <v>5.9306563453979342</v>
          </cell>
          <cell r="G20">
            <v>5.7699663503069791</v>
          </cell>
          <cell r="H20">
            <v>9.2176766699337875</v>
          </cell>
          <cell r="I20">
            <v>9.8457297499792418</v>
          </cell>
          <cell r="J20">
            <v>10.308171416219828</v>
          </cell>
          <cell r="K20">
            <v>10.475074835399869</v>
          </cell>
          <cell r="L20">
            <v>10.642012113828596</v>
          </cell>
          <cell r="M20">
            <v>10.808998326315214</v>
          </cell>
        </row>
        <row r="21">
          <cell r="B21">
            <v>0</v>
          </cell>
          <cell r="C21">
            <v>1.7476107967032206E-5</v>
          </cell>
          <cell r="D21">
            <v>3.193936497254575E-5</v>
          </cell>
          <cell r="E21">
            <v>4.5192055506246238E-4</v>
          </cell>
          <cell r="F21">
            <v>4.5317972171759129E-4</v>
          </cell>
          <cell r="G21">
            <v>4.5509377250973495E-4</v>
          </cell>
          <cell r="H21">
            <v>4.5602944108320408E-4</v>
          </cell>
          <cell r="I21">
            <v>4.5868114919914968E-4</v>
          </cell>
          <cell r="J21">
            <v>4.5782159355501489E-4</v>
          </cell>
          <cell r="K21">
            <v>4.6289793056169805E-4</v>
          </cell>
          <cell r="L21">
            <v>4.6330803499878501E-4</v>
          </cell>
          <cell r="M21">
            <v>8.8368229406831397E-4</v>
          </cell>
        </row>
        <row r="28">
          <cell r="B28">
            <v>3.3783454752897733E-3</v>
          </cell>
          <cell r="C28">
            <v>4.7410420229986672E-3</v>
          </cell>
          <cell r="D28">
            <v>4.7457173590093093E-3</v>
          </cell>
          <cell r="E28">
            <v>3.0413008457113415E-2</v>
          </cell>
          <cell r="F28">
            <v>11.462159639535711</v>
          </cell>
          <cell r="G28">
            <v>11.462161185228684</v>
          </cell>
          <cell r="H28">
            <v>11.462164927503974</v>
          </cell>
          <cell r="I28">
            <v>16.86069123267033</v>
          </cell>
          <cell r="J28">
            <v>17.338060740939476</v>
          </cell>
          <cell r="K28">
            <v>23.538654503021473</v>
          </cell>
          <cell r="L28">
            <v>25.723640692880789</v>
          </cell>
          <cell r="M28">
            <v>25.830358517105942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3.5470236155387628E-5</v>
          </cell>
          <cell r="J29">
            <v>2.4723690506031368E-5</v>
          </cell>
          <cell r="K29">
            <v>3.9783900265529844E-5</v>
          </cell>
          <cell r="L29">
            <v>3.5226643208650273E-5</v>
          </cell>
          <cell r="M29">
            <v>7.6202497930124324E-5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4.931310762198868E-5</v>
          </cell>
          <cell r="J30">
            <v>5.7577726894704714E-5</v>
          </cell>
          <cell r="K30">
            <v>5.2379448083179943E-5</v>
          </cell>
          <cell r="L30">
            <v>6.2629653599668026E-5</v>
          </cell>
          <cell r="M30">
            <v>9.0954196359944374E-5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3.9912989837631585E-5</v>
          </cell>
          <cell r="J31">
            <v>1.7662867257683956E-5</v>
          </cell>
          <cell r="K31">
            <v>4.8373638002807695E-5</v>
          </cell>
          <cell r="L31">
            <v>2.9968715861805606E-5</v>
          </cell>
          <cell r="M31">
            <v>1.2453310588611544E-4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2.2047867895068927</v>
          </cell>
          <cell r="J32">
            <v>5.5449607265362379</v>
          </cell>
          <cell r="K32">
            <v>5.5449144907933494</v>
          </cell>
          <cell r="L32">
            <v>6.0901095289107277</v>
          </cell>
          <cell r="M32">
            <v>6.1116342824084349</v>
          </cell>
        </row>
        <row r="38">
          <cell r="B38">
            <v>1.2890706575083406</v>
          </cell>
          <cell r="C38">
            <v>3.692617228594345</v>
          </cell>
          <cell r="D38">
            <v>2.7594561561503022</v>
          </cell>
          <cell r="E38">
            <v>2.7594244634229117</v>
          </cell>
          <cell r="F38">
            <v>2.759474459164188</v>
          </cell>
          <cell r="G38">
            <v>3.0850081349611815</v>
          </cell>
          <cell r="H38">
            <v>3.0842417674117293</v>
          </cell>
          <cell r="I38">
            <v>3.5507375940860322</v>
          </cell>
          <cell r="J38">
            <v>8.8496755754137926</v>
          </cell>
          <cell r="K38">
            <v>9.5600857715829921</v>
          </cell>
          <cell r="L38">
            <v>9.6536716868746701</v>
          </cell>
          <cell r="M38">
            <v>9.7475872173457407</v>
          </cell>
        </row>
        <row r="39">
          <cell r="B39">
            <v>1.1764710429128831</v>
          </cell>
          <cell r="C39">
            <v>3.3700691398868199</v>
          </cell>
          <cell r="D39">
            <v>2.5184191750773111</v>
          </cell>
          <cell r="E39">
            <v>2.5183902506922653</v>
          </cell>
          <cell r="F39">
            <v>2.5184358793329746</v>
          </cell>
          <cell r="G39">
            <v>2.8155343671757</v>
          </cell>
          <cell r="H39">
            <v>2.8148349414111684</v>
          </cell>
          <cell r="I39">
            <v>3.2405826136007221</v>
          </cell>
          <cell r="J39">
            <v>8.0766612698888203</v>
          </cell>
          <cell r="K39">
            <v>8.7250175252383926</v>
          </cell>
          <cell r="L39">
            <v>8.8104287621817452</v>
          </cell>
          <cell r="M39">
            <v>8.8961408225994276</v>
          </cell>
        </row>
      </sheetData>
      <sheetData sheetId="70">
        <row r="3">
          <cell r="B3">
            <v>48.063397652170998</v>
          </cell>
          <cell r="C3">
            <v>50.716969564788052</v>
          </cell>
          <cell r="D3">
            <v>52.366724772842659</v>
          </cell>
          <cell r="E3">
            <v>53.836873732382458</v>
          </cell>
          <cell r="F3">
            <v>54.805007842490738</v>
          </cell>
          <cell r="G3">
            <v>55.348850618169813</v>
          </cell>
          <cell r="H3">
            <v>56.040897947950505</v>
          </cell>
          <cell r="I3">
            <v>56.732960832158874</v>
          </cell>
          <cell r="J3">
            <v>57.42777593365367</v>
          </cell>
          <cell r="K3">
            <v>58.992545345609663</v>
          </cell>
          <cell r="L3">
            <v>57.52013071026937</v>
          </cell>
          <cell r="M3">
            <v>57.640490767769947</v>
          </cell>
        </row>
        <row r="6">
          <cell r="B6">
            <v>0</v>
          </cell>
          <cell r="C6">
            <v>4.8941907885929172</v>
          </cell>
          <cell r="D6">
            <v>4.8941929229321683</v>
          </cell>
          <cell r="E6">
            <v>5.5820176976596629</v>
          </cell>
          <cell r="F6">
            <v>7.8376037322008409</v>
          </cell>
          <cell r="G6">
            <v>7.9524988583903724</v>
          </cell>
          <cell r="H6">
            <v>8.0213130330209523</v>
          </cell>
          <cell r="I6">
            <v>8.0526064629846079</v>
          </cell>
          <cell r="J6">
            <v>8.0525492499518236</v>
          </cell>
          <cell r="K6">
            <v>8.0526395313448731</v>
          </cell>
          <cell r="L6">
            <v>8.052571078578012</v>
          </cell>
          <cell r="M6">
            <v>8.0526830496584871</v>
          </cell>
        </row>
        <row r="11">
          <cell r="B11">
            <v>60.070007474406353</v>
          </cell>
          <cell r="C11">
            <v>62.576415906895392</v>
          </cell>
          <cell r="D11">
            <v>64.913633583175454</v>
          </cell>
          <cell r="E11">
            <v>68.470875817519229</v>
          </cell>
          <cell r="F11">
            <v>69.183539507093769</v>
          </cell>
          <cell r="G11">
            <v>69.548190396804472</v>
          </cell>
          <cell r="H11">
            <v>73.378527768886613</v>
          </cell>
          <cell r="I11">
            <v>74.055652180312393</v>
          </cell>
          <cell r="J11">
            <v>75.032630506092374</v>
          </cell>
          <cell r="K11">
            <v>76.697199910669042</v>
          </cell>
          <cell r="L11">
            <v>75.237536809857062</v>
          </cell>
          <cell r="M11">
            <v>75.426063811549682</v>
          </cell>
        </row>
        <row r="18">
          <cell r="B18">
            <v>3.560002271776098</v>
          </cell>
          <cell r="C18">
            <v>3.4647169717969843</v>
          </cell>
          <cell r="D18">
            <v>0.41950452244440467</v>
          </cell>
          <cell r="E18">
            <v>1.038073848035891E-4</v>
          </cell>
          <cell r="F18">
            <v>6.1388193239692167E-5</v>
          </cell>
          <cell r="G18">
            <v>4.4756187060252667E-4</v>
          </cell>
          <cell r="H18">
            <v>2.4833471305746454E-4</v>
          </cell>
          <cell r="I18">
            <v>1.3539546899122407E-4</v>
          </cell>
          <cell r="J18">
            <v>1.7459226397307631E-4</v>
          </cell>
          <cell r="K18">
            <v>1.0812452154167788E-4</v>
          </cell>
          <cell r="L18">
            <v>1.2081901141235386E-4</v>
          </cell>
          <cell r="M18">
            <v>5.439723489651046E-5</v>
          </cell>
        </row>
        <row r="19">
          <cell r="B19">
            <v>12.72864474376988</v>
          </cell>
          <cell r="C19">
            <v>13.638426936676975</v>
          </cell>
          <cell r="D19">
            <v>13.373322857634372</v>
          </cell>
          <cell r="E19">
            <v>15.459595152720464</v>
          </cell>
          <cell r="F19">
            <v>14.962654656193731</v>
          </cell>
          <cell r="G19">
            <v>16.280142653556094</v>
          </cell>
          <cell r="H19">
            <v>21.656708436601175</v>
          </cell>
          <cell r="I19">
            <v>22.179157641782975</v>
          </cell>
          <cell r="J19">
            <v>22.043345850220231</v>
          </cell>
          <cell r="K19">
            <v>22.994102679979395</v>
          </cell>
          <cell r="L19">
            <v>22.472010007966084</v>
          </cell>
          <cell r="M19">
            <v>22.474684372400301</v>
          </cell>
        </row>
        <row r="21">
          <cell r="B21">
            <v>7.7980414248133894</v>
          </cell>
          <cell r="C21">
            <v>8.080145335265918</v>
          </cell>
          <cell r="D21">
            <v>5.6082660475127621</v>
          </cell>
          <cell r="E21">
            <v>5.5456301108321737</v>
          </cell>
          <cell r="F21">
            <v>5.4830009810631894</v>
          </cell>
          <cell r="G21">
            <v>5.4552888524959897</v>
          </cell>
          <cell r="H21">
            <v>2.6792031467246869E-3</v>
          </cell>
          <cell r="I21">
            <v>2.100823955338654E-4</v>
          </cell>
          <cell r="J21">
            <v>6.8728140526604911E-4</v>
          </cell>
          <cell r="K21">
            <v>1.6888897464070567E-4</v>
          </cell>
          <cell r="L21">
            <v>2.4610941877400733E-4</v>
          </cell>
          <cell r="M21">
            <v>5.9660871226362268E-5</v>
          </cell>
        </row>
        <row r="22">
          <cell r="B22">
            <v>6.763102136338818E-2</v>
          </cell>
          <cell r="C22">
            <v>8.5489922092106485E-2</v>
          </cell>
          <cell r="D22">
            <v>8.5039318044007689E-2</v>
          </cell>
          <cell r="E22">
            <v>8.5631529493535793E-2</v>
          </cell>
          <cell r="F22">
            <v>8.5635101547188536E-2</v>
          </cell>
          <cell r="G22">
            <v>5.5212067788736593E-2</v>
          </cell>
          <cell r="H22">
            <v>5.4127912501083578E-2</v>
          </cell>
          <cell r="I22">
            <v>5.3374174123445597E-2</v>
          </cell>
          <cell r="J22">
            <v>5.3231676925598694E-2</v>
          </cell>
          <cell r="K22">
            <v>5.3102599365798697E-2</v>
          </cell>
          <cell r="L22">
            <v>9.55974943051883E-3</v>
          </cell>
          <cell r="M22">
            <v>3.7563599263686683E-4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5.0975692163006778E-2</v>
          </cell>
          <cell r="F23">
            <v>10.464480963566045</v>
          </cell>
          <cell r="G23">
            <v>10.490013240645874</v>
          </cell>
          <cell r="H23">
            <v>10.330419509482034</v>
          </cell>
          <cell r="I23">
            <v>17.978231275864921</v>
          </cell>
          <cell r="J23">
            <v>18.097961703979568</v>
          </cell>
          <cell r="K23">
            <v>18.105642362044033</v>
          </cell>
          <cell r="L23">
            <v>18.082113102172059</v>
          </cell>
          <cell r="M23">
            <v>18.072816487229456</v>
          </cell>
        </row>
        <row r="24">
          <cell r="B24">
            <v>0.74846853251533241</v>
          </cell>
          <cell r="C24">
            <v>0.94972861597432368</v>
          </cell>
          <cell r="D24">
            <v>2.4555200628510834</v>
          </cell>
          <cell r="E24">
            <v>4.0901695155712208</v>
          </cell>
          <cell r="F24">
            <v>5.6683735091012526</v>
          </cell>
          <cell r="G24">
            <v>6.1397388370237351</v>
          </cell>
          <cell r="H24">
            <v>8.9233636664860665</v>
          </cell>
          <cell r="I24">
            <v>9.2482276897001192</v>
          </cell>
          <cell r="J24">
            <v>9.3712064156907555</v>
          </cell>
          <cell r="K24">
            <v>9.3911722808779263</v>
          </cell>
          <cell r="L24">
            <v>9.3911713573839144</v>
          </cell>
          <cell r="M24">
            <v>9.3911739514200843</v>
          </cell>
        </row>
        <row r="33">
          <cell r="B33">
            <v>12.006609822235355</v>
          </cell>
          <cell r="C33">
            <v>12.710040139129955</v>
          </cell>
          <cell r="D33">
            <v>13.397502968251358</v>
          </cell>
          <cell r="E33">
            <v>15.604266699585665</v>
          </cell>
          <cell r="F33">
            <v>16.232579601324918</v>
          </cell>
          <cell r="G33">
            <v>16.168289514316061</v>
          </cell>
          <cell r="H33">
            <v>17.251749412047012</v>
          </cell>
          <cell r="I33">
            <v>17.292306944252886</v>
          </cell>
          <cell r="J33">
            <v>17.476773558787215</v>
          </cell>
          <cell r="K33">
            <v>17.506786735886653</v>
          </cell>
          <cell r="L33">
            <v>17.506786047636396</v>
          </cell>
          <cell r="M33">
            <v>17.506788857460069</v>
          </cell>
        </row>
        <row r="34">
          <cell r="B34">
            <v>8.8978038681268856</v>
          </cell>
          <cell r="C34">
            <v>8.1046914988614009</v>
          </cell>
          <cell r="D34">
            <v>8.0013775546214685</v>
          </cell>
          <cell r="E34">
            <v>5.1744010115656422</v>
          </cell>
          <cell r="F34">
            <v>3.5833575677074601</v>
          </cell>
          <cell r="G34">
            <v>2.1356873720471463</v>
          </cell>
          <cell r="H34">
            <v>0.36142174966579038</v>
          </cell>
          <cell r="I34">
            <v>0</v>
          </cell>
          <cell r="J34">
            <v>2.0849156386209102E-4</v>
          </cell>
          <cell r="K34">
            <v>5.2146995318318472E-5</v>
          </cell>
          <cell r="L34">
            <v>2.7863311648437828E-5</v>
          </cell>
          <cell r="M34">
            <v>1.4492316234843448E-5</v>
          </cell>
        </row>
        <row r="35">
          <cell r="B35">
            <v>2.7300011087076101</v>
          </cell>
          <cell r="C35">
            <v>2.5267826226629686</v>
          </cell>
          <cell r="D35">
            <v>9.4053643494506126E-4</v>
          </cell>
          <cell r="E35">
            <v>1.3260382795861046E-4</v>
          </cell>
          <cell r="F35">
            <v>8.4807351098869287E-5</v>
          </cell>
          <cell r="G35">
            <v>5.5665489935444624E-4</v>
          </cell>
          <cell r="H35">
            <v>3.4110666560641258E-4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B36">
            <v>0</v>
          </cell>
          <cell r="C36">
            <v>0</v>
          </cell>
          <cell r="D36">
            <v>2.2335660994636144E-5</v>
          </cell>
          <cell r="E36">
            <v>1.2935016196641347</v>
          </cell>
          <cell r="F36">
            <v>1.254837317510749</v>
          </cell>
          <cell r="G36">
            <v>1.4235681716267345</v>
          </cell>
          <cell r="H36">
            <v>1.4235667116776485</v>
          </cell>
          <cell r="I36">
            <v>1.4235669954486936</v>
          </cell>
          <cell r="J36">
            <v>1.4154348539888992</v>
          </cell>
          <cell r="K36">
            <v>1.4155894545427909</v>
          </cell>
          <cell r="L36">
            <v>0.77201310013581537</v>
          </cell>
          <cell r="M36">
            <v>0.77066678052956128</v>
          </cell>
        </row>
        <row r="37">
          <cell r="B37">
            <v>35.241164526726266</v>
          </cell>
          <cell r="C37">
            <v>29.84629559489926</v>
          </cell>
          <cell r="D37">
            <v>32.305415522602893</v>
          </cell>
          <cell r="E37">
            <v>23.115267954130378</v>
          </cell>
          <cell r="F37">
            <v>10.469608022977926</v>
          </cell>
          <cell r="G37">
            <v>12.181473141633722</v>
          </cell>
          <cell r="H37">
            <v>7.8439992109726306</v>
          </cell>
          <cell r="I37">
            <v>0.40841776556074105</v>
          </cell>
          <cell r="J37">
            <v>2.0964676565267447E-4</v>
          </cell>
          <cell r="K37">
            <v>9.1472899509540537E-5</v>
          </cell>
          <cell r="L37">
            <v>2.6971275952581776E-5</v>
          </cell>
          <cell r="M37">
            <v>1.0985740972005213E-5</v>
          </cell>
        </row>
        <row r="38">
          <cell r="B38">
            <v>0.31119665691547227</v>
          </cell>
          <cell r="C38">
            <v>1.925182104018977E-5</v>
          </cell>
          <cell r="D38">
            <v>2.1460319708921984</v>
          </cell>
          <cell r="E38">
            <v>2.4125319578964421</v>
          </cell>
          <cell r="F38">
            <v>2.3251022667935892</v>
          </cell>
          <cell r="G38">
            <v>2.1615265700496993</v>
          </cell>
          <cell r="H38">
            <v>2.0435907902971282</v>
          </cell>
          <cell r="I38">
            <v>1.0663693299597137</v>
          </cell>
          <cell r="J38">
            <v>0.54353208912546513</v>
          </cell>
          <cell r="K38">
            <v>1.0539152161931602</v>
          </cell>
          <cell r="L38">
            <v>0.53969740226253704</v>
          </cell>
          <cell r="M38">
            <v>0.49710026213953812</v>
          </cell>
        </row>
        <row r="39">
          <cell r="B39">
            <v>0.43672583991544323</v>
          </cell>
          <cell r="C39">
            <v>0.55206524256937328</v>
          </cell>
          <cell r="D39">
            <v>2.7640127060525521</v>
          </cell>
          <cell r="E39">
            <v>6.1732572179567686</v>
          </cell>
          <cell r="F39">
            <v>6.1732662663738918</v>
          </cell>
          <cell r="G39">
            <v>6.173266820329661</v>
          </cell>
          <cell r="H39">
            <v>6.1732671991427885</v>
          </cell>
          <cell r="I39">
            <v>6.1732682072818728</v>
          </cell>
          <cell r="J39">
            <v>6.1732706600514353</v>
          </cell>
          <cell r="K39">
            <v>6.1732966688306687</v>
          </cell>
          <cell r="L39">
            <v>6.1732982669099972</v>
          </cell>
          <cell r="M39">
            <v>6.1733133709152055</v>
          </cell>
        </row>
        <row r="55">
          <cell r="B55">
            <v>9.8138902317742289</v>
          </cell>
          <cell r="C55">
            <v>10.335082835766785</v>
          </cell>
          <cell r="D55">
            <v>10.337328994133125</v>
          </cell>
          <cell r="E55">
            <v>11.615439040443233</v>
          </cell>
          <cell r="F55">
            <v>11.615439229162458</v>
          </cell>
          <cell r="G55">
            <v>11.615439448892037</v>
          </cell>
          <cell r="H55">
            <v>11.6154396671127</v>
          </cell>
          <cell r="I55">
            <v>11.615439826448069</v>
          </cell>
          <cell r="J55">
            <v>11.615438255634475</v>
          </cell>
          <cell r="K55">
            <v>11.615494765458969</v>
          </cell>
          <cell r="L55">
            <v>11.615494109150823</v>
          </cell>
          <cell r="M55">
            <v>11.615495095801611</v>
          </cell>
        </row>
        <row r="56">
          <cell r="B56">
            <v>1.1081396811879705</v>
          </cell>
          <cell r="C56">
            <v>1.400790934344438</v>
          </cell>
          <cell r="D56">
            <v>3.5999142357648459</v>
          </cell>
          <cell r="E56">
            <v>5.9453777600137787</v>
          </cell>
          <cell r="F56">
            <v>8.1701408071837953</v>
          </cell>
          <cell r="G56">
            <v>8.1701416910649272</v>
          </cell>
          <cell r="H56">
            <v>12.052826112775165</v>
          </cell>
          <cell r="I56">
            <v>12.473274508124971</v>
          </cell>
          <cell r="J56">
            <v>13.109568887826725</v>
          </cell>
          <cell r="K56">
            <v>13.212865025157177</v>
          </cell>
          <cell r="L56">
            <v>13.212865316611483</v>
          </cell>
          <cell r="M56">
            <v>13.212871001564448</v>
          </cell>
        </row>
        <row r="57">
          <cell r="B57">
            <v>6.9177055675995911</v>
          </cell>
          <cell r="C57">
            <v>6.3112844372163863</v>
          </cell>
          <cell r="D57">
            <v>6.2459448895386842</v>
          </cell>
          <cell r="E57">
            <v>5.0692245036305748</v>
          </cell>
          <cell r="F57">
            <v>3.8071527323790035</v>
          </cell>
          <cell r="G57">
            <v>2.8119530620023854</v>
          </cell>
          <cell r="H57">
            <v>1.4158243766409706</v>
          </cell>
          <cell r="I57">
            <v>1.1336268752244747</v>
          </cell>
          <cell r="J57">
            <v>1.1273170475165992</v>
          </cell>
          <cell r="K57">
            <v>1.1273156587081443</v>
          </cell>
          <cell r="L57">
            <v>0.61479817088790056</v>
          </cell>
          <cell r="M57">
            <v>0.61371541060126222</v>
          </cell>
        </row>
        <row r="58">
          <cell r="B58">
            <v>1.8458219996249334</v>
          </cell>
          <cell r="C58">
            <v>1.7158117399192887</v>
          </cell>
          <cell r="D58">
            <v>6.4279786975776512E-4</v>
          </cell>
          <cell r="E58">
            <v>9.1596094162410218E-5</v>
          </cell>
          <cell r="F58">
            <v>5.9200831526454418E-5</v>
          </cell>
          <cell r="G58">
            <v>3.926504496321421E-4</v>
          </cell>
          <cell r="H58">
            <v>2.4310245674437017E-4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B59">
            <v>28.619769181113579</v>
          </cell>
          <cell r="C59">
            <v>24.047413296108012</v>
          </cell>
          <cell r="D59">
            <v>27.793116302582302</v>
          </cell>
          <cell r="E59">
            <v>20.661303478055881</v>
          </cell>
          <cell r="F59">
            <v>10.687636266317915</v>
          </cell>
          <cell r="G59">
            <v>11.66003893623</v>
          </cell>
          <cell r="H59">
            <v>7.9578279431894368</v>
          </cell>
          <cell r="I59">
            <v>0.94176583734548891</v>
          </cell>
          <cell r="J59">
            <v>0.40964543761811467</v>
          </cell>
          <cell r="K59">
            <v>0.87916012859333803</v>
          </cell>
          <cell r="L59">
            <v>0.44693182278281174</v>
          </cell>
          <cell r="M59">
            <v>0.41097520047244185</v>
          </cell>
        </row>
        <row r="60">
          <cell r="B60">
            <v>0</v>
          </cell>
          <cell r="C60">
            <v>0</v>
          </cell>
          <cell r="D60">
            <v>2.5753115436128802E-3</v>
          </cell>
          <cell r="E60">
            <v>1.1212300939512151E-3</v>
          </cell>
          <cell r="F60">
            <v>9.1996421260770716E-4</v>
          </cell>
          <cell r="G60">
            <v>0.85300937268460009</v>
          </cell>
          <cell r="H60">
            <v>0.84261446194527057</v>
          </cell>
          <cell r="I60">
            <v>0.75672477103810143</v>
          </cell>
          <cell r="J60">
            <v>0.12042990754671302</v>
          </cell>
          <cell r="K60">
            <v>1.7136551475783829E-2</v>
          </cell>
          <cell r="L60">
            <v>1.713436413397915E-2</v>
          </cell>
          <cell r="M60">
            <v>1.7131572444806981E-2</v>
          </cell>
        </row>
        <row r="61">
          <cell r="B61">
            <v>2.3674015107311077</v>
          </cell>
          <cell r="C61">
            <v>2.3075015032167929</v>
          </cell>
          <cell r="D61">
            <v>0.28001926873163996</v>
          </cell>
          <cell r="E61">
            <v>6.9550947818404772E-5</v>
          </cell>
          <cell r="F61">
            <v>4.1283559953692989E-5</v>
          </cell>
          <cell r="G61">
            <v>3.0210426265670534E-4</v>
          </cell>
          <cell r="H61">
            <v>1.6824676809643228E-4</v>
          </cell>
          <cell r="I61">
            <v>9.2068918914032418E-5</v>
          </cell>
          <cell r="J61">
            <v>1.1872273950169186E-4</v>
          </cell>
          <cell r="K61">
            <v>7.3524674648340973E-5</v>
          </cell>
          <cell r="L61">
            <v>8.2156927760400681E-5</v>
          </cell>
          <cell r="M61">
            <v>3.6990119729627142E-5</v>
          </cell>
        </row>
        <row r="62">
          <cell r="B62">
            <v>5.1850561350844693</v>
          </cell>
          <cell r="C62">
            <v>5.5675586340227543</v>
          </cell>
          <cell r="D62">
            <v>5.6974183111960404</v>
          </cell>
          <cell r="E62">
            <v>7.1881692355214852</v>
          </cell>
          <cell r="F62">
            <v>6.5451865930612616</v>
          </cell>
          <cell r="G62">
            <v>8.6450470628789127</v>
          </cell>
          <cell r="H62">
            <v>12.875501803682953</v>
          </cell>
          <cell r="I62">
            <v>13.503076724395022</v>
          </cell>
          <cell r="J62">
            <v>13.391588711947612</v>
          </cell>
          <cell r="K62">
            <v>13.327073960530759</v>
          </cell>
          <cell r="L62">
            <v>13.797141163877907</v>
          </cell>
          <cell r="M62">
            <v>13.817592909924393</v>
          </cell>
        </row>
        <row r="63">
          <cell r="B63">
            <v>6.5822737826173769</v>
          </cell>
          <cell r="C63">
            <v>7.0678487981600799</v>
          </cell>
          <cell r="D63">
            <v>6.7321025700431658</v>
          </cell>
          <cell r="E63">
            <v>7.2569173670020559</v>
          </cell>
          <cell r="F63">
            <v>7.5096392999916945</v>
          </cell>
          <cell r="G63">
            <v>6.7282470727089096</v>
          </cell>
          <cell r="H63">
            <v>6.8293666713041059</v>
          </cell>
          <cell r="I63">
            <v>6.9285456602147342</v>
          </cell>
          <cell r="J63">
            <v>6.8672639875579335</v>
          </cell>
          <cell r="K63">
            <v>7.8731342628524636</v>
          </cell>
          <cell r="L63">
            <v>6.8302913666698002</v>
          </cell>
          <cell r="M63">
            <v>6.8093567286094414</v>
          </cell>
        </row>
        <row r="64">
          <cell r="B64">
            <v>5.3111190699830884</v>
          </cell>
          <cell r="C64">
            <v>6.2669389681136023</v>
          </cell>
          <cell r="D64">
            <v>5.8302816561786273</v>
          </cell>
          <cell r="E64">
            <v>6.8144418864250076</v>
          </cell>
          <cell r="F64">
            <v>7.3023723079644451</v>
          </cell>
          <cell r="G64">
            <v>5.8385838123487206</v>
          </cell>
          <cell r="H64">
            <v>5.8653296218867785</v>
          </cell>
          <cell r="I64">
            <v>5.8896978194496317</v>
          </cell>
          <cell r="J64">
            <v>5.8316884879088837</v>
          </cell>
          <cell r="K64">
            <v>6.5020053237074693</v>
          </cell>
          <cell r="L64">
            <v>5.7984407033175041</v>
          </cell>
          <cell r="M64">
            <v>5.7789943700885607</v>
          </cell>
        </row>
        <row r="65">
          <cell r="B65">
            <v>0.46151837661242201</v>
          </cell>
          <cell r="C65">
            <v>0.54457506293519831</v>
          </cell>
          <cell r="D65">
            <v>0.54457534338132552</v>
          </cell>
          <cell r="E65">
            <v>0.54459932085929652</v>
          </cell>
          <cell r="F65">
            <v>0.54460141677465101</v>
          </cell>
          <cell r="G65">
            <v>0.54460327685755405</v>
          </cell>
          <cell r="H65">
            <v>0.54460653263532655</v>
          </cell>
          <cell r="I65">
            <v>0.54461961148379301</v>
          </cell>
          <cell r="J65">
            <v>0.54462418203018881</v>
          </cell>
          <cell r="K65">
            <v>0.54463050284310521</v>
          </cell>
          <cell r="L65">
            <v>0.54463725067709601</v>
          </cell>
          <cell r="M65">
            <v>0.54464473526490365</v>
          </cell>
        </row>
        <row r="66">
          <cell r="B66">
            <v>4.1173658723014723</v>
          </cell>
          <cell r="C66">
            <v>4.266316737020408</v>
          </cell>
          <cell r="D66">
            <v>2.9611644730867388</v>
          </cell>
          <cell r="E66">
            <v>2.9280926985193911</v>
          </cell>
          <cell r="F66">
            <v>2.8950245180013665</v>
          </cell>
          <cell r="G66">
            <v>2.8803925141178843</v>
          </cell>
          <cell r="H66">
            <v>1.4360528866444323E-3</v>
          </cell>
          <cell r="I66">
            <v>1.1428482317042267E-4</v>
          </cell>
          <cell r="J66">
            <v>3.7388108446473095E-4</v>
          </cell>
          <cell r="K66">
            <v>9.1875602204543946E-5</v>
          </cell>
          <cell r="L66">
            <v>1.3388352381306007E-4</v>
          </cell>
          <cell r="M66">
            <v>3.2455513947141057E-5</v>
          </cell>
        </row>
        <row r="67">
          <cell r="B67">
            <v>6.763102136338818E-2</v>
          </cell>
          <cell r="C67">
            <v>8.5489922092106485E-2</v>
          </cell>
          <cell r="D67">
            <v>8.5039318044007689E-2</v>
          </cell>
          <cell r="E67">
            <v>8.5631529493535793E-2</v>
          </cell>
          <cell r="F67">
            <v>8.5635101547188536E-2</v>
          </cell>
          <cell r="G67">
            <v>5.5212067788736593E-2</v>
          </cell>
          <cell r="H67">
            <v>5.4127912501083578E-2</v>
          </cell>
          <cell r="I67">
            <v>5.3374174123445597E-2</v>
          </cell>
          <cell r="J67">
            <v>5.3231676925598694E-2</v>
          </cell>
          <cell r="K67">
            <v>5.3102599365798697E-2</v>
          </cell>
          <cell r="L67">
            <v>9.55974943051883E-3</v>
          </cell>
          <cell r="M67">
            <v>3.7563599263686683E-4</v>
          </cell>
        </row>
        <row r="68">
          <cell r="B68">
            <v>0.31051207217987981</v>
          </cell>
          <cell r="C68">
            <v>0.39251838746682438</v>
          </cell>
          <cell r="D68">
            <v>1.9652130340033653</v>
          </cell>
          <cell r="E68">
            <v>4.3891858819672649</v>
          </cell>
          <cell r="F68">
            <v>4.3891923153918384</v>
          </cell>
          <cell r="G68">
            <v>4.3891927092543872</v>
          </cell>
          <cell r="H68">
            <v>4.416972680986663</v>
          </cell>
          <cell r="I68">
            <v>4.4447531092429537</v>
          </cell>
          <cell r="J68">
            <v>4.4447548752370327</v>
          </cell>
          <cell r="K68">
            <v>4.4447736015580794</v>
          </cell>
          <cell r="L68">
            <v>4.4447747521751984</v>
          </cell>
          <cell r="M68">
            <v>4.4447856270589483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1.9257274867104688E-2</v>
          </cell>
          <cell r="F69">
            <v>8.1231534416669717</v>
          </cell>
          <cell r="G69">
            <v>8.1231533757630068</v>
          </cell>
          <cell r="H69">
            <v>8.1231562394434871</v>
          </cell>
          <cell r="I69">
            <v>14.562201813130669</v>
          </cell>
          <cell r="J69">
            <v>14.689228598308063</v>
          </cell>
          <cell r="K69">
            <v>14.689233518550893</v>
          </cell>
          <cell r="L69">
            <v>14.68922506720785</v>
          </cell>
          <cell r="M69">
            <v>14.689227867192967</v>
          </cell>
        </row>
        <row r="70">
          <cell r="B70">
            <v>0</v>
          </cell>
          <cell r="C70">
            <v>4.0435967931799954</v>
          </cell>
          <cell r="D70">
            <v>4.043598556578222</v>
          </cell>
          <cell r="E70">
            <v>4.6117768296707364</v>
          </cell>
          <cell r="F70">
            <v>5.9836315961629847</v>
          </cell>
          <cell r="G70">
            <v>5.9836431130137688</v>
          </cell>
          <cell r="H70">
            <v>5.9836686600379094</v>
          </cell>
          <cell r="I70">
            <v>6.0105157035204408</v>
          </cell>
          <cell r="J70">
            <v>6.1098904637638363</v>
          </cell>
          <cell r="K70">
            <v>6.179681829158878</v>
          </cell>
          <cell r="L70">
            <v>6.1796182577860268</v>
          </cell>
          <cell r="M70">
            <v>6.1796823870823321</v>
          </cell>
        </row>
        <row r="71">
          <cell r="B71">
            <v>72.708204502173501</v>
          </cell>
          <cell r="C71">
            <v>74.352728049562657</v>
          </cell>
          <cell r="D71">
            <v>76.118935062675462</v>
          </cell>
          <cell r="E71">
            <v>77.130699183605273</v>
          </cell>
          <cell r="F71">
            <v>77.659826074209661</v>
          </cell>
          <cell r="G71">
            <v>78.299352270318124</v>
          </cell>
          <cell r="H71">
            <v>78.579110086253337</v>
          </cell>
          <cell r="I71">
            <v>78.857822787483883</v>
          </cell>
          <cell r="J71">
            <v>78.315163123645732</v>
          </cell>
          <cell r="K71">
            <v>80.465773128237714</v>
          </cell>
          <cell r="L71">
            <v>78.201128135160488</v>
          </cell>
          <cell r="M71">
            <v>78.134917987732436</v>
          </cell>
        </row>
      </sheetData>
      <sheetData sheetId="71">
        <row r="3">
          <cell r="B3">
            <v>56.994774574912441</v>
          </cell>
          <cell r="C3">
            <v>58.701894601476312</v>
          </cell>
          <cell r="D3">
            <v>61.538282551893502</v>
          </cell>
          <cell r="E3">
            <v>62.070201942063683</v>
          </cell>
          <cell r="F3">
            <v>62.292832885916305</v>
          </cell>
          <cell r="G3">
            <v>62.658475831090925</v>
          </cell>
          <cell r="H3">
            <v>62.135994202921744</v>
          </cell>
          <cell r="I3">
            <v>61.613503240245734</v>
          </cell>
          <cell r="J3">
            <v>62.661113434431236</v>
          </cell>
          <cell r="K3">
            <v>63.516052312713015</v>
          </cell>
          <cell r="L3">
            <v>64.326099913639055</v>
          </cell>
          <cell r="M3">
            <v>65.100561176148446</v>
          </cell>
        </row>
        <row r="6">
          <cell r="B6">
            <v>0</v>
          </cell>
          <cell r="C6">
            <v>6.9642893427222434</v>
          </cell>
          <cell r="D6">
            <v>6.963893837688981</v>
          </cell>
          <cell r="E6">
            <v>11.147132970361705</v>
          </cell>
          <cell r="F6">
            <v>11.147245505606142</v>
          </cell>
          <cell r="G6">
            <v>11.147250352282034</v>
          </cell>
          <cell r="H6">
            <v>11.505989186574514</v>
          </cell>
          <cell r="I6">
            <v>21.428373425630284</v>
          </cell>
          <cell r="J6">
            <v>21.428435104989475</v>
          </cell>
          <cell r="K6">
            <v>21.428663115199303</v>
          </cell>
          <cell r="L6">
            <v>21.428501963271177</v>
          </cell>
          <cell r="M6">
            <v>21.428375864399673</v>
          </cell>
        </row>
        <row r="11">
          <cell r="B11">
            <v>60.950002439462899</v>
          </cell>
          <cell r="C11">
            <v>60.447699805178857</v>
          </cell>
          <cell r="D11">
            <v>65.489936521360207</v>
          </cell>
          <cell r="E11">
            <v>65.625148748234665</v>
          </cell>
          <cell r="F11">
            <v>65.588156367426279</v>
          </cell>
          <cell r="G11">
            <v>65.756453319346349</v>
          </cell>
          <cell r="H11">
            <v>64.88346493524142</v>
          </cell>
          <cell r="I11">
            <v>65.7789783933829</v>
          </cell>
          <cell r="J11">
            <v>66.801179852339587</v>
          </cell>
          <cell r="K11">
            <v>66.697656840538301</v>
          </cell>
          <cell r="L11">
            <v>67.50783974209223</v>
          </cell>
          <cell r="M11">
            <v>68.473730577638747</v>
          </cell>
        </row>
        <row r="12">
          <cell r="B12">
            <v>30.256634348009488</v>
          </cell>
          <cell r="C12">
            <v>26.593110735479414</v>
          </cell>
          <cell r="D12">
            <v>25.06227777430421</v>
          </cell>
          <cell r="E12">
            <v>20.973824839460075</v>
          </cell>
          <cell r="F12">
            <v>14.488791365590451</v>
          </cell>
          <cell r="G12">
            <v>7.5870613665875144</v>
          </cell>
          <cell r="H12">
            <v>4.1332670363234048</v>
          </cell>
          <cell r="I12">
            <v>0</v>
          </cell>
          <cell r="J12">
            <v>6.368062057482887E-5</v>
          </cell>
          <cell r="K12">
            <v>9.5448642549156147E-5</v>
          </cell>
          <cell r="L12">
            <v>9.075731978633531E-5</v>
          </cell>
          <cell r="M12">
            <v>1.4222850345013195E-4</v>
          </cell>
        </row>
        <row r="13">
          <cell r="B13">
            <v>0</v>
          </cell>
          <cell r="C13">
            <v>0</v>
          </cell>
          <cell r="D13">
            <v>1.8729252070257398E-5</v>
          </cell>
          <cell r="E13">
            <v>1.374167142814262E-4</v>
          </cell>
          <cell r="F13">
            <v>2.1213382882932438E-4</v>
          </cell>
          <cell r="G13">
            <v>6.3749759224859443E-5</v>
          </cell>
          <cell r="H13">
            <v>2.8535762345022328E-4</v>
          </cell>
          <cell r="I13">
            <v>0.8703759017586522</v>
          </cell>
          <cell r="J13">
            <v>1.0526340402627865</v>
          </cell>
          <cell r="K13">
            <v>0.86319698606826956</v>
          </cell>
          <cell r="L13">
            <v>0.86343893200069644</v>
          </cell>
          <cell r="M13">
            <v>0.86364013997228528</v>
          </cell>
        </row>
        <row r="14">
          <cell r="B14">
            <v>25.259838564350456</v>
          </cell>
          <cell r="C14">
            <v>23.614741190531657</v>
          </cell>
          <cell r="D14">
            <v>25.954298271505245</v>
          </cell>
          <cell r="E14">
            <v>25.257874989129132</v>
          </cell>
          <cell r="F14">
            <v>25.602301372435033</v>
          </cell>
          <cell r="G14">
            <v>26.268530569982715</v>
          </cell>
          <cell r="H14">
            <v>24.281202918808535</v>
          </cell>
          <cell r="I14">
            <v>3.8567270379970009</v>
          </cell>
          <cell r="J14">
            <v>4.6055732415577202</v>
          </cell>
          <cell r="K14">
            <v>2.7942139308488105</v>
          </cell>
          <cell r="L14">
            <v>2.267407877077654</v>
          </cell>
          <cell r="M14">
            <v>2.0854618744907762</v>
          </cell>
        </row>
        <row r="15">
          <cell r="B15">
            <v>0.28884890205319935</v>
          </cell>
          <cell r="C15">
            <v>3.1350397392822678</v>
          </cell>
          <cell r="D15">
            <v>7.8255778238410113E-3</v>
          </cell>
          <cell r="E15">
            <v>6.8976082891395284E-5</v>
          </cell>
          <cell r="F15">
            <v>1.09235103462404E-4</v>
          </cell>
          <cell r="G15">
            <v>0.13463056498232026</v>
          </cell>
          <cell r="H15">
            <v>0.14312799582168886</v>
          </cell>
          <cell r="I15">
            <v>0.27336653934714961</v>
          </cell>
          <cell r="J15">
            <v>0.27320703891408482</v>
          </cell>
          <cell r="K15">
            <v>0.27312256005726387</v>
          </cell>
          <cell r="L15">
            <v>0.27855634148982722</v>
          </cell>
          <cell r="M15">
            <v>0.2784072539900394</v>
          </cell>
        </row>
        <row r="16">
          <cell r="B16">
            <v>1.4022775880890419</v>
          </cell>
          <cell r="C16">
            <v>1.5372235067528914</v>
          </cell>
          <cell r="D16">
            <v>1.5563564018576146</v>
          </cell>
          <cell r="E16">
            <v>1.5460674587857517</v>
          </cell>
          <cell r="F16">
            <v>3.1271274887952898</v>
          </cell>
          <cell r="G16">
            <v>4.3555299938832128</v>
          </cell>
          <cell r="H16">
            <v>8.0991414511995234</v>
          </cell>
          <cell r="I16">
            <v>12.11039390661807</v>
          </cell>
          <cell r="J16">
            <v>13.455372621776249</v>
          </cell>
          <cell r="K16">
            <v>16.426282839697503</v>
          </cell>
          <cell r="L16">
            <v>18.426664166223155</v>
          </cell>
          <cell r="M16">
            <v>18.280459988179075</v>
          </cell>
        </row>
        <row r="17">
          <cell r="B17">
            <v>7.7268857222761724</v>
          </cell>
          <cell r="C17">
            <v>8.3696930398502136</v>
          </cell>
          <cell r="D17">
            <v>8.6637716730799958</v>
          </cell>
          <cell r="E17">
            <v>8.6637693616068958</v>
          </cell>
          <cell r="F17">
            <v>8.3463142473693921</v>
          </cell>
          <cell r="G17">
            <v>8.0918489934880231</v>
          </cell>
          <cell r="H17">
            <v>9.5468034414809146</v>
          </cell>
          <cell r="I17">
            <v>10.666080735249921</v>
          </cell>
          <cell r="J17">
            <v>10.707885444440425</v>
          </cell>
          <cell r="K17">
            <v>10.744135050834778</v>
          </cell>
          <cell r="L17">
            <v>10.691076872364183</v>
          </cell>
          <cell r="M17">
            <v>10.781101146183923</v>
          </cell>
        </row>
        <row r="19">
          <cell r="B19">
            <v>0.6269935632269471</v>
          </cell>
          <cell r="C19">
            <v>0.68733257800592096</v>
          </cell>
          <cell r="D19">
            <v>0.68727199143662265</v>
          </cell>
          <cell r="E19">
            <v>0.6958164490337313</v>
          </cell>
          <cell r="F19">
            <v>1.6752479853223963</v>
          </cell>
          <cell r="G19">
            <v>3.3011391086987789</v>
          </cell>
          <cell r="H19">
            <v>3.2768083181368097</v>
          </cell>
          <cell r="I19">
            <v>3.4377367103942649</v>
          </cell>
          <cell r="J19">
            <v>3.4572177131238986</v>
          </cell>
          <cell r="K19">
            <v>3.4572118932949061</v>
          </cell>
          <cell r="L19">
            <v>3.4569941981395282</v>
          </cell>
          <cell r="M19">
            <v>3.3452671503619547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6.8136488330819585E-4</v>
          </cell>
          <cell r="F20">
            <v>0.10514108636228833</v>
          </cell>
          <cell r="G20">
            <v>0.61905955488716913</v>
          </cell>
          <cell r="H20">
            <v>0.66306945713095544</v>
          </cell>
          <cell r="I20">
            <v>1.8239692350051171</v>
          </cell>
          <cell r="J20">
            <v>1.8214853944341396</v>
          </cell>
          <cell r="K20">
            <v>1.7769923155323983</v>
          </cell>
          <cell r="L20">
            <v>0.15551776738385686</v>
          </cell>
          <cell r="M20">
            <v>2.7631536264323693E-2</v>
          </cell>
        </row>
        <row r="21">
          <cell r="B21">
            <v>2.9295800017889189</v>
          </cell>
          <cell r="C21">
            <v>3.1924489178777971</v>
          </cell>
          <cell r="D21">
            <v>3.3652501617627797</v>
          </cell>
          <cell r="E21">
            <v>3.6717125122756609</v>
          </cell>
          <cell r="F21">
            <v>4.0010356914231524</v>
          </cell>
          <cell r="G21">
            <v>4.3574205268397845</v>
          </cell>
          <cell r="H21">
            <v>4.6592123493586604</v>
          </cell>
          <cell r="I21">
            <v>7.6241603961607227</v>
          </cell>
          <cell r="J21">
            <v>8.08590134269709</v>
          </cell>
          <cell r="K21">
            <v>8.5833331940654158</v>
          </cell>
          <cell r="L21">
            <v>9.1192011107002244</v>
          </cell>
          <cell r="M21">
            <v>9.8239721929602819</v>
          </cell>
        </row>
        <row r="28">
          <cell r="B28">
            <v>3.9552278645504577</v>
          </cell>
          <cell r="C28">
            <v>1.7458052037025447</v>
          </cell>
          <cell r="D28">
            <v>3.9516539694667108</v>
          </cell>
          <cell r="E28">
            <v>3.5549468061709835</v>
          </cell>
          <cell r="F28">
            <v>3.2953234815099792</v>
          </cell>
          <cell r="G28">
            <v>3.0979774882554216</v>
          </cell>
          <cell r="H28">
            <v>2.7474707323196812</v>
          </cell>
          <cell r="I28">
            <v>4.1654751531371659</v>
          </cell>
          <cell r="J28">
            <v>4.1400664179083568</v>
          </cell>
          <cell r="K28">
            <v>3.1816045278252827</v>
          </cell>
          <cell r="L28">
            <v>3.1817398284531748</v>
          </cell>
          <cell r="M28">
            <v>3.3731694014903013</v>
          </cell>
        </row>
        <row r="47">
          <cell r="B47">
            <v>4.261207275329336</v>
          </cell>
          <cell r="C47">
            <v>4.6176493276446697</v>
          </cell>
          <cell r="D47">
            <v>4.8279736645784466</v>
          </cell>
          <cell r="E47">
            <v>5.2011876300276541</v>
          </cell>
          <cell r="F47">
            <v>5.5950947975425178</v>
          </cell>
          <cell r="G47">
            <v>6.0232248993121491</v>
          </cell>
          <cell r="H47">
            <v>6.0232678337303991</v>
          </cell>
          <cell r="I47">
            <v>9.4023863584721727</v>
          </cell>
          <cell r="J47">
            <v>9.4023856955772089</v>
          </cell>
          <cell r="K47">
            <v>9.4023875018900043</v>
          </cell>
          <cell r="L47">
            <v>9.4023877040596542</v>
          </cell>
          <cell r="M47">
            <v>10.129038993454747</v>
          </cell>
        </row>
        <row r="48">
          <cell r="B48">
            <v>24.843069869076398</v>
          </cell>
          <cell r="C48">
            <v>21.878267330475214</v>
          </cell>
          <cell r="D48">
            <v>20.679982936861091</v>
          </cell>
          <cell r="E48">
            <v>17.391775633213864</v>
          </cell>
          <cell r="F48">
            <v>12.074468448433143</v>
          </cell>
          <cell r="G48">
            <v>6.3542172849404066</v>
          </cell>
          <cell r="H48">
            <v>3.4618501299304869</v>
          </cell>
          <cell r="I48">
            <v>0.72893981772286986</v>
          </cell>
          <cell r="J48">
            <v>0.88163434123981443</v>
          </cell>
          <cell r="K48">
            <v>0.72300741407031044</v>
          </cell>
          <cell r="L48">
            <v>0.72320611480590402</v>
          </cell>
          <cell r="M48">
            <v>0.72341773359842754</v>
          </cell>
        </row>
        <row r="49">
          <cell r="B49">
            <v>24.189714728829024</v>
          </cell>
          <cell r="C49">
            <v>25.326920242057891</v>
          </cell>
          <cell r="D49">
            <v>24.580871115693913</v>
          </cell>
          <cell r="E49">
            <v>23.914597063736199</v>
          </cell>
          <cell r="F49">
            <v>24.264919367318285</v>
          </cell>
          <cell r="G49">
            <v>25.142417758359095</v>
          </cell>
          <cell r="H49">
            <v>23.082811558931983</v>
          </cell>
          <cell r="I49">
            <v>3.5158570182324169</v>
          </cell>
          <cell r="J49">
            <v>3.9049616256336321</v>
          </cell>
          <cell r="K49">
            <v>1.7687071605963278</v>
          </cell>
          <cell r="L49">
            <v>0.81550199296934278</v>
          </cell>
          <cell r="M49">
            <v>0.51522880510725799</v>
          </cell>
        </row>
        <row r="50">
          <cell r="B50">
            <v>0</v>
          </cell>
          <cell r="C50">
            <v>0</v>
          </cell>
          <cell r="D50">
            <v>6.0373793065958642E-4</v>
          </cell>
          <cell r="E50">
            <v>5.6090173319630243E-4</v>
          </cell>
          <cell r="F50">
            <v>8.6661415225843825E-3</v>
          </cell>
          <cell r="G50">
            <v>1.3618530212916565E-2</v>
          </cell>
          <cell r="H50">
            <v>0.48012911879752346</v>
          </cell>
          <cell r="I50">
            <v>1.239903610166559</v>
          </cell>
          <cell r="J50">
            <v>2.0623805412341052</v>
          </cell>
          <cell r="K50">
            <v>2.9484286556983905</v>
          </cell>
          <cell r="L50">
            <v>3.9029431168564845</v>
          </cell>
          <cell r="M50">
            <v>4.2045867898011533</v>
          </cell>
        </row>
        <row r="51">
          <cell r="B51">
            <v>2.0957155842959505</v>
          </cell>
          <cell r="C51">
            <v>2.2700600869456595</v>
          </cell>
          <cell r="D51">
            <v>2.5611978531475921</v>
          </cell>
          <cell r="E51">
            <v>2.561195611171625</v>
          </cell>
          <cell r="F51">
            <v>2.246915265213361</v>
          </cell>
          <cell r="G51">
            <v>1.7662298122936912</v>
          </cell>
          <cell r="H51">
            <v>1.5940714527583335</v>
          </cell>
          <cell r="I51">
            <v>2.2957803756767525</v>
          </cell>
          <cell r="J51">
            <v>2.337167068464904</v>
          </cell>
          <cell r="K51">
            <v>2.3730535530498944</v>
          </cell>
          <cell r="L51">
            <v>2.3205256393797589</v>
          </cell>
          <cell r="M51">
            <v>2.4096481920028499</v>
          </cell>
        </row>
        <row r="52">
          <cell r="B52">
            <v>5.5539012807574641</v>
          </cell>
          <cell r="C52">
            <v>6.0159360225060512</v>
          </cell>
          <cell r="D52">
            <v>6.0159361032016028</v>
          </cell>
          <cell r="E52">
            <v>6.0159360568191973</v>
          </cell>
          <cell r="F52">
            <v>6.0159358396823368</v>
          </cell>
          <cell r="G52">
            <v>6.2447006912594532</v>
          </cell>
          <cell r="H52">
            <v>7.8572639543077729</v>
          </cell>
          <cell r="I52">
            <v>8.2636395522206705</v>
          </cell>
          <cell r="J52">
            <v>8.2636395215311111</v>
          </cell>
          <cell r="K52">
            <v>8.2636401472765382</v>
          </cell>
          <cell r="L52">
            <v>8.2636404642607868</v>
          </cell>
          <cell r="M52">
            <v>8.2636419427192358</v>
          </cell>
        </row>
        <row r="53">
          <cell r="B53">
            <v>6.1735451824752525</v>
          </cell>
          <cell r="C53">
            <v>7.0783114103648037</v>
          </cell>
          <cell r="D53">
            <v>7.0289517124863981</v>
          </cell>
          <cell r="E53">
            <v>5.3857414147445466</v>
          </cell>
          <cell r="F53">
            <v>5.996293449285063</v>
          </cell>
          <cell r="G53">
            <v>6.7600568867019915</v>
          </cell>
          <cell r="H53">
            <v>4.1137848901289686</v>
          </cell>
          <cell r="I53">
            <v>3.1995482674740199</v>
          </cell>
          <cell r="J53">
            <v>0.37809532755205977</v>
          </cell>
          <cell r="K53">
            <v>0.38074425383114924</v>
          </cell>
          <cell r="L53">
            <v>0.38084841978045875</v>
          </cell>
          <cell r="M53">
            <v>0.38096487253820144</v>
          </cell>
        </row>
        <row r="54">
          <cell r="B54">
            <v>1.877070760740662</v>
          </cell>
          <cell r="C54">
            <v>2.1600821991464292</v>
          </cell>
          <cell r="D54">
            <v>2.1233001881459259</v>
          </cell>
          <cell r="E54">
            <v>2.1771409638772403</v>
          </cell>
          <cell r="F54">
            <v>2.3117028002544937</v>
          </cell>
          <cell r="G54">
            <v>2.5558154424555521</v>
          </cell>
          <cell r="H54">
            <v>2.5674724713344741</v>
          </cell>
          <cell r="I54">
            <v>2.7841748106915452</v>
          </cell>
          <cell r="J54">
            <v>2.1893384745219673</v>
          </cell>
          <cell r="K54">
            <v>2.2046912515124921</v>
          </cell>
          <cell r="L54">
            <v>2.2053057804194318</v>
          </cell>
          <cell r="M54">
            <v>2.2059402056590591</v>
          </cell>
        </row>
        <row r="55">
          <cell r="B55">
            <v>0.6269935632269471</v>
          </cell>
          <cell r="C55">
            <v>0.68733257800592096</v>
          </cell>
          <cell r="D55">
            <v>0.68727199143662265</v>
          </cell>
          <cell r="E55">
            <v>0.6958164490337313</v>
          </cell>
          <cell r="F55">
            <v>1.6752479853223963</v>
          </cell>
          <cell r="G55">
            <v>3.3011391086987789</v>
          </cell>
          <cell r="H55">
            <v>3.2768083181368097</v>
          </cell>
          <cell r="I55">
            <v>3.4377367103942649</v>
          </cell>
          <cell r="J55">
            <v>3.4572177131238986</v>
          </cell>
          <cell r="K55">
            <v>3.4572118932949061</v>
          </cell>
          <cell r="L55">
            <v>3.4569941981395282</v>
          </cell>
          <cell r="M55">
            <v>3.3452671503619547</v>
          </cell>
        </row>
        <row r="56">
          <cell r="B56">
            <v>1.2230665123312627</v>
          </cell>
          <cell r="C56">
            <v>1.3407663425898715</v>
          </cell>
          <cell r="D56">
            <v>1.3574540537002115</v>
          </cell>
          <cell r="E56">
            <v>1.3484800375529322</v>
          </cell>
          <cell r="F56">
            <v>2.7274805957272514</v>
          </cell>
          <cell r="G56">
            <v>3.7988932606649373</v>
          </cell>
          <cell r="H56">
            <v>7.0640711737362256</v>
          </cell>
          <cell r="I56">
            <v>10.562685565352295</v>
          </cell>
          <cell r="J56">
            <v>11.735776000713228</v>
          </cell>
          <cell r="K56">
            <v>14.327003892784152</v>
          </cell>
          <cell r="L56">
            <v>16.071736485779844</v>
          </cell>
          <cell r="M56">
            <v>15.944217201689815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2.240390895376971E-4</v>
          </cell>
          <cell r="F57">
            <v>7.1302137213360789E-2</v>
          </cell>
          <cell r="G57">
            <v>0.43648125773745688</v>
          </cell>
          <cell r="H57">
            <v>0.46538220127310037</v>
          </cell>
          <cell r="I57">
            <v>1.6066094084990572</v>
          </cell>
          <cell r="J57">
            <v>1.5824685842491588</v>
          </cell>
          <cell r="K57">
            <v>1.5935597815711706</v>
          </cell>
          <cell r="L57">
            <v>0.12152109021943264</v>
          </cell>
          <cell r="M57">
            <v>3.0386948823867763E-3</v>
          </cell>
        </row>
        <row r="58">
          <cell r="B58">
            <v>0</v>
          </cell>
          <cell r="C58">
            <v>6.9642893427222434</v>
          </cell>
          <cell r="D58">
            <v>6.963893837688981</v>
          </cell>
          <cell r="E58">
            <v>11.147132970361705</v>
          </cell>
          <cell r="F58">
            <v>11.147245505606142</v>
          </cell>
          <cell r="G58">
            <v>11.147250352282034</v>
          </cell>
          <cell r="H58">
            <v>11.505989186574514</v>
          </cell>
          <cell r="I58">
            <v>21.428373425630284</v>
          </cell>
          <cell r="J58">
            <v>21.428435104989475</v>
          </cell>
          <cell r="K58">
            <v>21.428663115199303</v>
          </cell>
          <cell r="L58">
            <v>21.428501963271177</v>
          </cell>
          <cell r="M58">
            <v>21.428375864399673</v>
          </cell>
        </row>
        <row r="59">
          <cell r="B59">
            <v>73.238320296358964</v>
          </cell>
          <cell r="C59">
            <v>78.632968268909906</v>
          </cell>
          <cell r="D59">
            <v>79.113867520430674</v>
          </cell>
          <cell r="E59">
            <v>77.713085579488521</v>
          </cell>
          <cell r="F59">
            <v>75.715347459502397</v>
          </cell>
          <cell r="G59">
            <v>74.879851029295381</v>
          </cell>
          <cell r="H59">
            <v>72.5494875181097</v>
          </cell>
          <cell r="I59">
            <v>70.072239726395168</v>
          </cell>
          <cell r="J59">
            <v>69.205966671949199</v>
          </cell>
          <cell r="K59">
            <v>69.543026046736159</v>
          </cell>
          <cell r="L59">
            <v>69.765168880957404</v>
          </cell>
          <cell r="M59">
            <v>70.22561762926685</v>
          </cell>
        </row>
      </sheetData>
      <sheetData sheetId="72">
        <row r="3">
          <cell r="B3">
            <v>44.576905611481834</v>
          </cell>
          <cell r="C3">
            <v>44.827338208011781</v>
          </cell>
          <cell r="D3">
            <v>44.633490730353593</v>
          </cell>
          <cell r="E3">
            <v>44.838272419381397</v>
          </cell>
          <cell r="F3">
            <v>45.030086208016293</v>
          </cell>
          <cell r="G3">
            <v>45.051866437908267</v>
          </cell>
          <cell r="H3">
            <v>44.873466614306466</v>
          </cell>
          <cell r="I3">
            <v>44.932088313613704</v>
          </cell>
          <cell r="J3">
            <v>45.47583925456621</v>
          </cell>
          <cell r="K3">
            <v>45.859518752983725</v>
          </cell>
          <cell r="L3">
            <v>46.272794082272718</v>
          </cell>
          <cell r="M3">
            <v>46.288977502306544</v>
          </cell>
        </row>
        <row r="10">
          <cell r="B10">
            <v>2.9115498430428346</v>
          </cell>
          <cell r="C10">
            <v>7.0182070365689526</v>
          </cell>
          <cell r="D10">
            <v>7.0176620805056711</v>
          </cell>
          <cell r="E10">
            <v>9.2208643567176178</v>
          </cell>
          <cell r="F10">
            <v>11.854656945087283</v>
          </cell>
          <cell r="G10">
            <v>19.063000690084294</v>
          </cell>
          <cell r="H10">
            <v>19.062817612691909</v>
          </cell>
          <cell r="I10">
            <v>19.889257783981371</v>
          </cell>
          <cell r="J10">
            <v>19.889081592990735</v>
          </cell>
          <cell r="K10">
            <v>19.889221606856111</v>
          </cell>
          <cell r="L10">
            <v>19.888992180456331</v>
          </cell>
          <cell r="M10">
            <v>15.62814740998299</v>
          </cell>
        </row>
        <row r="15">
          <cell r="B15">
            <v>69.470007706151733</v>
          </cell>
          <cell r="C15">
            <v>70.028401011441503</v>
          </cell>
          <cell r="D15">
            <v>70.823186386911303</v>
          </cell>
          <cell r="E15">
            <v>67.974866490652886</v>
          </cell>
          <cell r="F15">
            <v>67.58344946440107</v>
          </cell>
          <cell r="G15">
            <v>64.987015682988044</v>
          </cell>
          <cell r="H15">
            <v>66.835019086789856</v>
          </cell>
          <cell r="I15">
            <v>72.600479727053568</v>
          </cell>
          <cell r="J15">
            <v>74.725980835431727</v>
          </cell>
          <cell r="K15">
            <v>74.210664392013243</v>
          </cell>
          <cell r="L15">
            <v>76.885174607460158</v>
          </cell>
          <cell r="M15">
            <v>74.081596489572235</v>
          </cell>
        </row>
        <row r="16">
          <cell r="B16">
            <v>60.231825120934403</v>
          </cell>
          <cell r="C16">
            <v>51.320002015970701</v>
          </cell>
          <cell r="D16">
            <v>50.473113476563661</v>
          </cell>
          <cell r="E16">
            <v>41.532960423784424</v>
          </cell>
          <cell r="F16">
            <v>21.555715824628226</v>
          </cell>
          <cell r="G16">
            <v>12.04842462458474</v>
          </cell>
          <cell r="H16">
            <v>9.477023894866095</v>
          </cell>
          <cell r="I16">
            <v>0</v>
          </cell>
          <cell r="J16">
            <v>6.3188681975699795E-5</v>
          </cell>
          <cell r="K16">
            <v>9.5132068487980461E-5</v>
          </cell>
          <cell r="L16">
            <v>8.984486116050772E-5</v>
          </cell>
          <cell r="M16">
            <v>1.4163239031557973E-4</v>
          </cell>
        </row>
        <row r="17">
          <cell r="B17">
            <v>0</v>
          </cell>
          <cell r="C17">
            <v>0</v>
          </cell>
          <cell r="D17">
            <v>1.8737713879050472E-5</v>
          </cell>
          <cell r="E17">
            <v>1.3768898431551716E-4</v>
          </cell>
          <cell r="F17">
            <v>2.1210131179030798E-4</v>
          </cell>
          <cell r="G17">
            <v>6.4659103204409854E-5</v>
          </cell>
          <cell r="H17">
            <v>3.0240452115894769E-4</v>
          </cell>
          <cell r="I17">
            <v>9.4771807345945618</v>
          </cell>
          <cell r="J17">
            <v>9.4770176576664653</v>
          </cell>
          <cell r="K17">
            <v>7.2052738067479289</v>
          </cell>
          <cell r="L17">
            <v>5.6644633486973817</v>
          </cell>
          <cell r="M17">
            <v>1.3807411948319128</v>
          </cell>
        </row>
        <row r="18">
          <cell r="B18">
            <v>46.690034150672638</v>
          </cell>
          <cell r="C18">
            <v>48.176649128489039</v>
          </cell>
          <cell r="D18">
            <v>48.071753893767372</v>
          </cell>
          <cell r="E18">
            <v>52.389707687049295</v>
          </cell>
          <cell r="F18">
            <v>51.163414003469441</v>
          </cell>
          <cell r="G18">
            <v>48.553448251358923</v>
          </cell>
          <cell r="H18">
            <v>38.217818139269326</v>
          </cell>
          <cell r="I18">
            <v>14.393220275290584</v>
          </cell>
          <cell r="J18">
            <v>7.2049991236558517</v>
          </cell>
          <cell r="K18">
            <v>5.6702795362560385</v>
          </cell>
          <cell r="L18">
            <v>5.7835970522428015</v>
          </cell>
          <cell r="M18">
            <v>4.7742927336459218</v>
          </cell>
        </row>
        <row r="19">
          <cell r="B19">
            <v>0.31188280381845845</v>
          </cell>
          <cell r="C19">
            <v>4.8656030586363344E-4</v>
          </cell>
          <cell r="D19">
            <v>4.8374922412941311E-4</v>
          </cell>
          <cell r="E19">
            <v>4.8450892905629834E-4</v>
          </cell>
          <cell r="F19">
            <v>4.846358262724428E-4</v>
          </cell>
          <cell r="G19">
            <v>0.15066759240106328</v>
          </cell>
          <cell r="H19">
            <v>0.15089433736347554</v>
          </cell>
          <cell r="I19">
            <v>0.4202229970759136</v>
          </cell>
          <cell r="J19">
            <v>0.41965443884094705</v>
          </cell>
          <cell r="K19">
            <v>0.41880690078232291</v>
          </cell>
          <cell r="L19">
            <v>0.427526055295539</v>
          </cell>
          <cell r="M19">
            <v>0.42676221602164593</v>
          </cell>
        </row>
        <row r="20">
          <cell r="B20">
            <v>0.10000044537725621</v>
          </cell>
          <cell r="C20">
            <v>0.1000001436310361</v>
          </cell>
          <cell r="D20">
            <v>5.7864149463041168E-4</v>
          </cell>
          <cell r="E20">
            <v>3.4932701939050268E-4</v>
          </cell>
          <cell r="F20">
            <v>1.3319526647412544E-4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5.7412971189269948</v>
          </cell>
          <cell r="C21">
            <v>9.6698853365345432</v>
          </cell>
          <cell r="D21">
            <v>10.126229414611192</v>
          </cell>
          <cell r="E21">
            <v>7.0209391107820807</v>
          </cell>
          <cell r="F21">
            <v>7.2045513546578155</v>
          </cell>
          <cell r="G21">
            <v>9.4267400619514508</v>
          </cell>
          <cell r="H21">
            <v>7.1606479217394714</v>
          </cell>
          <cell r="I21">
            <v>9.4044823310177925</v>
          </cell>
          <cell r="J21">
            <v>9.2169689618576154</v>
          </cell>
          <cell r="K21">
            <v>9.0968664535653936</v>
          </cell>
          <cell r="L21">
            <v>9.339761236196825</v>
          </cell>
          <cell r="M21">
            <v>8.6171455438135993</v>
          </cell>
        </row>
        <row r="22">
          <cell r="B22">
            <v>16.991198244755893</v>
          </cell>
          <cell r="C22">
            <v>17.761107512891009</v>
          </cell>
          <cell r="D22">
            <v>15.57413664746206</v>
          </cell>
          <cell r="E22">
            <v>14.335652444633897</v>
          </cell>
          <cell r="F22">
            <v>13.323209111474352</v>
          </cell>
          <cell r="G22">
            <v>11.05263224953436</v>
          </cell>
          <cell r="H22">
            <v>10.23799001829518</v>
          </cell>
          <cell r="I22">
            <v>10.032985530630539</v>
          </cell>
          <cell r="J22">
            <v>9.1067438026290866</v>
          </cell>
          <cell r="K22">
            <v>8.7632347805029092</v>
          </cell>
          <cell r="L22">
            <v>8.7498898445175506</v>
          </cell>
          <cell r="M22">
            <v>7.8350478963584438</v>
          </cell>
        </row>
        <row r="23">
          <cell r="B23">
            <v>2.5068257272374477</v>
          </cell>
          <cell r="C23">
            <v>2.9279922943235821</v>
          </cell>
          <cell r="D23">
            <v>2.8900078050978095</v>
          </cell>
          <cell r="E23">
            <v>2.4124818845796039</v>
          </cell>
          <cell r="F23">
            <v>2.1465966588588863</v>
          </cell>
          <cell r="G23">
            <v>1.9207107474277274</v>
          </cell>
          <cell r="H23">
            <v>1.9148160439816473</v>
          </cell>
          <cell r="I23">
            <v>5.4712637462064588</v>
          </cell>
          <cell r="J23">
            <v>5.4712136639607056</v>
          </cell>
          <cell r="K23">
            <v>5.4712554504271562</v>
          </cell>
          <cell r="L23">
            <v>5.471106182739927</v>
          </cell>
          <cell r="M23">
            <v>4.8354962947106328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4.813309741546766E-4</v>
          </cell>
          <cell r="F24">
            <v>4.4407610354319484E-2</v>
          </cell>
          <cell r="G24">
            <v>0.25077557453201871</v>
          </cell>
          <cell r="H24">
            <v>0.27148438335175451</v>
          </cell>
          <cell r="I24">
            <v>0.45746597189422905</v>
          </cell>
          <cell r="J24">
            <v>0.23476519219288011</v>
          </cell>
          <cell r="K24">
            <v>0.18727789395241162</v>
          </cell>
          <cell r="L24">
            <v>6.5218301397721626E-2</v>
          </cell>
          <cell r="M24">
            <v>5.415603574103009E-2</v>
          </cell>
        </row>
        <row r="25">
          <cell r="B25">
            <v>15.19497008190949</v>
          </cell>
          <cell r="C25">
            <v>18.072338581805035</v>
          </cell>
          <cell r="D25">
            <v>20.552418943767982</v>
          </cell>
          <cell r="E25">
            <v>28.35804008175251</v>
          </cell>
          <cell r="F25">
            <v>44.681109353099785</v>
          </cell>
          <cell r="G25">
            <v>49.456608393594564</v>
          </cell>
          <cell r="H25">
            <v>59.496022761562273</v>
          </cell>
          <cell r="I25">
            <v>69.448401725021469</v>
          </cell>
          <cell r="J25">
            <v>71.959335591118105</v>
          </cell>
          <cell r="K25">
            <v>72.794904005945625</v>
          </cell>
          <cell r="L25">
            <v>72.043424013566153</v>
          </cell>
          <cell r="M25">
            <v>73.010906472373421</v>
          </cell>
        </row>
        <row r="26">
          <cell r="B26">
            <v>217.23804139978435</v>
          </cell>
          <cell r="C26">
            <v>218.05686258539234</v>
          </cell>
          <cell r="D26">
            <v>218.51192769661401</v>
          </cell>
          <cell r="E26">
            <v>214.0261009791416</v>
          </cell>
          <cell r="F26">
            <v>207.70328331334844</v>
          </cell>
          <cell r="G26">
            <v>197.8470878374761</v>
          </cell>
          <cell r="H26">
            <v>193.76201899174026</v>
          </cell>
          <cell r="I26">
            <v>191.70570303878509</v>
          </cell>
          <cell r="J26">
            <v>187.81674245603537</v>
          </cell>
          <cell r="K26">
            <v>183.81865835226154</v>
          </cell>
          <cell r="L26">
            <v>184.43025048697524</v>
          </cell>
          <cell r="M26">
            <v>175.01628650945915</v>
          </cell>
        </row>
        <row r="102">
          <cell r="B102">
            <v>8.9080016308090286</v>
          </cell>
          <cell r="C102">
            <v>7.7310567408944415</v>
          </cell>
          <cell r="D102">
            <v>7.9862452674592177</v>
          </cell>
          <cell r="E102">
            <v>5.1780281598905002</v>
          </cell>
          <cell r="F102">
            <v>2.8400902370803265</v>
          </cell>
          <cell r="G102">
            <v>1.7671795710523108</v>
          </cell>
          <cell r="H102">
            <v>1.1666692972909822</v>
          </cell>
          <cell r="I102">
            <v>2.414514441866916</v>
          </cell>
          <cell r="J102">
            <v>2.0691647060870579</v>
          </cell>
          <cell r="K102">
            <v>1.3893644858397927</v>
          </cell>
          <cell r="L102">
            <v>2.7073411892061112</v>
          </cell>
          <cell r="M102">
            <v>1.0565957800559016</v>
          </cell>
        </row>
        <row r="104">
          <cell r="B104">
            <v>19.06032932597229</v>
          </cell>
          <cell r="C104">
            <v>22.70111564777531</v>
          </cell>
          <cell r="D104">
            <v>24.761828157077783</v>
          </cell>
          <cell r="E104">
            <v>33.105472071567846</v>
          </cell>
          <cell r="F104">
            <v>46.361004106351302</v>
          </cell>
          <cell r="G104">
            <v>46.361085038834531</v>
          </cell>
          <cell r="H104">
            <v>55.813520146389934</v>
          </cell>
          <cell r="I104">
            <v>69.305835657503621</v>
          </cell>
          <cell r="J104">
            <v>75.329754007275469</v>
          </cell>
          <cell r="K104">
            <v>76.67065576671196</v>
          </cell>
          <cell r="L104">
            <v>76.670674880184592</v>
          </cell>
          <cell r="M104">
            <v>76.670699990763211</v>
          </cell>
        </row>
        <row r="105">
          <cell r="B105">
            <v>45.124391003610008</v>
          </cell>
          <cell r="C105">
            <v>38.489784762751775</v>
          </cell>
          <cell r="D105">
            <v>40.347336866206376</v>
          </cell>
          <cell r="E105">
            <v>35.917263189460002</v>
          </cell>
          <cell r="F105">
            <v>18.698352416989906</v>
          </cell>
          <cell r="G105">
            <v>10.792965387614171</v>
          </cell>
          <cell r="H105">
            <v>8.4897576005452819</v>
          </cell>
          <cell r="I105">
            <v>8.4897564459887978</v>
          </cell>
          <cell r="J105">
            <v>8.4897538257694016</v>
          </cell>
          <cell r="K105">
            <v>6.454570267658676</v>
          </cell>
          <cell r="L105">
            <v>5.0742913477944445</v>
          </cell>
          <cell r="M105">
            <v>1.2365404976075174</v>
          </cell>
        </row>
        <row r="106">
          <cell r="B106">
            <v>36.569917364425521</v>
          </cell>
          <cell r="C106">
            <v>39.325502894465615</v>
          </cell>
          <cell r="D106">
            <v>37.691111451698177</v>
          </cell>
          <cell r="E106">
            <v>37.691097719470044</v>
          </cell>
          <cell r="F106">
            <v>36.309628654687216</v>
          </cell>
          <cell r="G106">
            <v>31.879411336145388</v>
          </cell>
          <cell r="H106">
            <v>26.045140768393185</v>
          </cell>
          <cell r="I106">
            <v>7.9023168819175122</v>
          </cell>
          <cell r="J106">
            <v>4.1064980915362135</v>
          </cell>
          <cell r="K106">
            <v>3.057030631052458</v>
          </cell>
          <cell r="L106">
            <v>3.0570249760125914</v>
          </cell>
          <cell r="M106">
            <v>2.2148929701755056</v>
          </cell>
        </row>
        <row r="107">
          <cell r="B107">
            <v>0</v>
          </cell>
          <cell r="C107">
            <v>0</v>
          </cell>
          <cell r="D107">
            <v>3.5028732095335928E-3</v>
          </cell>
          <cell r="E107">
            <v>3.9384076936715244E-3</v>
          </cell>
          <cell r="F107">
            <v>5.7231164341721614</v>
          </cell>
          <cell r="G107">
            <v>11.638811523249831</v>
          </cell>
          <cell r="H107">
            <v>11.604057869795497</v>
          </cell>
          <cell r="I107">
            <v>10.641953478635942</v>
          </cell>
          <cell r="J107">
            <v>5.3875844925578953</v>
          </cell>
          <cell r="K107">
            <v>4.8067119943698291</v>
          </cell>
          <cell r="L107">
            <v>4.8066846802793775</v>
          </cell>
          <cell r="M107">
            <v>4.8066830556564923</v>
          </cell>
        </row>
        <row r="108">
          <cell r="B108">
            <v>7.2000320671624485E-2</v>
          </cell>
          <cell r="C108">
            <v>7.2000103414345998E-2</v>
          </cell>
          <cell r="D108">
            <v>4.1662187613389649E-4</v>
          </cell>
          <cell r="E108">
            <v>2.5151545396116207E-4</v>
          </cell>
          <cell r="F108">
            <v>9.5900591861370406E-5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B109">
            <v>7.3436676285130217E-2</v>
          </cell>
          <cell r="C109">
            <v>3.5700579495133757E-3</v>
          </cell>
          <cell r="D109">
            <v>0.23575781514239766</v>
          </cell>
          <cell r="E109">
            <v>0.23611237576097829</v>
          </cell>
          <cell r="F109">
            <v>0.23611961314289931</v>
          </cell>
          <cell r="G109">
            <v>0.23753705830481534</v>
          </cell>
          <cell r="H109">
            <v>0.23753639420717818</v>
          </cell>
          <cell r="I109">
            <v>0.23754462335887494</v>
          </cell>
          <cell r="J109">
            <v>0.23754357760884662</v>
          </cell>
          <cell r="K109">
            <v>0.23775717212685982</v>
          </cell>
          <cell r="L109">
            <v>0.23775565044110772</v>
          </cell>
          <cell r="M109">
            <v>0.23777139712515274</v>
          </cell>
        </row>
        <row r="110">
          <cell r="B110">
            <v>3.9171055296247479</v>
          </cell>
          <cell r="C110">
            <v>7.6930071543893161</v>
          </cell>
          <cell r="D110">
            <v>7.9625445375646793</v>
          </cell>
          <cell r="E110">
            <v>5.4547583724901152</v>
          </cell>
          <cell r="F110">
            <v>5.6103301625352628</v>
          </cell>
          <cell r="G110">
            <v>7.4209441473051241</v>
          </cell>
          <cell r="H110">
            <v>5.5799240162398958</v>
          </cell>
          <cell r="I110">
            <v>7.4028711797885505</v>
          </cell>
          <cell r="J110">
            <v>7.2505150767382291</v>
          </cell>
          <cell r="K110">
            <v>7.1527290828043757</v>
          </cell>
          <cell r="L110">
            <v>7.350063310115579</v>
          </cell>
          <cell r="M110">
            <v>6.7629804139436471</v>
          </cell>
        </row>
        <row r="111">
          <cell r="B111">
            <v>9.1310752565162652</v>
          </cell>
          <cell r="C111">
            <v>9.1689426420016975</v>
          </cell>
          <cell r="D111">
            <v>8.0562282568304919</v>
          </cell>
          <cell r="E111">
            <v>7.1098325116006347</v>
          </cell>
          <cell r="F111">
            <v>6.3270964212274805</v>
          </cell>
          <cell r="G111">
            <v>4.7059950004843554</v>
          </cell>
          <cell r="H111">
            <v>4.0894050268349522</v>
          </cell>
          <cell r="I111">
            <v>3.8910078597634574</v>
          </cell>
          <cell r="J111">
            <v>3.2183574694463521</v>
          </cell>
          <cell r="K111">
            <v>2.9362482982575631</v>
          </cell>
          <cell r="L111">
            <v>2.9269978047712923</v>
          </cell>
          <cell r="M111">
            <v>2.3047260818557809</v>
          </cell>
        </row>
        <row r="112">
          <cell r="B112">
            <v>2.6968852158375718</v>
          </cell>
          <cell r="C112">
            <v>3.168220777014525</v>
          </cell>
          <cell r="D112">
            <v>3.1713324075618234</v>
          </cell>
          <cell r="E112">
            <v>3.3013479957187535</v>
          </cell>
          <cell r="F112">
            <v>3.4189494700934362</v>
          </cell>
          <cell r="G112">
            <v>3.5148133459729771</v>
          </cell>
          <cell r="H112">
            <v>3.5929167931749819</v>
          </cell>
          <cell r="I112">
            <v>3.6666117080071823</v>
          </cell>
          <cell r="J112">
            <v>3.7199048358237561</v>
          </cell>
          <cell r="K112">
            <v>3.780477324697566</v>
          </cell>
          <cell r="L112">
            <v>3.7806952284994493</v>
          </cell>
          <cell r="M112">
            <v>3.7807021343956593</v>
          </cell>
        </row>
        <row r="113">
          <cell r="B113">
            <v>0.78533770257759683</v>
          </cell>
          <cell r="C113">
            <v>0.94127258189450358</v>
          </cell>
          <cell r="D113">
            <v>0.94200201055953914</v>
          </cell>
          <cell r="E113">
            <v>0.84753582452225307</v>
          </cell>
          <cell r="F113">
            <v>0.89556014322022548</v>
          </cell>
          <cell r="G113">
            <v>0.84511251355382921</v>
          </cell>
          <cell r="H113">
            <v>0.84207692619254337</v>
          </cell>
          <cell r="I113">
            <v>2.4073565201074438</v>
          </cell>
          <cell r="J113">
            <v>2.4073342377536675</v>
          </cell>
          <cell r="K113">
            <v>2.4073540864490699</v>
          </cell>
          <cell r="L113">
            <v>2.4072872919609636</v>
          </cell>
          <cell r="M113">
            <v>2.1276210574222421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6">
          <cell r="B116">
            <v>129.25002986937261</v>
          </cell>
          <cell r="C116">
            <v>136.31268039911998</v>
          </cell>
          <cell r="D116">
            <v>138.17596834569181</v>
          </cell>
          <cell r="E116">
            <v>138.06650250034636</v>
          </cell>
          <cell r="F116">
            <v>138.27500050517935</v>
          </cell>
          <cell r="G116">
            <v>138.22685561260164</v>
          </cell>
          <cell r="H116">
            <v>136.52382245175633</v>
          </cell>
          <cell r="I116">
            <v>136.24902658091966</v>
          </cell>
          <cell r="J116">
            <v>132.1054919135876</v>
          </cell>
          <cell r="K116">
            <v>128.78212071682429</v>
          </cell>
          <cell r="L116">
            <v>128.90780853972183</v>
          </cell>
          <cell r="M116">
            <v>116.82736078898411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</row>
        <row r="224">
          <cell r="B224">
            <v>26.978291525852587</v>
          </cell>
          <cell r="C224">
            <v>25.92996931044808</v>
          </cell>
          <cell r="D224">
            <v>25.957989677386216</v>
          </cell>
          <cell r="E224">
            <v>25.663360118451148</v>
          </cell>
          <cell r="F224">
            <v>25.706542940529765</v>
          </cell>
          <cell r="G224">
            <v>25.599944438338049</v>
          </cell>
          <cell r="H224">
            <v>25.374549308448593</v>
          </cell>
          <cell r="I224">
            <v>25.626218873413929</v>
          </cell>
          <cell r="J224">
            <v>26.024496488874956</v>
          </cell>
          <cell r="K224">
            <v>25.559965880131085</v>
          </cell>
          <cell r="L224">
            <v>25.49520384868633</v>
          </cell>
          <cell r="M224">
            <v>25.066331808887234</v>
          </cell>
        </row>
        <row r="231">
          <cell r="B231">
            <v>15.552697772773676</v>
          </cell>
          <cell r="C231">
            <v>14.699765291980164</v>
          </cell>
          <cell r="D231">
            <v>14.824347384390375</v>
          </cell>
          <cell r="E231">
            <v>9.6115392162977891</v>
          </cell>
          <cell r="F231">
            <v>5.0106048265921688</v>
          </cell>
          <cell r="G231">
            <v>3.1177304801067747</v>
          </cell>
          <cell r="H231">
            <v>2.0582855331925964</v>
          </cell>
          <cell r="I231">
            <v>4.2597858812221974</v>
          </cell>
          <cell r="J231">
            <v>3.6505055448046404</v>
          </cell>
          <cell r="K231">
            <v>2.4511738477942187</v>
          </cell>
          <cell r="L231">
            <v>4.7764023225313998</v>
          </cell>
          <cell r="M231">
            <v>1.8640927974106014</v>
          </cell>
        </row>
        <row r="233">
          <cell r="B233">
            <v>22.300220580036363</v>
          </cell>
          <cell r="C233">
            <v>26.336572487946306</v>
          </cell>
          <cell r="D233">
            <v>29.732113112366982</v>
          </cell>
          <cell r="E233">
            <v>40.499779651578244</v>
          </cell>
          <cell r="F233">
            <v>57.874581316540201</v>
          </cell>
          <cell r="G233">
            <v>58.032632257662577</v>
          </cell>
          <cell r="H233">
            <v>70.990491119425201</v>
          </cell>
          <cell r="I233">
            <v>85.235741801867789</v>
          </cell>
          <cell r="J233">
            <v>93.514010980466637</v>
          </cell>
          <cell r="K233">
            <v>95.186684944540119</v>
          </cell>
          <cell r="L233">
            <v>94.080758494928403</v>
          </cell>
          <cell r="M233">
            <v>95.50460057971253</v>
          </cell>
        </row>
        <row r="234">
          <cell r="B234">
            <v>52.108849438161656</v>
          </cell>
          <cell r="C234">
            <v>44.459886187151348</v>
          </cell>
          <cell r="D234">
            <v>44.281503493314908</v>
          </cell>
          <cell r="E234">
            <v>36.981826074296123</v>
          </cell>
          <cell r="F234">
            <v>19.209084226435959</v>
          </cell>
          <cell r="G234">
            <v>10.793364077778866</v>
          </cell>
          <cell r="H234">
            <v>8.490050306078766</v>
          </cell>
          <cell r="I234">
            <v>8.4899401930957605</v>
          </cell>
          <cell r="J234">
            <v>8.489864345346378</v>
          </cell>
          <cell r="K234">
            <v>6.454772093072437</v>
          </cell>
          <cell r="L234">
            <v>5.0744635112135601</v>
          </cell>
          <cell r="M234">
            <v>1.2369623198437425</v>
          </cell>
        </row>
        <row r="235">
          <cell r="B235">
            <v>42.950367687326349</v>
          </cell>
          <cell r="C235">
            <v>44.439032485472687</v>
          </cell>
          <cell r="D235">
            <v>44.071477643139829</v>
          </cell>
          <cell r="E235">
            <v>47.480436187128717</v>
          </cell>
          <cell r="F235">
            <v>43.733081968561187</v>
          </cell>
          <cell r="G235">
            <v>38.494799070116635</v>
          </cell>
          <cell r="H235">
            <v>29.377336407616813</v>
          </cell>
          <cell r="I235">
            <v>8.9133281831064863</v>
          </cell>
          <cell r="J235">
            <v>4.6318773806571292</v>
          </cell>
          <cell r="K235">
            <v>3.4481439032687509</v>
          </cell>
          <cell r="L235">
            <v>3.4481365175102359</v>
          </cell>
          <cell r="M235">
            <v>2.4982651306767596</v>
          </cell>
        </row>
        <row r="236">
          <cell r="B236">
            <v>0</v>
          </cell>
          <cell r="C236">
            <v>0</v>
          </cell>
          <cell r="D236">
            <v>4.2060219665881098E-3</v>
          </cell>
          <cell r="E236">
            <v>4.8169640294677355E-3</v>
          </cell>
          <cell r="F236">
            <v>7.1444278763648619</v>
          </cell>
          <cell r="G236">
            <v>14.855297361148065</v>
          </cell>
          <cell r="H236">
            <v>15.177821672107783</v>
          </cell>
          <cell r="I236">
            <v>12.778042984675189</v>
          </cell>
          <cell r="J236">
            <v>6.468998715636352</v>
          </cell>
          <cell r="K236">
            <v>5.7715320628392011</v>
          </cell>
          <cell r="L236">
            <v>5.7714988832212013</v>
          </cell>
          <cell r="M236">
            <v>5.7714958358553163</v>
          </cell>
        </row>
        <row r="238">
          <cell r="B238">
            <v>9.7673812305425975E-2</v>
          </cell>
          <cell r="C238">
            <v>4.2488450778695799E-3</v>
          </cell>
          <cell r="D238">
            <v>0.27687918060535444</v>
          </cell>
          <cell r="E238">
            <v>0.2772956972524776</v>
          </cell>
          <cell r="F238">
            <v>0.27730415165920386</v>
          </cell>
          <cell r="G238">
            <v>0.27896886354849543</v>
          </cell>
          <cell r="H238">
            <v>0.27896808538063461</v>
          </cell>
          <cell r="I238">
            <v>0.27897722676886133</v>
          </cell>
          <cell r="J238">
            <v>0.27897652344721663</v>
          </cell>
          <cell r="K238">
            <v>0.27922733004363465</v>
          </cell>
          <cell r="L238">
            <v>0.27922554723732373</v>
          </cell>
          <cell r="M238">
            <v>0.27924400497103219</v>
          </cell>
        </row>
        <row r="239">
          <cell r="B239">
            <v>5.2099121261372243</v>
          </cell>
          <cell r="C239">
            <v>9.1557044855246392</v>
          </cell>
          <cell r="D239">
            <v>9.3513880155486415</v>
          </cell>
          <cell r="E239">
            <v>6.4061912103017216</v>
          </cell>
          <cell r="F239">
            <v>6.5888971506502312</v>
          </cell>
          <cell r="G239">
            <v>8.7153237057183919</v>
          </cell>
          <cell r="H239">
            <v>6.5531883001565943</v>
          </cell>
          <cell r="I239">
            <v>8.6940821588053812</v>
          </cell>
          <cell r="J239">
            <v>8.5151680785106176</v>
          </cell>
          <cell r="K239">
            <v>8.4003246945217622</v>
          </cell>
          <cell r="L239">
            <v>8.6320785486625482</v>
          </cell>
          <cell r="M239">
            <v>7.9425942698071275</v>
          </cell>
        </row>
        <row r="240">
          <cell r="B240">
            <v>9.6515461674606247</v>
          </cell>
          <cell r="C240">
            <v>9.7661834665373988</v>
          </cell>
          <cell r="D240">
            <v>8.3837144076587329</v>
          </cell>
          <cell r="E240">
            <v>7.3988366655391706</v>
          </cell>
          <cell r="F240">
            <v>6.5842864104284757</v>
          </cell>
          <cell r="G240">
            <v>4.8972869969292425</v>
          </cell>
          <cell r="H240">
            <v>4.2556331989910596</v>
          </cell>
          <cell r="I240">
            <v>4.04917149925173</v>
          </cell>
          <cell r="J240">
            <v>3.3491785776649965</v>
          </cell>
          <cell r="K240">
            <v>3.0556025938577824</v>
          </cell>
          <cell r="L240">
            <v>3.0459757371203957</v>
          </cell>
          <cell r="M240">
            <v>2.3984113772791402</v>
          </cell>
        </row>
        <row r="241">
          <cell r="B241">
            <v>2.8666779200719827</v>
          </cell>
          <cell r="C241">
            <v>3.363057025570785</v>
          </cell>
          <cell r="D241">
            <v>3.3002422566070186</v>
          </cell>
          <cell r="E241">
            <v>3.4355431956226359</v>
          </cell>
          <cell r="F241">
            <v>3.5579260139388094</v>
          </cell>
          <cell r="G241">
            <v>3.6576858004186072</v>
          </cell>
          <cell r="H241">
            <v>3.7389634805819236</v>
          </cell>
          <cell r="I241">
            <v>3.8156539953523856</v>
          </cell>
          <cell r="J241">
            <v>3.8711129989771735</v>
          </cell>
          <cell r="K241">
            <v>3.9341480697341655</v>
          </cell>
          <cell r="L241">
            <v>3.9343744627868409</v>
          </cell>
          <cell r="M241">
            <v>3.9343825776214696</v>
          </cell>
        </row>
        <row r="242">
          <cell r="B242">
            <v>2.5068257272374477</v>
          </cell>
          <cell r="C242">
            <v>2.9279922943235821</v>
          </cell>
          <cell r="D242">
            <v>2.8900078050978095</v>
          </cell>
          <cell r="E242">
            <v>2.4124818845796039</v>
          </cell>
          <cell r="F242">
            <v>2.1465966588588863</v>
          </cell>
          <cell r="G242">
            <v>1.9207107474277274</v>
          </cell>
          <cell r="H242">
            <v>1.9148160439816473</v>
          </cell>
          <cell r="I242">
            <v>5.4712637462064588</v>
          </cell>
          <cell r="J242">
            <v>5.4712136639607056</v>
          </cell>
          <cell r="K242">
            <v>5.4712554504271562</v>
          </cell>
          <cell r="L242">
            <v>5.471106182739927</v>
          </cell>
          <cell r="M242">
            <v>4.8354962947106328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</row>
        <row r="244">
          <cell r="B244">
            <v>2.9115498430428346</v>
          </cell>
          <cell r="C244">
            <v>7.0182070365689526</v>
          </cell>
          <cell r="D244">
            <v>7.0176620805056711</v>
          </cell>
          <cell r="E244">
            <v>9.2208643567176178</v>
          </cell>
          <cell r="F244">
            <v>11.854656945087283</v>
          </cell>
          <cell r="G244">
            <v>19.063000690084294</v>
          </cell>
          <cell r="H244">
            <v>19.062817612691909</v>
          </cell>
          <cell r="I244">
            <v>19.889257783981371</v>
          </cell>
          <cell r="J244">
            <v>19.889081592990735</v>
          </cell>
          <cell r="K244">
            <v>19.889221606856111</v>
          </cell>
          <cell r="L244">
            <v>19.888992180456331</v>
          </cell>
          <cell r="M244">
            <v>15.62814740998299</v>
          </cell>
        </row>
        <row r="245">
          <cell r="B245">
            <v>156.22832139522524</v>
          </cell>
          <cell r="C245">
            <v>162.2426497095681</v>
          </cell>
          <cell r="D245">
            <v>164.13395802307807</v>
          </cell>
          <cell r="E245">
            <v>163.72986261879748</v>
          </cell>
          <cell r="F245">
            <v>163.98154344570912</v>
          </cell>
          <cell r="G245">
            <v>163.82680005093971</v>
          </cell>
          <cell r="H245">
            <v>161.89837176020495</v>
          </cell>
          <cell r="I245">
            <v>161.87524545433362</v>
          </cell>
          <cell r="J245">
            <v>158.12998840246257</v>
          </cell>
          <cell r="K245">
            <v>154.34208659695537</v>
          </cell>
          <cell r="L245">
            <v>154.40301238840817</v>
          </cell>
          <cell r="M245">
            <v>141.89369259787136</v>
          </cell>
        </row>
      </sheetData>
      <sheetData sheetId="73">
        <row r="21">
          <cell r="B21">
            <v>78.575295894580449</v>
          </cell>
          <cell r="C21">
            <v>74.839874678589794</v>
          </cell>
          <cell r="D21">
            <v>78.006261689721526</v>
          </cell>
          <cell r="E21">
            <v>47.677114882959785</v>
          </cell>
          <cell r="F21">
            <v>21.44492902665101</v>
          </cell>
          <cell r="G21">
            <v>9.9206858909636662</v>
          </cell>
          <cell r="H21">
            <v>3.1042349573417516</v>
          </cell>
          <cell r="I21">
            <v>0.31507914256420766</v>
          </cell>
          <cell r="J21">
            <v>0.299298884880421</v>
          </cell>
          <cell r="K21">
            <v>0.25697111486630897</v>
          </cell>
          <cell r="L21">
            <v>0.23581615790274202</v>
          </cell>
          <cell r="M21">
            <v>0.18984304063385737</v>
          </cell>
        </row>
        <row r="22">
          <cell r="B22">
            <v>116.81392206665456</v>
          </cell>
          <cell r="C22">
            <v>110.19982243483722</v>
          </cell>
          <cell r="D22">
            <v>94.367004342852368</v>
          </cell>
          <cell r="E22">
            <v>62.26112862445931</v>
          </cell>
          <cell r="F22">
            <v>36.128398698626121</v>
          </cell>
          <cell r="G22">
            <v>23.866817231466396</v>
          </cell>
          <cell r="H22">
            <v>10.366829641832773</v>
          </cell>
          <cell r="I22">
            <v>2.5860219562029934E-4</v>
          </cell>
          <cell r="J22">
            <v>2.4364875053998643E-4</v>
          </cell>
          <cell r="K22">
            <v>3.7868752693297956E-4</v>
          </cell>
          <cell r="L22">
            <v>3.8430284778298362E-4</v>
          </cell>
          <cell r="M22">
            <v>6.3735059751236615E-4</v>
          </cell>
        </row>
        <row r="23">
          <cell r="B23">
            <v>1.0927422176428938</v>
          </cell>
          <cell r="C23">
            <v>1.3845575017078204</v>
          </cell>
          <cell r="D23">
            <v>1.8213574882136987</v>
          </cell>
          <cell r="E23">
            <v>2.5344303828980737</v>
          </cell>
          <cell r="F23">
            <v>2.3348255207557238</v>
          </cell>
          <cell r="G23">
            <v>2.1205311155028657</v>
          </cell>
          <cell r="H23">
            <v>1.9025891722571986</v>
          </cell>
          <cell r="I23">
            <v>-3.1765050398924188E-6</v>
          </cell>
          <cell r="J23">
            <v>8.2271443950121537E-5</v>
          </cell>
          <cell r="K23">
            <v>1.2809182189998936E-4</v>
          </cell>
          <cell r="L23">
            <v>1.215612544800404E-4</v>
          </cell>
          <cell r="M23">
            <v>1.992952614100485E-4</v>
          </cell>
        </row>
        <row r="24">
          <cell r="B24">
            <v>0.23763170352092089</v>
          </cell>
          <cell r="C24">
            <v>0.14110079407586087</v>
          </cell>
          <cell r="D24">
            <v>0.22647825703797442</v>
          </cell>
          <cell r="E24">
            <v>9.2502404885426732E-3</v>
          </cell>
          <cell r="F24">
            <v>1.0527461292456112E-3</v>
          </cell>
          <cell r="G24">
            <v>3.9458459958291729E-4</v>
          </cell>
          <cell r="H24">
            <v>2.3286624743039798E-3</v>
          </cell>
          <cell r="I24">
            <v>4.536555457744099E-4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B25">
            <v>4.5503176480580994</v>
          </cell>
          <cell r="C25">
            <v>4.3339914834171136</v>
          </cell>
          <cell r="D25">
            <v>4.5173620371756771</v>
          </cell>
          <cell r="E25">
            <v>2.7616553030279016</v>
          </cell>
          <cell r="F25">
            <v>1.3100881228532362</v>
          </cell>
          <cell r="G25">
            <v>0.57467593688602991</v>
          </cell>
          <cell r="H25">
            <v>4.4893149052244175</v>
          </cell>
          <cell r="I25">
            <v>1.7849259449535582</v>
          </cell>
          <cell r="J25">
            <v>1.6956659773296718</v>
          </cell>
          <cell r="K25">
            <v>1.4555886561353091</v>
          </cell>
          <cell r="L25">
            <v>1.3357425055163337</v>
          </cell>
          <cell r="M25">
            <v>1.0748174443097609</v>
          </cell>
        </row>
        <row r="26">
          <cell r="B26">
            <v>2.9712638920671006</v>
          </cell>
          <cell r="C26">
            <v>2.970934652699599</v>
          </cell>
          <cell r="D26">
            <v>4.4340848989654464</v>
          </cell>
          <cell r="E26">
            <v>3.0455280725863885</v>
          </cell>
          <cell r="F26">
            <v>2.9715908149429682</v>
          </cell>
          <cell r="G26">
            <v>2.9709975738043783</v>
          </cell>
          <cell r="H26">
            <v>3.8719685835451001</v>
          </cell>
          <cell r="I26">
            <v>5.3704690332302754</v>
          </cell>
          <cell r="J26">
            <v>3.2957224690370364</v>
          </cell>
          <cell r="K26">
            <v>3.272897452532463</v>
          </cell>
          <cell r="L26">
            <v>3.1632194689499031</v>
          </cell>
          <cell r="M26">
            <v>2.9857667196734106</v>
          </cell>
        </row>
        <row r="27">
          <cell r="B27">
            <v>1.9552309564883869E-2</v>
          </cell>
          <cell r="C27">
            <v>2.0045395993326651E-2</v>
          </cell>
          <cell r="D27">
            <v>1.5295505356679837E-3</v>
          </cell>
          <cell r="E27">
            <v>4.6633069076640619E-5</v>
          </cell>
          <cell r="F27">
            <v>4.6066953465858346E-5</v>
          </cell>
          <cell r="G27">
            <v>7.0211143823110153E-4</v>
          </cell>
          <cell r="H27">
            <v>5.0028523152868956E-5</v>
          </cell>
          <cell r="I27">
            <v>1.4007881346750871E-3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3.3950520625614301E-4</v>
          </cell>
          <cell r="C28">
            <v>6.1967493696691697E-6</v>
          </cell>
          <cell r="D28">
            <v>4.2917365554131202E-4</v>
          </cell>
          <cell r="E28">
            <v>1.6061217991256201E-2</v>
          </cell>
          <cell r="F28">
            <v>7.3697683955609703E-4</v>
          </cell>
          <cell r="G28">
            <v>1.02278798354296E-4</v>
          </cell>
          <cell r="H28">
            <v>3.11511874996137E-3</v>
          </cell>
          <cell r="I28">
            <v>1.69077836421814</v>
          </cell>
          <cell r="J28">
            <v>1.50963631158895</v>
          </cell>
          <cell r="K28">
            <v>1.34792232701452</v>
          </cell>
          <cell r="L28">
            <v>1.2035729233655399</v>
          </cell>
          <cell r="M28">
            <v>1.07459760555129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0.21673120219436529</v>
          </cell>
          <cell r="F32">
            <v>1.3981945408098519</v>
          </cell>
          <cell r="G32">
            <v>1.1377831128456597</v>
          </cell>
          <cell r="H32">
            <v>2.1756329024578038</v>
          </cell>
          <cell r="I32">
            <v>2.3541001087426285</v>
          </cell>
          <cell r="J32">
            <v>2.7060759578024154</v>
          </cell>
          <cell r="K32">
            <v>2.1764545901078942</v>
          </cell>
          <cell r="L32">
            <v>2.2079910810777656</v>
          </cell>
          <cell r="M32">
            <v>2.6162034863869956</v>
          </cell>
        </row>
      </sheetData>
      <sheetData sheetId="74">
        <row r="11">
          <cell r="B11">
            <v>29.53691830097284</v>
          </cell>
          <cell r="C11">
            <v>58.495436317992393</v>
          </cell>
          <cell r="D11">
            <v>83.523173992121514</v>
          </cell>
          <cell r="E11">
            <v>83.032190610141669</v>
          </cell>
          <cell r="F11">
            <v>74.047235772890446</v>
          </cell>
          <cell r="G11">
            <v>52.509674835711209</v>
          </cell>
          <cell r="H11">
            <v>26.254839173476682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5.2999275702832831</v>
          </cell>
          <cell r="F12">
            <v>18.511808570957434</v>
          </cell>
          <cell r="G12">
            <v>38.846718989954709</v>
          </cell>
          <cell r="H12">
            <v>68.65902265750627</v>
          </cell>
          <cell r="I12">
            <v>93.853202185742376</v>
          </cell>
          <cell r="J12">
            <v>93.853202761630413</v>
          </cell>
          <cell r="K12">
            <v>94.908956911572815</v>
          </cell>
          <cell r="L12">
            <v>96.620388080544274</v>
          </cell>
          <cell r="M12">
            <v>98.328899158151629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0.168176573566932</v>
          </cell>
          <cell r="G13">
            <v>0.61641670844326801</v>
          </cell>
          <cell r="H13">
            <v>0.79469557728004103</v>
          </cell>
          <cell r="I13">
            <v>0.83071652000563301</v>
          </cell>
          <cell r="J13">
            <v>0.85722164631729303</v>
          </cell>
          <cell r="K13">
            <v>0.88151938323011503</v>
          </cell>
          <cell r="L13">
            <v>0.88187287710967266</v>
          </cell>
          <cell r="M13">
            <v>0.86682448488002883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</sheetData>
      <sheetData sheetId="75"/>
      <sheetData sheetId="76">
        <row r="53">
          <cell r="B53">
            <v>2.6031432342154925</v>
          </cell>
          <cell r="C53">
            <v>2.3503905042787769</v>
          </cell>
          <cell r="D53">
            <v>2.3521747251926626</v>
          </cell>
          <cell r="E53">
            <v>2.2433237352244855</v>
          </cell>
          <cell r="F53">
            <v>2.2405241398479352</v>
          </cell>
          <cell r="G53">
            <v>2.3033281049222198</v>
          </cell>
          <cell r="H53">
            <v>2.3290532510278781</v>
          </cell>
          <cell r="I53">
            <v>2.3173943232584171</v>
          </cell>
          <cell r="J53">
            <v>2.3175533909001786</v>
          </cell>
          <cell r="K53">
            <v>2.3175678581425347</v>
          </cell>
          <cell r="L53">
            <v>2.3174898069195979</v>
          </cell>
          <cell r="M53">
            <v>2.3175878104141119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B55">
            <v>6.4914823885088859</v>
          </cell>
          <cell r="C55">
            <v>6.1416998513743595</v>
          </cell>
          <cell r="D55">
            <v>5.6038681667051682</v>
          </cell>
          <cell r="E55">
            <v>4.8942936668194159</v>
          </cell>
          <cell r="F55">
            <v>4.0314211759247831</v>
          </cell>
          <cell r="G55">
            <v>4.0345490034703726</v>
          </cell>
          <cell r="H55">
            <v>3.6344228048341218</v>
          </cell>
          <cell r="I55">
            <v>3.1047342439909542</v>
          </cell>
          <cell r="J55">
            <v>3.0504213242895086</v>
          </cell>
          <cell r="K55">
            <v>3.0503602876013365</v>
          </cell>
          <cell r="L55">
            <v>3.0503563916767802</v>
          </cell>
          <cell r="M55">
            <v>3.0503449719788436</v>
          </cell>
        </row>
        <row r="56">
          <cell r="B56">
            <v>3.7895592709653303</v>
          </cell>
          <cell r="C56">
            <v>3.4161650782678197</v>
          </cell>
          <cell r="D56">
            <v>3.4979031799652605</v>
          </cell>
          <cell r="E56">
            <v>3.1719886214917397</v>
          </cell>
          <cell r="F56">
            <v>2.69456943105039</v>
          </cell>
          <cell r="G56">
            <v>2.1598785780460279</v>
          </cell>
          <cell r="H56">
            <v>1.693313175276834</v>
          </cell>
          <cell r="I56">
            <v>0.224954078539149</v>
          </cell>
          <cell r="J56">
            <v>0.26879124993895998</v>
          </cell>
          <cell r="K56">
            <v>0.1631318225253407</v>
          </cell>
          <cell r="L56">
            <v>0.12979630778374582</v>
          </cell>
          <cell r="M56">
            <v>0.11945503405291238</v>
          </cell>
        </row>
        <row r="57">
          <cell r="B57">
            <v>7.1741575336836911</v>
          </cell>
          <cell r="C57">
            <v>6.5876295631128867</v>
          </cell>
          <cell r="D57">
            <v>6.5261064528385822</v>
          </cell>
          <cell r="E57">
            <v>6.0995239817499973</v>
          </cell>
          <cell r="F57">
            <v>4.5353034356549928</v>
          </cell>
          <cell r="G57">
            <v>3.6738670539187059</v>
          </cell>
          <cell r="H57">
            <v>2.8880424856794962</v>
          </cell>
          <cell r="I57">
            <v>0.83960487718514498</v>
          </cell>
          <cell r="J57">
            <v>0.42086305660472578</v>
          </cell>
          <cell r="K57">
            <v>0.33189068286429074</v>
          </cell>
          <cell r="L57">
            <v>0.33162169126165658</v>
          </cell>
          <cell r="M57">
            <v>0.27425353418487602</v>
          </cell>
        </row>
        <row r="58">
          <cell r="B58">
            <v>14.551984873043466</v>
          </cell>
          <cell r="C58">
            <v>13.860704859375636</v>
          </cell>
          <cell r="D58">
            <v>12.903589065739899</v>
          </cell>
          <cell r="E58">
            <v>8.3906438372858059</v>
          </cell>
          <cell r="F58">
            <v>4.4665218306255072</v>
          </cell>
          <cell r="G58">
            <v>2.6752975438438358</v>
          </cell>
          <cell r="H58">
            <v>1.1444383779092342</v>
          </cell>
          <cell r="I58">
            <v>2.3644601042471073E-2</v>
          </cell>
          <cell r="J58">
            <v>2.2441937452047041E-2</v>
          </cell>
          <cell r="K58">
            <v>1.928505956500521E-2</v>
          </cell>
          <cell r="L58">
            <v>1.7700421107293224E-2</v>
          </cell>
          <cell r="M58">
            <v>1.4281611197019374E-2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-1.1964253911886855</v>
          </cell>
          <cell r="H59">
            <v>-2.2405480760705285</v>
          </cell>
          <cell r="I59">
            <v>-2.4271388017137707</v>
          </cell>
          <cell r="J59">
            <v>-2.6733764047671191</v>
          </cell>
          <cell r="K59">
            <v>-2.6983219810634083</v>
          </cell>
          <cell r="L59">
            <v>-2.7032453921756492</v>
          </cell>
          <cell r="M59">
            <v>-2.7080320029169362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-0.63744492203298964</v>
          </cell>
          <cell r="H60">
            <v>-2.8827745016475972</v>
          </cell>
          <cell r="I60">
            <v>-3.0108336385561878</v>
          </cell>
          <cell r="J60">
            <v>-2.9946866552247147</v>
          </cell>
          <cell r="K60">
            <v>-3.0006287318436851</v>
          </cell>
          <cell r="L60">
            <v>-3.0059880386039275</v>
          </cell>
          <cell r="M60">
            <v>-3.0108682370451754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-0.38318032601154073</v>
          </cell>
          <cell r="J61">
            <v>-0.96368012181800256</v>
          </cell>
          <cell r="K61">
            <v>-0.96367170820127324</v>
          </cell>
          <cell r="L61">
            <v>-1.0584235915404614</v>
          </cell>
          <cell r="M61">
            <v>-1.0621665058006993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-1.7622237313238185E-5</v>
          </cell>
          <cell r="H62">
            <v>-2.5439872729760304E-5</v>
          </cell>
          <cell r="I62">
            <v>-0.60440685995539123</v>
          </cell>
          <cell r="J62">
            <v>-0.64144620264962371</v>
          </cell>
          <cell r="K62">
            <v>-0.60440226797532459</v>
          </cell>
          <cell r="L62">
            <v>-0.64165159870997868</v>
          </cell>
          <cell r="M62">
            <v>-0.70793235083367334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-1.943067898589038E-6</v>
          </cell>
          <cell r="H63">
            <v>-3.1391762835147085E-6</v>
          </cell>
          <cell r="I63">
            <v>-9.6149909621709245E-2</v>
          </cell>
          <cell r="J63">
            <v>-0.21427537892772824</v>
          </cell>
          <cell r="K63">
            <v>-1.4186254257380408</v>
          </cell>
          <cell r="L63">
            <v>-2.0743549650134741</v>
          </cell>
          <cell r="M63">
            <v>-2.7569083032561768</v>
          </cell>
        </row>
        <row r="77">
          <cell r="B77">
            <v>0.83333092443225398</v>
          </cell>
          <cell r="C77">
            <v>0.33104387477326719</v>
          </cell>
        </row>
        <row r="78">
          <cell r="B78">
            <v>1.1802587583166175E-2</v>
          </cell>
          <cell r="C78">
            <v>8.2898671109135E-3</v>
          </cell>
        </row>
        <row r="79">
          <cell r="B79">
            <v>0.98874784632545809</v>
          </cell>
          <cell r="C79">
            <v>4.7840075709362209</v>
          </cell>
        </row>
      </sheetData>
      <sheetData sheetId="77"/>
      <sheetData sheetId="78">
        <row r="99"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</row>
      </sheetData>
      <sheetData sheetId="7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4" zoomScale="70" zoomScaleNormal="70" workbookViewId="0">
      <selection activeCell="B99" sqref="B99"/>
    </sheetView>
  </sheetViews>
  <sheetFormatPr defaultRowHeight="15.75" x14ac:dyDescent="0.5"/>
  <cols>
    <col min="2" max="2" width="49.5625" bestFit="1" customWidth="1"/>
    <col min="3" max="3" width="81.5" bestFit="1" customWidth="1"/>
    <col min="4" max="4" width="11.5" bestFit="1" customWidth="1"/>
  </cols>
  <sheetData>
    <row r="2" spans="2:5" x14ac:dyDescent="0.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5">
      <c r="B3" t="s">
        <v>15</v>
      </c>
      <c r="C3" t="s">
        <v>359</v>
      </c>
      <c r="D3" t="s">
        <v>8</v>
      </c>
    </row>
    <row r="4" spans="2:5" x14ac:dyDescent="0.5">
      <c r="B4" t="s">
        <v>19</v>
      </c>
      <c r="C4" t="s">
        <v>360</v>
      </c>
      <c r="D4" t="s">
        <v>8</v>
      </c>
    </row>
    <row r="5" spans="2:5" x14ac:dyDescent="0.5">
      <c r="B5" t="s">
        <v>24</v>
      </c>
      <c r="C5" t="s">
        <v>361</v>
      </c>
      <c r="D5" t="s">
        <v>8</v>
      </c>
    </row>
    <row r="6" spans="2:5" x14ac:dyDescent="0.5">
      <c r="B6" t="s">
        <v>29</v>
      </c>
      <c r="C6" t="s">
        <v>362</v>
      </c>
      <c r="D6" t="s">
        <v>8</v>
      </c>
    </row>
    <row r="7" spans="2:5" x14ac:dyDescent="0.5">
      <c r="B7" t="s">
        <v>152</v>
      </c>
      <c r="C7" t="s">
        <v>363</v>
      </c>
      <c r="D7" t="s">
        <v>8</v>
      </c>
    </row>
    <row r="8" spans="2:5" x14ac:dyDescent="0.5">
      <c r="B8" t="s">
        <v>91</v>
      </c>
      <c r="C8" t="s">
        <v>364</v>
      </c>
      <c r="D8" t="s">
        <v>8</v>
      </c>
    </row>
    <row r="9" spans="2:5" x14ac:dyDescent="0.5">
      <c r="B9" t="s">
        <v>190</v>
      </c>
      <c r="C9" t="s">
        <v>365</v>
      </c>
      <c r="D9" t="s">
        <v>8</v>
      </c>
    </row>
    <row r="10" spans="2:5" x14ac:dyDescent="0.5">
      <c r="B10" t="s">
        <v>241</v>
      </c>
      <c r="C10" t="s">
        <v>366</v>
      </c>
      <c r="D10" t="s">
        <v>240</v>
      </c>
      <c r="E10" t="s">
        <v>369</v>
      </c>
    </row>
    <row r="11" spans="2:5" x14ac:dyDescent="0.5">
      <c r="B11" t="s">
        <v>296</v>
      </c>
      <c r="C11" t="s">
        <v>367</v>
      </c>
      <c r="D11" t="s">
        <v>240</v>
      </c>
      <c r="E11" t="s">
        <v>686</v>
      </c>
    </row>
    <row r="12" spans="2:5" x14ac:dyDescent="0.5">
      <c r="B12" t="s">
        <v>303</v>
      </c>
      <c r="C12" t="s">
        <v>371</v>
      </c>
      <c r="D12" t="s">
        <v>8</v>
      </c>
    </row>
    <row r="13" spans="2:5" x14ac:dyDescent="0.5">
      <c r="B13" t="s">
        <v>370</v>
      </c>
      <c r="C13" t="s">
        <v>372</v>
      </c>
      <c r="D13" t="s">
        <v>8</v>
      </c>
    </row>
    <row r="14" spans="2:5" x14ac:dyDescent="0.5">
      <c r="B14" t="s">
        <v>373</v>
      </c>
      <c r="C14" t="s">
        <v>374</v>
      </c>
      <c r="D14" t="s">
        <v>8</v>
      </c>
    </row>
    <row r="15" spans="2:5" x14ac:dyDescent="0.5">
      <c r="B15" t="s">
        <v>306</v>
      </c>
      <c r="C15" t="s">
        <v>375</v>
      </c>
      <c r="D15" t="s">
        <v>240</v>
      </c>
    </row>
    <row r="16" spans="2:5" x14ac:dyDescent="0.5">
      <c r="B16" t="s">
        <v>376</v>
      </c>
      <c r="C16" t="s">
        <v>377</v>
      </c>
      <c r="D16" t="s">
        <v>8</v>
      </c>
    </row>
    <row r="17" spans="2:5" x14ac:dyDescent="0.5">
      <c r="B17" t="s">
        <v>378</v>
      </c>
      <c r="C17" t="s">
        <v>379</v>
      </c>
      <c r="D17" t="s">
        <v>8</v>
      </c>
    </row>
    <row r="18" spans="2:5" x14ac:dyDescent="0.5">
      <c r="B18" t="s">
        <v>311</v>
      </c>
      <c r="C18" t="s">
        <v>380</v>
      </c>
      <c r="D18" t="s">
        <v>240</v>
      </c>
    </row>
    <row r="19" spans="2:5" x14ac:dyDescent="0.5">
      <c r="B19" t="s">
        <v>381</v>
      </c>
      <c r="C19" t="s">
        <v>382</v>
      </c>
      <c r="D19" t="s">
        <v>8</v>
      </c>
    </row>
    <row r="20" spans="2:5" x14ac:dyDescent="0.5">
      <c r="B20" t="s">
        <v>383</v>
      </c>
      <c r="C20" t="s">
        <v>384</v>
      </c>
      <c r="D20" t="s">
        <v>8</v>
      </c>
    </row>
    <row r="21" spans="2:5" x14ac:dyDescent="0.5">
      <c r="B21" t="s">
        <v>385</v>
      </c>
      <c r="C21" t="s">
        <v>386</v>
      </c>
      <c r="D21" t="s">
        <v>8</v>
      </c>
    </row>
    <row r="22" spans="2:5" x14ac:dyDescent="0.5">
      <c r="B22" t="s">
        <v>387</v>
      </c>
      <c r="C22" t="s">
        <v>387</v>
      </c>
      <c r="D22" t="s">
        <v>8</v>
      </c>
    </row>
    <row r="23" spans="2:5" x14ac:dyDescent="0.5">
      <c r="B23" t="s">
        <v>388</v>
      </c>
      <c r="C23" t="s">
        <v>389</v>
      </c>
      <c r="D23" t="s">
        <v>240</v>
      </c>
    </row>
    <row r="24" spans="2:5" x14ac:dyDescent="0.5">
      <c r="B24" t="s">
        <v>390</v>
      </c>
      <c r="C24" t="s">
        <v>390</v>
      </c>
      <c r="D24" t="s">
        <v>8</v>
      </c>
    </row>
    <row r="25" spans="2:5" x14ac:dyDescent="0.5">
      <c r="B25" t="s">
        <v>406</v>
      </c>
      <c r="C25" t="s">
        <v>407</v>
      </c>
      <c r="D25" t="s">
        <v>8</v>
      </c>
    </row>
    <row r="26" spans="2:5" x14ac:dyDescent="0.5">
      <c r="B26" t="s">
        <v>408</v>
      </c>
      <c r="C26" t="s">
        <v>416</v>
      </c>
      <c r="D26" t="s">
        <v>240</v>
      </c>
      <c r="E26" t="s">
        <v>417</v>
      </c>
    </row>
    <row r="27" spans="2:5" x14ac:dyDescent="0.5">
      <c r="B27" t="s">
        <v>424</v>
      </c>
      <c r="C27" t="s">
        <v>418</v>
      </c>
      <c r="D27" t="s">
        <v>8</v>
      </c>
      <c r="E27" t="s">
        <v>421</v>
      </c>
    </row>
    <row r="28" spans="2:5" x14ac:dyDescent="0.5">
      <c r="B28" t="s">
        <v>425</v>
      </c>
      <c r="C28" t="s">
        <v>419</v>
      </c>
      <c r="D28" t="s">
        <v>8</v>
      </c>
      <c r="E28" t="s">
        <v>420</v>
      </c>
    </row>
    <row r="29" spans="2:5" x14ac:dyDescent="0.5">
      <c r="B29" t="s">
        <v>426</v>
      </c>
      <c r="C29" t="s">
        <v>422</v>
      </c>
      <c r="D29" t="s">
        <v>8</v>
      </c>
      <c r="E29" t="s">
        <v>423</v>
      </c>
    </row>
    <row r="30" spans="2:5" x14ac:dyDescent="0.5">
      <c r="B30" t="s">
        <v>431</v>
      </c>
      <c r="C30" t="s">
        <v>432</v>
      </c>
      <c r="D30" t="s">
        <v>8</v>
      </c>
    </row>
    <row r="31" spans="2:5" x14ac:dyDescent="0.5">
      <c r="B31" t="s">
        <v>434</v>
      </c>
      <c r="C31" t="s">
        <v>435</v>
      </c>
      <c r="D31" t="s">
        <v>8</v>
      </c>
    </row>
    <row r="32" spans="2:5" x14ac:dyDescent="0.5">
      <c r="B32" t="s">
        <v>440</v>
      </c>
      <c r="C32" t="s">
        <v>441</v>
      </c>
      <c r="D32" t="s">
        <v>240</v>
      </c>
    </row>
    <row r="33" spans="2:5" x14ac:dyDescent="0.5">
      <c r="B33" t="s">
        <v>444</v>
      </c>
      <c r="C33" t="s">
        <v>444</v>
      </c>
      <c r="D33" t="s">
        <v>442</v>
      </c>
      <c r="E33" t="s">
        <v>447</v>
      </c>
    </row>
    <row r="34" spans="2:5" x14ac:dyDescent="0.5">
      <c r="B34" t="s">
        <v>474</v>
      </c>
      <c r="C34" t="s">
        <v>477</v>
      </c>
      <c r="D34" t="s">
        <v>8</v>
      </c>
      <c r="E34" t="s">
        <v>478</v>
      </c>
    </row>
    <row r="35" spans="2:5" x14ac:dyDescent="0.5">
      <c r="B35" t="s">
        <v>475</v>
      </c>
      <c r="C35" t="s">
        <v>479</v>
      </c>
      <c r="D35" t="s">
        <v>8</v>
      </c>
      <c r="E35" t="s">
        <v>478</v>
      </c>
    </row>
    <row r="36" spans="2:5" x14ac:dyDescent="0.5">
      <c r="B36" t="s">
        <v>476</v>
      </c>
      <c r="C36" t="s">
        <v>480</v>
      </c>
      <c r="D36" t="s">
        <v>240</v>
      </c>
    </row>
    <row r="37" spans="2:5" x14ac:dyDescent="0.5">
      <c r="B37" t="s">
        <v>496</v>
      </c>
      <c r="C37" t="s">
        <v>497</v>
      </c>
      <c r="D37" t="s">
        <v>8</v>
      </c>
      <c r="E37" t="s">
        <v>498</v>
      </c>
    </row>
    <row r="38" spans="2:5" x14ac:dyDescent="0.5">
      <c r="B38" t="s">
        <v>684</v>
      </c>
      <c r="C38" t="s">
        <v>685</v>
      </c>
      <c r="D38" t="s">
        <v>8</v>
      </c>
      <c r="E38" t="s">
        <v>498</v>
      </c>
    </row>
    <row r="39" spans="2:5" x14ac:dyDescent="0.5">
      <c r="B39" t="s">
        <v>687</v>
      </c>
      <c r="C39" t="s">
        <v>688</v>
      </c>
      <c r="D39" t="s">
        <v>240</v>
      </c>
      <c r="E39" t="s">
        <v>498</v>
      </c>
    </row>
    <row r="40" spans="2:5" x14ac:dyDescent="0.5">
      <c r="B40" t="s">
        <v>674</v>
      </c>
      <c r="C40" t="s">
        <v>675</v>
      </c>
      <c r="D40" t="s">
        <v>8</v>
      </c>
    </row>
    <row r="41" spans="2:5" x14ac:dyDescent="0.5">
      <c r="B41" t="s">
        <v>697</v>
      </c>
      <c r="C41" t="s">
        <v>698</v>
      </c>
      <c r="D41" t="s">
        <v>8</v>
      </c>
    </row>
    <row r="42" spans="2:5" x14ac:dyDescent="0.5">
      <c r="B42" t="s">
        <v>689</v>
      </c>
      <c r="C42" t="s">
        <v>690</v>
      </c>
      <c r="D42" t="s">
        <v>240</v>
      </c>
    </row>
    <row r="43" spans="2:5" x14ac:dyDescent="0.5">
      <c r="B43" t="s">
        <v>740</v>
      </c>
      <c r="C43" t="s">
        <v>741</v>
      </c>
      <c r="D43" t="s">
        <v>8</v>
      </c>
    </row>
    <row r="44" spans="2:5" x14ac:dyDescent="0.5">
      <c r="B44" t="s">
        <v>756</v>
      </c>
      <c r="C44" t="s">
        <v>757</v>
      </c>
      <c r="D44" t="s">
        <v>8</v>
      </c>
    </row>
    <row r="45" spans="2:5" x14ac:dyDescent="0.5">
      <c r="B45" t="s">
        <v>1091</v>
      </c>
      <c r="C45" t="s">
        <v>1125</v>
      </c>
      <c r="D45" t="s">
        <v>240</v>
      </c>
    </row>
    <row r="46" spans="2:5" x14ac:dyDescent="0.5">
      <c r="B46" t="s">
        <v>1236</v>
      </c>
      <c r="C46" t="s">
        <v>1126</v>
      </c>
      <c r="D46" t="s">
        <v>8</v>
      </c>
      <c r="E46" t="s">
        <v>1127</v>
      </c>
    </row>
    <row r="47" spans="2:5" x14ac:dyDescent="0.5">
      <c r="B47" t="s">
        <v>1128</v>
      </c>
      <c r="C47" t="s">
        <v>1129</v>
      </c>
      <c r="D47" t="s">
        <v>1131</v>
      </c>
    </row>
    <row r="48" spans="2:5" x14ac:dyDescent="0.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5">
      <c r="B49" t="s">
        <v>1304</v>
      </c>
      <c r="C49" t="s">
        <v>1305</v>
      </c>
      <c r="D49" t="s">
        <v>8</v>
      </c>
    </row>
    <row r="50" spans="2:5" x14ac:dyDescent="0.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5">
      <c r="B51" t="s">
        <v>1370</v>
      </c>
      <c r="C51" t="s">
        <v>1471</v>
      </c>
      <c r="D51" t="s">
        <v>1229</v>
      </c>
    </row>
    <row r="52" spans="2:5" x14ac:dyDescent="0.5">
      <c r="B52" t="s">
        <v>1394</v>
      </c>
      <c r="C52" t="s">
        <v>1394</v>
      </c>
      <c r="D52" t="s">
        <v>8</v>
      </c>
    </row>
    <row r="53" spans="2:5" x14ac:dyDescent="0.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5">
      <c r="B54" t="s">
        <v>1393</v>
      </c>
      <c r="C54" t="s">
        <v>1470</v>
      </c>
      <c r="D54" t="s">
        <v>1229</v>
      </c>
    </row>
    <row r="55" spans="2:5" x14ac:dyDescent="0.5">
      <c r="B55" t="s">
        <v>1473</v>
      </c>
      <c r="C55" t="s">
        <v>1473</v>
      </c>
      <c r="D55" t="s">
        <v>8</v>
      </c>
    </row>
    <row r="56" spans="2:5" x14ac:dyDescent="0.5">
      <c r="B56" t="s">
        <v>1478</v>
      </c>
      <c r="C56" t="s">
        <v>1530</v>
      </c>
      <c r="D56" t="s">
        <v>1131</v>
      </c>
    </row>
    <row r="57" spans="2:5" x14ac:dyDescent="0.5">
      <c r="B57" t="s">
        <v>1480</v>
      </c>
      <c r="C57" t="s">
        <v>1486</v>
      </c>
      <c r="D57" t="s">
        <v>1229</v>
      </c>
    </row>
    <row r="58" spans="2:5" x14ac:dyDescent="0.5">
      <c r="B58" t="s">
        <v>1472</v>
      </c>
      <c r="C58" t="s">
        <v>1472</v>
      </c>
      <c r="D58" t="s">
        <v>8</v>
      </c>
    </row>
    <row r="59" spans="2:5" x14ac:dyDescent="0.5">
      <c r="B59" t="s">
        <v>1482</v>
      </c>
      <c r="C59" t="s">
        <v>1529</v>
      </c>
      <c r="D59" t="s">
        <v>1131</v>
      </c>
    </row>
    <row r="60" spans="2:5" x14ac:dyDescent="0.5">
      <c r="B60" t="s">
        <v>1484</v>
      </c>
      <c r="C60" t="s">
        <v>1534</v>
      </c>
      <c r="D60" t="s">
        <v>1229</v>
      </c>
    </row>
    <row r="61" spans="2:5" x14ac:dyDescent="0.5">
      <c r="B61" t="s">
        <v>1487</v>
      </c>
      <c r="C61" t="s">
        <v>1528</v>
      </c>
      <c r="D61" t="s">
        <v>8</v>
      </c>
    </row>
    <row r="62" spans="2:5" x14ac:dyDescent="0.5">
      <c r="B62" t="s">
        <v>1503</v>
      </c>
      <c r="C62" t="s">
        <v>1595</v>
      </c>
      <c r="D62" t="s">
        <v>1131</v>
      </c>
    </row>
    <row r="63" spans="2:5" x14ac:dyDescent="0.5">
      <c r="B63" t="s">
        <v>1518</v>
      </c>
      <c r="C63" t="s">
        <v>1533</v>
      </c>
      <c r="D63" t="s">
        <v>1229</v>
      </c>
    </row>
    <row r="64" spans="2:5" x14ac:dyDescent="0.5">
      <c r="B64" t="s">
        <v>1643</v>
      </c>
      <c r="C64" t="s">
        <v>1593</v>
      </c>
      <c r="D64" t="s">
        <v>8</v>
      </c>
    </row>
    <row r="65" spans="2:4" x14ac:dyDescent="0.5">
      <c r="B65" t="s">
        <v>1644</v>
      </c>
      <c r="C65" t="s">
        <v>1595</v>
      </c>
      <c r="D65" t="s">
        <v>1131</v>
      </c>
    </row>
    <row r="66" spans="2:4" x14ac:dyDescent="0.5">
      <c r="B66" t="s">
        <v>1645</v>
      </c>
      <c r="C66" t="s">
        <v>1594</v>
      </c>
      <c r="D66" t="s">
        <v>1229</v>
      </c>
    </row>
    <row r="67" spans="2:4" x14ac:dyDescent="0.5">
      <c r="B67" t="s">
        <v>1646</v>
      </c>
      <c r="C67" t="s">
        <v>1647</v>
      </c>
      <c r="D67" t="s">
        <v>8</v>
      </c>
    </row>
    <row r="68" spans="2:4" x14ac:dyDescent="0.5">
      <c r="B68" t="s">
        <v>1649</v>
      </c>
      <c r="C68" t="s">
        <v>1595</v>
      </c>
      <c r="D68" t="s">
        <v>1131</v>
      </c>
    </row>
    <row r="69" spans="2:4" x14ac:dyDescent="0.5">
      <c r="B69" t="s">
        <v>1650</v>
      </c>
      <c r="C69" t="s">
        <v>1648</v>
      </c>
      <c r="D69" t="s">
        <v>1229</v>
      </c>
    </row>
    <row r="70" spans="2:4" x14ac:dyDescent="0.5">
      <c r="B70" t="s">
        <v>1696</v>
      </c>
      <c r="C70" t="s">
        <v>1651</v>
      </c>
      <c r="D70" t="s">
        <v>8</v>
      </c>
    </row>
    <row r="71" spans="2:4" x14ac:dyDescent="0.5">
      <c r="B71" t="s">
        <v>1674</v>
      </c>
      <c r="C71" t="s">
        <v>1697</v>
      </c>
      <c r="D71" t="s">
        <v>1699</v>
      </c>
    </row>
    <row r="72" spans="2:4" x14ac:dyDescent="0.5">
      <c r="B72" t="s">
        <v>1685</v>
      </c>
      <c r="C72" t="s">
        <v>1698</v>
      </c>
      <c r="D72" t="s">
        <v>1700</v>
      </c>
    </row>
    <row r="73" spans="2:4" x14ac:dyDescent="0.5">
      <c r="B73" t="s">
        <v>1701</v>
      </c>
      <c r="C73" t="s">
        <v>1701</v>
      </c>
      <c r="D73" t="s">
        <v>442</v>
      </c>
    </row>
    <row r="74" spans="2:4" x14ac:dyDescent="0.5">
      <c r="B74" t="s">
        <v>1715</v>
      </c>
      <c r="C74" t="s">
        <v>1721</v>
      </c>
      <c r="D74" t="s">
        <v>442</v>
      </c>
    </row>
    <row r="75" spans="2:4" x14ac:dyDescent="0.5">
      <c r="B75" t="s">
        <v>1720</v>
      </c>
      <c r="C75" t="s">
        <v>1722</v>
      </c>
      <c r="D75" t="s">
        <v>8</v>
      </c>
    </row>
    <row r="76" spans="2:4" x14ac:dyDescent="0.5">
      <c r="B76" t="s">
        <v>1768</v>
      </c>
      <c r="C76" t="s">
        <v>1786</v>
      </c>
      <c r="D76" t="s">
        <v>8</v>
      </c>
    </row>
    <row r="77" spans="2:4" x14ac:dyDescent="0.5">
      <c r="B77" t="s">
        <v>1789</v>
      </c>
      <c r="C77" t="s">
        <v>1787</v>
      </c>
      <c r="D77" t="s">
        <v>1857</v>
      </c>
    </row>
    <row r="78" spans="2:4" x14ac:dyDescent="0.5">
      <c r="B78" t="s">
        <v>1856</v>
      </c>
      <c r="C78" t="s">
        <v>1859</v>
      </c>
      <c r="D78" t="s">
        <v>1858</v>
      </c>
    </row>
    <row r="79" spans="2:4" x14ac:dyDescent="0.5">
      <c r="B79" t="s">
        <v>1899</v>
      </c>
      <c r="C79" t="s">
        <v>1918</v>
      </c>
      <c r="D79" t="s">
        <v>1858</v>
      </c>
    </row>
    <row r="80" spans="2:4" x14ac:dyDescent="0.5">
      <c r="B80" t="s">
        <v>1900</v>
      </c>
      <c r="C80" t="s">
        <v>1919</v>
      </c>
      <c r="D80" t="s">
        <v>1858</v>
      </c>
    </row>
    <row r="81" spans="2:4" x14ac:dyDescent="0.5">
      <c r="B81" t="s">
        <v>1920</v>
      </c>
      <c r="C81" t="s">
        <v>1971</v>
      </c>
      <c r="D81" t="s">
        <v>1972</v>
      </c>
    </row>
    <row r="82" spans="2:4" x14ac:dyDescent="0.5">
      <c r="B82" t="s">
        <v>1973</v>
      </c>
      <c r="C82" t="s">
        <v>1974</v>
      </c>
      <c r="D82" t="s">
        <v>1975</v>
      </c>
    </row>
    <row r="83" spans="2:4" x14ac:dyDescent="0.5">
      <c r="B83" t="s">
        <v>1977</v>
      </c>
      <c r="C83" t="s">
        <v>1976</v>
      </c>
      <c r="D83" t="s">
        <v>1975</v>
      </c>
    </row>
    <row r="84" spans="2:4" x14ac:dyDescent="0.5">
      <c r="B84" t="s">
        <v>2121</v>
      </c>
      <c r="C84" t="s">
        <v>2131</v>
      </c>
      <c r="D84" t="s">
        <v>1975</v>
      </c>
    </row>
    <row r="85" spans="2:4" x14ac:dyDescent="0.5">
      <c r="B85" t="s">
        <v>2133</v>
      </c>
      <c r="C85" t="s">
        <v>2132</v>
      </c>
      <c r="D85" t="s">
        <v>1975</v>
      </c>
    </row>
    <row r="86" spans="2:4" x14ac:dyDescent="0.5">
      <c r="B86" t="s">
        <v>2143</v>
      </c>
      <c r="C86" t="s">
        <v>2155</v>
      </c>
      <c r="D86" t="s">
        <v>2154</v>
      </c>
    </row>
    <row r="87" spans="2:4" x14ac:dyDescent="0.5">
      <c r="B87" t="s">
        <v>2158</v>
      </c>
      <c r="C87" t="s">
        <v>2159</v>
      </c>
      <c r="D87" t="s">
        <v>2156</v>
      </c>
    </row>
    <row r="88" spans="2:4" x14ac:dyDescent="0.5">
      <c r="B88" t="s">
        <v>2178</v>
      </c>
      <c r="C88" t="s">
        <v>2179</v>
      </c>
      <c r="D88" t="s">
        <v>1857</v>
      </c>
    </row>
    <row r="89" spans="2:4" x14ac:dyDescent="0.5">
      <c r="B89" t="s">
        <v>2243</v>
      </c>
      <c r="C89" t="s">
        <v>2362</v>
      </c>
      <c r="D89" t="s">
        <v>1972</v>
      </c>
    </row>
    <row r="90" spans="2:4" x14ac:dyDescent="0.5">
      <c r="B90" t="s">
        <v>2294</v>
      </c>
      <c r="C90" t="s">
        <v>2363</v>
      </c>
      <c r="D90" t="s">
        <v>1972</v>
      </c>
    </row>
    <row r="91" spans="2:4" x14ac:dyDescent="0.5">
      <c r="B91" t="s">
        <v>2318</v>
      </c>
      <c r="C91" t="s">
        <v>2364</v>
      </c>
    </row>
    <row r="92" spans="2:4" x14ac:dyDescent="0.5">
      <c r="B92" t="s">
        <v>2342</v>
      </c>
      <c r="C92" t="s">
        <v>2365</v>
      </c>
    </row>
    <row r="93" spans="2:4" x14ac:dyDescent="0.5">
      <c r="B93" t="s">
        <v>2352</v>
      </c>
      <c r="C93" t="s">
        <v>2366</v>
      </c>
    </row>
    <row r="94" spans="2:4" x14ac:dyDescent="0.5">
      <c r="B94" t="s">
        <v>2367</v>
      </c>
      <c r="C94" t="s">
        <v>2447</v>
      </c>
      <c r="D94" t="s">
        <v>1858</v>
      </c>
    </row>
    <row r="95" spans="2:4" x14ac:dyDescent="0.5">
      <c r="B95" t="s">
        <v>2406</v>
      </c>
      <c r="C95" t="s">
        <v>2447</v>
      </c>
      <c r="D95" t="s">
        <v>1858</v>
      </c>
    </row>
    <row r="96" spans="2:4" x14ac:dyDescent="0.5">
      <c r="B96" t="s">
        <v>2429</v>
      </c>
      <c r="C96" t="s">
        <v>2447</v>
      </c>
      <c r="D96" t="s">
        <v>1858</v>
      </c>
    </row>
    <row r="97" spans="2:4" x14ac:dyDescent="0.5">
      <c r="B97" t="s">
        <v>2448</v>
      </c>
      <c r="C97" t="s">
        <v>2447</v>
      </c>
      <c r="D97" t="s">
        <v>2154</v>
      </c>
    </row>
    <row r="98" spans="2:4" x14ac:dyDescent="0.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T2340"/>
  <sheetViews>
    <sheetView tabSelected="1" topLeftCell="B1" zoomScale="70" zoomScaleNormal="70" workbookViewId="0">
      <pane xSplit="4" ySplit="1" topLeftCell="F721" activePane="bottomRight" state="frozen"/>
      <selection activeCell="B1" sqref="B1"/>
      <selection pane="topRight" activeCell="F1" sqref="F1"/>
      <selection pane="bottomLeft" activeCell="B2" sqref="B2"/>
      <selection pane="bottomRight" activeCell="N740" sqref="N740"/>
    </sheetView>
  </sheetViews>
  <sheetFormatPr defaultColWidth="11" defaultRowHeight="15.75" x14ac:dyDescent="0.5"/>
  <cols>
    <col min="1" max="1" width="11.5" bestFit="1" customWidth="1"/>
    <col min="2" max="2" width="10.6875" customWidth="1"/>
    <col min="3" max="3" width="6.5" customWidth="1"/>
    <col min="4" max="4" width="63.5625" customWidth="1"/>
    <col min="5" max="5" width="12.5" bestFit="1" customWidth="1"/>
    <col min="6" max="12" width="9.4375" customWidth="1"/>
    <col min="13" max="17" width="10" customWidth="1"/>
    <col min="18" max="18" width="15.4375" bestFit="1" customWidth="1"/>
  </cols>
  <sheetData>
    <row r="1" spans="1:19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2045</v>
      </c>
      <c r="M1" s="2">
        <v>2050</v>
      </c>
      <c r="N1" s="2">
        <v>2055</v>
      </c>
      <c r="O1" s="2">
        <v>2060</v>
      </c>
      <c r="P1" s="2">
        <v>2065</v>
      </c>
      <c r="Q1" s="2">
        <v>2070</v>
      </c>
    </row>
    <row r="2" spans="1:19" x14ac:dyDescent="0.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300.18596437119794</v>
      </c>
      <c r="G2" s="3">
        <f t="shared" ref="G2:K2" si="0">G3+G8+G11+G12+G16+G17+G18+G19</f>
        <v>293.40424798019797</v>
      </c>
      <c r="H2" s="3">
        <f t="shared" si="0"/>
        <v>330.82767695287816</v>
      </c>
      <c r="I2" s="3">
        <f t="shared" si="0"/>
        <v>377.36447115686872</v>
      </c>
      <c r="J2" s="3">
        <f t="shared" si="0"/>
        <v>423.72200694199057</v>
      </c>
      <c r="K2" s="3">
        <f t="shared" si="0"/>
        <v>437.02999698928903</v>
      </c>
      <c r="L2" s="3">
        <f t="shared" ref="L2:O2" si="1">L3+L8+L11+L12+L16+L17+L18+L19</f>
        <v>467.1045963615656</v>
      </c>
      <c r="M2" s="3">
        <f t="shared" si="1"/>
        <v>515.43359328438748</v>
      </c>
      <c r="N2" s="3">
        <f t="shared" si="1"/>
        <v>523.8156081067882</v>
      </c>
      <c r="O2" s="3">
        <f t="shared" si="1"/>
        <v>529.63193998803115</v>
      </c>
      <c r="P2" s="3">
        <f>P3+P8+P11+P12+P16+P17+P18+P19</f>
        <v>534.80355285682299</v>
      </c>
      <c r="Q2" s="3">
        <f>Q3+Q8+Q11+Q12+Q16+Q17+Q18+Q19</f>
        <v>540.33636511703742</v>
      </c>
      <c r="S2" s="3"/>
    </row>
    <row r="3" spans="1:19" x14ac:dyDescent="0.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44.972430150203706</v>
      </c>
      <c r="G3" s="1">
        <f t="shared" ref="G3:K3" si="4">SUM(G4:G7)</f>
        <v>48.190468340232798</v>
      </c>
      <c r="H3" s="1">
        <f t="shared" si="4"/>
        <v>48.190468799695324</v>
      </c>
      <c r="I3" s="1">
        <f t="shared" si="4"/>
        <v>48.190468692460705</v>
      </c>
      <c r="J3" s="1">
        <f t="shared" si="4"/>
        <v>48.190473444580988</v>
      </c>
      <c r="K3" s="1">
        <f t="shared" si="4"/>
        <v>48.190475370863595</v>
      </c>
      <c r="L3" s="1">
        <f t="shared" ref="L3:O3" si="5">SUM(L4:L7)</f>
        <v>48.955937459682929</v>
      </c>
      <c r="M3" s="1">
        <f t="shared" si="5"/>
        <v>62.702713938561189</v>
      </c>
      <c r="N3" s="1">
        <f t="shared" si="5"/>
        <v>62.76148116992384</v>
      </c>
      <c r="O3" s="1">
        <f t="shared" si="5"/>
        <v>62.820247634934823</v>
      </c>
      <c r="P3" s="1">
        <f>SUM(P4:P7)</f>
        <v>62.879015561420111</v>
      </c>
      <c r="Q3" s="1">
        <f>SUM(Q4:Q7)</f>
        <v>62.879081853382687</v>
      </c>
      <c r="S3" s="3"/>
    </row>
    <row r="4" spans="1:19" x14ac:dyDescent="0.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11.111877032987927</v>
      </c>
      <c r="G4" s="1" cm="1">
        <f t="array" ref="G4">SUMPRODUCT(("RNWWOD1"=[1]OUT_PrimaryEnergyCons!$A$1:$A$1000)*1,[1]OUT_PrimaryEnergyCons!E$1:E$1000)</f>
        <v>11.952883351202921</v>
      </c>
      <c r="H4" s="1" cm="1">
        <f t="array" ref="H4">SUMPRODUCT(("RNWWOD1"=[1]OUT_PrimaryEnergyCons!$A$1:$A$1000)*1,[1]OUT_PrimaryEnergyCons!F$1:F$1000)</f>
        <v>13.214393450880591</v>
      </c>
      <c r="I4" s="1" cm="1">
        <f t="array" ref="I4">SUMPRODUCT(("RNWWOD1"=[1]OUT_PrimaryEnergyCons!$A$1:$A$1000)*1,[1]OUT_PrimaryEnergyCons!G$1:G$1000)</f>
        <v>15.316910482239747</v>
      </c>
      <c r="J4" s="1" cm="1">
        <f t="array" ref="J4">SUMPRODUCT(("RNWWOD1"=[1]OUT_PrimaryEnergyCons!$A$1:$A$1000)*1,[1]OUT_PrimaryEnergyCons!H$1:H$1000)</f>
        <v>15.849140052807389</v>
      </c>
      <c r="K4" s="1" cm="1">
        <f t="array" ref="K4">SUMPRODUCT(("RNWWOD1"=[1]OUT_PrimaryEnergyCons!$A$1:$A$1000)*1,[1]OUT_PrimaryEnergyCons!I$1:I$1000)</f>
        <v>16.266397183381031</v>
      </c>
      <c r="L4" s="1" cm="1">
        <f t="array" ref="L4">SUMPRODUCT(("RNWWOD1"=[1]OUT_PrimaryEnergyCons!$A$1:$A$1000)*1,[1]OUT_PrimaryEnergyCons!J$1:J$1000)</f>
        <v>16.611696422807853</v>
      </c>
      <c r="M4" s="1" cm="1">
        <f t="array" ref="M4">SUMPRODUCT(("RNWWOD1"=[1]OUT_PrimaryEnergyCons!$A$1:$A$1000)*1,[1]OUT_PrimaryEnergyCons!K$1:K$1000)</f>
        <v>16.956995017641336</v>
      </c>
      <c r="N4" s="1" cm="1">
        <f t="array" ref="N4">SUMPRODUCT(("RNWWOD1"=[1]OUT_PrimaryEnergyCons!$A$1:$A$1000)*1,[1]OUT_PrimaryEnergyCons!L$1:L$1000)</f>
        <v>17.015762407958409</v>
      </c>
      <c r="O4" s="1" cm="1">
        <f t="array" ref="O4">SUMPRODUCT(("RNWWOD1"=[1]OUT_PrimaryEnergyCons!$A$1:$A$1000)*1,[1]OUT_PrimaryEnergyCons!M$1:M$1000)</f>
        <v>17.074529588978937</v>
      </c>
      <c r="P4" s="1" cm="1">
        <f t="array" ref="P4">SUMPRODUCT(("RNWWOD1"=[1]OUT_PrimaryEnergyCons!$A$1:$A$1000)*1,[1]OUT_PrimaryEnergyCons!N$1:N$1000)</f>
        <v>17.133297138987189</v>
      </c>
      <c r="Q4" s="1" cm="1">
        <f t="array" ref="Q4">SUMPRODUCT(("RNWWOD1"=[1]OUT_PrimaryEnergyCons!$A$1:$A$1000)*1,[1]OUT_PrimaryEnergyCons!O$1:O$1000)</f>
        <v>17.192064517942612</v>
      </c>
      <c r="S4" s="3"/>
    </row>
    <row r="5" spans="1:19" x14ac:dyDescent="0.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7.5116700612773393</v>
      </c>
      <c r="G5" s="1" cm="1">
        <f t="array" ref="G5">SUMPRODUCT(("RNWWOD2"=[1]OUT_PrimaryEnergyCons!$A$1:$A$1000)*1,[1]OUT_PrimaryEnergyCons!E$1:E$1000)</f>
        <v>7.5431410951356481</v>
      </c>
      <c r="H5" s="1" cm="1">
        <f t="array" ref="H5">SUMPRODUCT(("RNWWOD2"=[1]OUT_PrimaryEnergyCons!$A$1:$A$1000)*1,[1]OUT_PrimaryEnergyCons!F$1:F$1000)</f>
        <v>7.5903482623027339</v>
      </c>
      <c r="I5" s="1" cm="1">
        <f t="array" ref="I5">SUMPRODUCT(("RNWWOD2"=[1]OUT_PrimaryEnergyCons!$A$1:$A$1000)*1,[1]OUT_PrimaryEnergyCons!G$1:G$1000)</f>
        <v>7.6690270797249029</v>
      </c>
      <c r="J5" s="1" cm="1">
        <f t="array" ref="J5">SUMPRODUCT(("RNWWOD2"=[1]OUT_PrimaryEnergyCons!$A$1:$A$1000)*1,[1]OUT_PrimaryEnergyCons!H$1:H$1000)</f>
        <v>7.6690270949890209</v>
      </c>
      <c r="K5" s="1" cm="1">
        <f t="array" ref="K5">SUMPRODUCT(("RNWWOD2"=[1]OUT_PrimaryEnergyCons!$A$1:$A$1000)*1,[1]OUT_PrimaryEnergyCons!I$1:I$1000)</f>
        <v>7.669027306527946</v>
      </c>
      <c r="L5" s="1" cm="1">
        <f t="array" ref="L5">SUMPRODUCT(("RNWWOD2"=[1]OUT_PrimaryEnergyCons!$A$1:$A$1000)*1,[1]OUT_PrimaryEnergyCons!J$1:J$1000)</f>
        <v>7.6690270117133625</v>
      </c>
      <c r="M5" s="1" cm="1">
        <f t="array" ref="M5">SUMPRODUCT(("RNWWOD2"=[1]OUT_PrimaryEnergyCons!$A$1:$A$1000)*1,[1]OUT_PrimaryEnergyCons!K$1:K$1000)</f>
        <v>7.669027661793395</v>
      </c>
      <c r="N5" s="1" cm="1">
        <f t="array" ref="N5">SUMPRODUCT(("RNWWOD2"=[1]OUT_PrimaryEnergyCons!$A$1:$A$1000)*1,[1]OUT_PrimaryEnergyCons!L$1:L$1000)</f>
        <v>7.6690275271258788</v>
      </c>
      <c r="O5" s="1" cm="1">
        <f t="array" ref="O5">SUMPRODUCT(("RNWWOD2"=[1]OUT_PrimaryEnergyCons!$A$1:$A$1000)*1,[1]OUT_PrimaryEnergyCons!M$1:M$1000)</f>
        <v>7.669027365466067</v>
      </c>
      <c r="P5" s="1" cm="1">
        <f t="array" ref="P5">SUMPRODUCT(("RNWWOD2"=[1]OUT_PrimaryEnergyCons!$A$1:$A$1000)*1,[1]OUT_PrimaryEnergyCons!N$1:N$1000)</f>
        <v>7.6690274840187067</v>
      </c>
      <c r="Q5" s="1" cm="1">
        <f t="array" ref="Q5">SUMPRODUCT(("RNWWOD2"=[1]OUT_PrimaryEnergyCons!$A$1:$A$1000)*1,[1]OUT_PrimaryEnergyCons!O$1:O$1000)</f>
        <v>7.6690274245014693</v>
      </c>
      <c r="S5" s="3"/>
    </row>
    <row r="6" spans="1:19" x14ac:dyDescent="0.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3.1682438450748145</v>
      </c>
      <c r="G6" s="1" cm="1">
        <f t="array" ref="G6">SUMPRODUCT(("RNWWOD3"=[1]OUT_PrimaryEnergyCons!$A$1:$A$1000)*1,[1]OUT_PrimaryEnergyCons!E$1:E$1000)</f>
        <v>3.4956715997428764</v>
      </c>
      <c r="H6" s="1" cm="1">
        <f t="array" ref="H6">SUMPRODUCT(("RNWWOD3"=[1]OUT_PrimaryEnergyCons!$A$1:$A$1000)*1,[1]OUT_PrimaryEnergyCons!F$1:F$1000)</f>
        <v>3.9868143915569592</v>
      </c>
      <c r="I6" s="1" cm="1">
        <f t="array" ref="I6">SUMPRODUCT(("RNWWOD3"=[1]OUT_PrimaryEnergyCons!$A$1:$A$1000)*1,[1]OUT_PrimaryEnergyCons!G$1:G$1000)</f>
        <v>4.8053861827720157</v>
      </c>
      <c r="J6" s="1" cm="1">
        <f t="array" ref="J6">SUMPRODUCT(("RNWWOD3"=[1]OUT_PrimaryEnergyCons!$A$1:$A$1000)*1,[1]OUT_PrimaryEnergyCons!H$1:H$1000)</f>
        <v>4.8053858729452159</v>
      </c>
      <c r="K6" s="1" cm="1">
        <f t="array" ref="K6">SUMPRODUCT(("RNWWOD3"=[1]OUT_PrimaryEnergyCons!$A$1:$A$1000)*1,[1]OUT_PrimaryEnergyCons!I$1:I$1000)</f>
        <v>4.805386077033508</v>
      </c>
      <c r="L6" s="1" cm="1">
        <f t="array" ref="L6">SUMPRODUCT(("RNWWOD3"=[1]OUT_PrimaryEnergyCons!$A$1:$A$1000)*1,[1]OUT_PrimaryEnergyCons!J$1:J$1000)</f>
        <v>4.8053862809074159</v>
      </c>
      <c r="M6" s="1" cm="1">
        <f t="array" ref="M6">SUMPRODUCT(("RNWWOD3"=[1]OUT_PrimaryEnergyCons!$A$1:$A$1000)*1,[1]OUT_PrimaryEnergyCons!K$1:K$1000)</f>
        <v>4.8053869927758068</v>
      </c>
      <c r="N6" s="1" cm="1">
        <f t="array" ref="N6">SUMPRODUCT(("RNWWOD3"=[1]OUT_PrimaryEnergyCons!$A$1:$A$1000)*1,[1]OUT_PrimaryEnergyCons!L$1:L$1000)</f>
        <v>4.8053864773041486</v>
      </c>
      <c r="O6" s="1" cm="1">
        <f t="array" ref="O6">SUMPRODUCT(("RNWWOD3"=[1]OUT_PrimaryEnergyCons!$A$1:$A$1000)*1,[1]OUT_PrimaryEnergyCons!M$1:M$1000)</f>
        <v>4.8053866866634056</v>
      </c>
      <c r="P6" s="1" cm="1">
        <f t="array" ref="P6">SUMPRODUCT(("RNWWOD3"=[1]OUT_PrimaryEnergyCons!$A$1:$A$1000)*1,[1]OUT_PrimaryEnergyCons!N$1:N$1000)</f>
        <v>4.8053863630643141</v>
      </c>
      <c r="Q6" s="1" cm="1">
        <f t="array" ref="Q6">SUMPRODUCT(("RNWWOD3"=[1]OUT_PrimaryEnergyCons!$A$1:$A$1000)*1,[1]OUT_PrimaryEnergyCons!O$1:O$1000)</f>
        <v>4.8053865802763482</v>
      </c>
      <c r="S6" s="3"/>
    </row>
    <row r="7" spans="1:19" x14ac:dyDescent="0.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23.180639210863621</v>
      </c>
      <c r="G7" s="1" cm="1">
        <f t="array" ref="G7">SUMPRODUCT(("RNWWOD4"=[1]OUT_PrimaryEnergyCons!$A$1:$A$1000)*1+("RNWWOD5"=[1]OUT_PrimaryEnergyCons!$A$1:$A$1000)*1,[1]OUT_PrimaryEnergyCons!E$1:E$1000)</f>
        <v>25.198772294151354</v>
      </c>
      <c r="H7" s="1" cm="1">
        <f t="array" ref="H7">SUMPRODUCT(("RNWWOD4"=[1]OUT_PrimaryEnergyCons!$A$1:$A$1000)*1+("RNWWOD5"=[1]OUT_PrimaryEnergyCons!$A$1:$A$1000)*1,[1]OUT_PrimaryEnergyCons!F$1:F$1000)</f>
        <v>23.39891269495504</v>
      </c>
      <c r="I7" s="1" cm="1">
        <f t="array" ref="I7">SUMPRODUCT(("RNWWOD4"=[1]OUT_PrimaryEnergyCons!$A$1:$A$1000)*1+("RNWWOD5"=[1]OUT_PrimaryEnergyCons!$A$1:$A$1000)*1,[1]OUT_PrimaryEnergyCons!G$1:G$1000)</f>
        <v>20.399144947724039</v>
      </c>
      <c r="J7" s="1" cm="1">
        <f t="array" ref="J7">SUMPRODUCT(("RNWWOD4"=[1]OUT_PrimaryEnergyCons!$A$1:$A$1000)*1+("RNWWOD5"=[1]OUT_PrimaryEnergyCons!$A$1:$A$1000)*1,[1]OUT_PrimaryEnergyCons!H$1:H$1000)</f>
        <v>19.866920423839364</v>
      </c>
      <c r="K7" s="1" cm="1">
        <f t="array" ref="K7">SUMPRODUCT(("RNWWOD4"=[1]OUT_PrimaryEnergyCons!$A$1:$A$1000)*1+("RNWWOD5"=[1]OUT_PrimaryEnergyCons!$A$1:$A$1000)*1,[1]OUT_PrimaryEnergyCons!I$1:I$1000)</f>
        <v>19.449664803921113</v>
      </c>
      <c r="L7" s="1" cm="1">
        <f t="array" ref="L7">SUMPRODUCT(("RNWWOD4"=[1]OUT_PrimaryEnergyCons!$A$1:$A$1000)*1+("RNWWOD5"=[1]OUT_PrimaryEnergyCons!$A$1:$A$1000)*1,[1]OUT_PrimaryEnergyCons!J$1:J$1000)</f>
        <v>19.869827744254302</v>
      </c>
      <c r="M7" s="1" cm="1">
        <f t="array" ref="M7">SUMPRODUCT(("RNWWOD4"=[1]OUT_PrimaryEnergyCons!$A$1:$A$1000)*1+("RNWWOD5"=[1]OUT_PrimaryEnergyCons!$A$1:$A$1000)*1,[1]OUT_PrimaryEnergyCons!K$1:K$1000)</f>
        <v>33.271304266350647</v>
      </c>
      <c r="N7" s="1" cm="1">
        <f t="array" ref="N7">SUMPRODUCT(("RNWWOD4"=[1]OUT_PrimaryEnergyCons!$A$1:$A$1000)*1+("RNWWOD5"=[1]OUT_PrimaryEnergyCons!$A$1:$A$1000)*1,[1]OUT_PrimaryEnergyCons!L$1:L$1000)</f>
        <v>33.271304757535404</v>
      </c>
      <c r="O7" s="1" cm="1">
        <f t="array" ref="O7">SUMPRODUCT(("RNWWOD4"=[1]OUT_PrimaryEnergyCons!$A$1:$A$1000)*1+("RNWWOD5"=[1]OUT_PrimaryEnergyCons!$A$1:$A$1000)*1,[1]OUT_PrimaryEnergyCons!M$1:M$1000)</f>
        <v>33.271303993826415</v>
      </c>
      <c r="P7" s="1" cm="1">
        <f t="array" ref="P7">SUMPRODUCT(("RNWWOD4"=[1]OUT_PrimaryEnergyCons!$A$1:$A$1000)*1+("RNWWOD5"=[1]OUT_PrimaryEnergyCons!$A$1:$A$1000)*1,[1]OUT_PrimaryEnergyCons!N$1:N$1000)</f>
        <v>33.271304575349902</v>
      </c>
      <c r="Q7" s="1" cm="1">
        <f t="array" ref="Q7">SUMPRODUCT(("RNWWOD4"=[1]OUT_PrimaryEnergyCons!$A$1:$A$1000)*1+("RNWWOD5"=[1]OUT_PrimaryEnergyCons!$A$1:$A$1000)*1,[1]OUT_PrimaryEnergyCons!O$1:O$1000)</f>
        <v>33.212603330662255</v>
      </c>
      <c r="S7" s="3"/>
    </row>
    <row r="8" spans="1:19" x14ac:dyDescent="0.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70.031496805412786</v>
      </c>
      <c r="G8" s="1">
        <f t="shared" ref="G8:K8" si="9">SUM(G9:G10)</f>
        <v>70.222529493027196</v>
      </c>
      <c r="H8" s="1">
        <f t="shared" si="9"/>
        <v>69.829612014060672</v>
      </c>
      <c r="I8" s="1">
        <f t="shared" si="9"/>
        <v>69.380114034114001</v>
      </c>
      <c r="J8" s="1">
        <f t="shared" si="9"/>
        <v>69.277736093407725</v>
      </c>
      <c r="K8" s="1">
        <f t="shared" si="9"/>
        <v>69.499612453489931</v>
      </c>
      <c r="L8" s="1">
        <f t="shared" ref="L8:O8" si="10">SUM(L9:L10)</f>
        <v>75.925871004608155</v>
      </c>
      <c r="M8" s="1">
        <f t="shared" si="10"/>
        <v>77.503830460523346</v>
      </c>
      <c r="N8" s="1">
        <f t="shared" si="10"/>
        <v>78.298967778958385</v>
      </c>
      <c r="O8" s="1">
        <f t="shared" si="10"/>
        <v>78.586018620180937</v>
      </c>
      <c r="P8" s="1">
        <f>SUM(P9:P10)</f>
        <v>78.873064283887999</v>
      </c>
      <c r="Q8" s="1">
        <f>SUM(Q9:Q10)</f>
        <v>79.16010195137936</v>
      </c>
      <c r="S8" s="3"/>
    </row>
    <row r="9" spans="1:19" x14ac:dyDescent="0.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35.931063946332678</v>
      </c>
      <c r="G9" s="1" cm="1">
        <f t="array" ref="G9">SUMPRODUCT(("RNNWWST1"=[1]OUT_PrimaryEnergyCons!$A$1:$A$1000)*1,[1]OUT_PrimaryEnergyCons!E$1:E$1000)</f>
        <v>35.882383470465989</v>
      </c>
      <c r="H9" s="1" cm="1">
        <f t="array" ref="H9">SUMPRODUCT(("RNNWWST1"=[1]OUT_PrimaryEnergyCons!$A$1:$A$1000)*1,[1]OUT_PrimaryEnergyCons!F$1:F$1000)</f>
        <v>35.489464783050352</v>
      </c>
      <c r="I9" s="1" cm="1">
        <f t="array" ref="I9">SUMPRODUCT(("RNNWWST1"=[1]OUT_PrimaryEnergyCons!$A$1:$A$1000)*1,[1]OUT_PrimaryEnergyCons!G$1:G$1000)</f>
        <v>35.0399641978399</v>
      </c>
      <c r="J9" s="1" cm="1">
        <f t="array" ref="J9">SUMPRODUCT(("RNNWWST1"=[1]OUT_PrimaryEnergyCons!$A$1:$A$1000)*1,[1]OUT_PrimaryEnergyCons!H$1:H$1000)</f>
        <v>34.937583932185426</v>
      </c>
      <c r="K9" s="1" cm="1">
        <f t="array" ref="K9">SUMPRODUCT(("RNNWWST1"=[1]OUT_PrimaryEnergyCons!$A$1:$A$1000)*1,[1]OUT_PrimaryEnergyCons!I$1:I$1000)</f>
        <v>35.15945488753237</v>
      </c>
      <c r="L9" s="1" cm="1">
        <f t="array" ref="L9">SUMPRODUCT(("RNNWWST1"=[1]OUT_PrimaryEnergyCons!$A$1:$A$1000)*1,[1]OUT_PrimaryEnergyCons!J$1:J$1000)</f>
        <v>35.381326485695013</v>
      </c>
      <c r="M9" s="1" cm="1">
        <f t="array" ref="M9">SUMPRODUCT(("RNNWWST1"=[1]OUT_PrimaryEnergyCons!$A$1:$A$1000)*1,[1]OUT_PrimaryEnergyCons!K$1:K$1000)</f>
        <v>35.603181710197049</v>
      </c>
      <c r="N9" s="1" cm="1">
        <f t="array" ref="N9">SUMPRODUCT(("RNNWWST1"=[1]OUT_PrimaryEnergyCons!$A$1:$A$1000)*1,[1]OUT_PrimaryEnergyCons!L$1:L$1000)</f>
        <v>35.603176964620744</v>
      </c>
      <c r="O9" s="1" cm="1">
        <f t="array" ref="O9">SUMPRODUCT(("RNNWWST1"=[1]OUT_PrimaryEnergyCons!$A$1:$A$1000)*1,[1]OUT_PrimaryEnergyCons!M$1:M$1000)</f>
        <v>35.603177393766998</v>
      </c>
      <c r="P9" s="1" cm="1">
        <f t="array" ref="P9">SUMPRODUCT(("RNNWWST1"=[1]OUT_PrimaryEnergyCons!$A$1:$A$1000)*1,[1]OUT_PrimaryEnergyCons!N$1:N$1000)</f>
        <v>35.603176732623403</v>
      </c>
      <c r="Q9" s="1" cm="1">
        <f t="array" ref="Q9">SUMPRODUCT(("RNNWWST1"=[1]OUT_PrimaryEnergyCons!$A$1:$A$1000)*1,[1]OUT_PrimaryEnergyCons!O$1:O$1000)</f>
        <v>35.603178844762773</v>
      </c>
      <c r="S9" s="3"/>
    </row>
    <row r="10" spans="1:19" x14ac:dyDescent="0.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34.100432859080108</v>
      </c>
      <c r="G10" s="1" cm="1">
        <f t="array" ref="G10">SUMPRODUCT(("RNWWST1"=[1]OUT_PrimaryEnergyCons!$A$1:$A$1000)*1,[1]OUT_PrimaryEnergyCons!E$1:E$1000)</f>
        <v>34.340146022561207</v>
      </c>
      <c r="H10" s="1" cm="1">
        <f t="array" ref="H10">SUMPRODUCT(("RNWWST1"=[1]OUT_PrimaryEnergyCons!$A$1:$A$1000)*1,[1]OUT_PrimaryEnergyCons!F$1:F$1000)</f>
        <v>34.340147231010327</v>
      </c>
      <c r="I10" s="1" cm="1">
        <f t="array" ref="I10">SUMPRODUCT(("RNWWST1"=[1]OUT_PrimaryEnergyCons!$A$1:$A$1000)*1,[1]OUT_PrimaryEnergyCons!G$1:G$1000)</f>
        <v>34.340149836274101</v>
      </c>
      <c r="J10" s="1" cm="1">
        <f t="array" ref="J10">SUMPRODUCT(("RNWWST1"=[1]OUT_PrimaryEnergyCons!$A$1:$A$1000)*1,[1]OUT_PrimaryEnergyCons!H$1:H$1000)</f>
        <v>34.340152161222306</v>
      </c>
      <c r="K10" s="1" cm="1">
        <f t="array" ref="K10">SUMPRODUCT(("RNWWST1"=[1]OUT_PrimaryEnergyCons!$A$1:$A$1000)*1,[1]OUT_PrimaryEnergyCons!I$1:I$1000)</f>
        <v>34.340157565957561</v>
      </c>
      <c r="L10" s="1" cm="1">
        <f t="array" ref="L10">SUMPRODUCT(("RNWWST1"=[1]OUT_PrimaryEnergyCons!$A$1:$A$1000)*1,[1]OUT_PrimaryEnergyCons!J$1:J$1000)</f>
        <v>40.544544518913149</v>
      </c>
      <c r="M10" s="1" cm="1">
        <f t="array" ref="M10">SUMPRODUCT(("RNWWST1"=[1]OUT_PrimaryEnergyCons!$A$1:$A$1000)*1,[1]OUT_PrimaryEnergyCons!K$1:K$1000)</f>
        <v>41.900648750326305</v>
      </c>
      <c r="N10" s="1" cm="1">
        <f t="array" ref="N10">SUMPRODUCT(("RNWWST1"=[1]OUT_PrimaryEnergyCons!$A$1:$A$1000)*1,[1]OUT_PrimaryEnergyCons!L$1:L$1000)</f>
        <v>42.695790814337641</v>
      </c>
      <c r="O10" s="1" cm="1">
        <f t="array" ref="O10">SUMPRODUCT(("RNWWST1"=[1]OUT_PrimaryEnergyCons!$A$1:$A$1000)*1,[1]OUT_PrimaryEnergyCons!M$1:M$1000)</f>
        <v>42.982841226413939</v>
      </c>
      <c r="P10" s="1" cm="1">
        <f t="array" ref="P10">SUMPRODUCT(("RNWWST1"=[1]OUT_PrimaryEnergyCons!$A$1:$A$1000)*1,[1]OUT_PrimaryEnergyCons!N$1:N$1000)</f>
        <v>43.269887551264596</v>
      </c>
      <c r="Q10" s="1" cm="1">
        <f t="array" ref="Q10">SUMPRODUCT(("RNWWST1"=[1]OUT_PrimaryEnergyCons!$A$1:$A$1000)*1,[1]OUT_PrimaryEnergyCons!O$1:O$1000)</f>
        <v>43.556923106616587</v>
      </c>
      <c r="S10" s="3"/>
    </row>
    <row r="11" spans="1:19" x14ac:dyDescent="0.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3.7980812744427261</v>
      </c>
      <c r="G11" s="1" cm="1">
        <f t="array" ref="G11">SUMPRODUCT(("mnr"=[1]OUT_PrimaryEnergyCons!$C$1:$C$1000)*1,[1]OUT_PrimaryEnergyCons!E$1:E$1000)</f>
        <v>10.104624498381034</v>
      </c>
      <c r="H11" s="1" cm="1">
        <f t="array" ref="H11">SUMPRODUCT(("mnr"=[1]OUT_PrimaryEnergyCons!$C$1:$C$1000)*1,[1]OUT_PrimaryEnergyCons!F$1:F$1000)</f>
        <v>12.540343482730803</v>
      </c>
      <c r="I11" s="1" cm="1">
        <f t="array" ref="I11">SUMPRODUCT(("mnr"=[1]OUT_PrimaryEnergyCons!$C$1:$C$1000)*1,[1]OUT_PrimaryEnergyCons!G$1:G$1000)</f>
        <v>12.540426352787197</v>
      </c>
      <c r="J11" s="1" cm="1">
        <f t="array" ref="J11">SUMPRODUCT(("mnr"=[1]OUT_PrimaryEnergyCons!$C$1:$C$1000)*1,[1]OUT_PrimaryEnergyCons!H$1:H$1000)</f>
        <v>12.540427040899422</v>
      </c>
      <c r="K11" s="1" cm="1">
        <f t="array" ref="K11">SUMPRODUCT(("mnr"=[1]OUT_PrimaryEnergyCons!$C$1:$C$1000)*1,[1]OUT_PrimaryEnergyCons!I$1:I$1000)</f>
        <v>12.541358602022685</v>
      </c>
      <c r="L11" s="1" cm="1">
        <f t="array" ref="L11">SUMPRODUCT(("mnr"=[1]OUT_PrimaryEnergyCons!$C$1:$C$1000)*1,[1]OUT_PrimaryEnergyCons!J$1:J$1000)</f>
        <v>12.544035058279368</v>
      </c>
      <c r="M11" s="1" cm="1">
        <f t="array" ref="M11">SUMPRODUCT(("mnr"=[1]OUT_PrimaryEnergyCons!$C$1:$C$1000)*1,[1]OUT_PrimaryEnergyCons!K$1:K$1000)</f>
        <v>18.811868762304609</v>
      </c>
      <c r="N11" s="1" cm="1">
        <f t="array" ref="N11">SUMPRODUCT(("mnr"=[1]OUT_PrimaryEnergyCons!$C$1:$C$1000)*1,[1]OUT_PrimaryEnergyCons!L$1:L$1000)</f>
        <v>18.811870497092496</v>
      </c>
      <c r="O11" s="1" cm="1">
        <f t="array" ref="O11">SUMPRODUCT(("mnr"=[1]OUT_PrimaryEnergyCons!$C$1:$C$1000)*1,[1]OUT_PrimaryEnergyCons!M$1:M$1000)</f>
        <v>18.811915777362938</v>
      </c>
      <c r="P11" s="1" cm="1">
        <f t="array" ref="P11">SUMPRODUCT(("mnr"=[1]OUT_PrimaryEnergyCons!$C$1:$C$1000)*1,[1]OUT_PrimaryEnergyCons!N$1:N$1000)</f>
        <v>18.811920036107505</v>
      </c>
      <c r="Q11" s="1" cm="1">
        <f t="array" ref="Q11">SUMPRODUCT(("mnr"=[1]OUT_PrimaryEnergyCons!$C$1:$C$1000)*1,[1]OUT_PrimaryEnergyCons!O$1:O$1000)</f>
        <v>18.812258139220642</v>
      </c>
      <c r="S11" s="3"/>
    </row>
    <row r="12" spans="1:19" x14ac:dyDescent="0.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149.43048217680149</v>
      </c>
      <c r="G12" s="1">
        <f t="shared" ref="G12:K12" si="11">SUM(G13:G15)</f>
        <v>125.60467105526772</v>
      </c>
      <c r="H12" s="1">
        <f t="shared" si="11"/>
        <v>140.92857834063167</v>
      </c>
      <c r="I12" s="1">
        <f t="shared" si="11"/>
        <v>151.14219067521708</v>
      </c>
      <c r="J12" s="1">
        <f t="shared" si="11"/>
        <v>151.52031834656964</v>
      </c>
      <c r="K12" s="1">
        <f t="shared" si="11"/>
        <v>151.60430582580517</v>
      </c>
      <c r="L12" s="1">
        <f t="shared" ref="L12:O12" si="12">SUM(L13:L15)</f>
        <v>151.90474981202351</v>
      </c>
      <c r="M12" s="1">
        <f t="shared" si="12"/>
        <v>152.03914992341686</v>
      </c>
      <c r="N12" s="1">
        <f t="shared" si="12"/>
        <v>152.10056665268445</v>
      </c>
      <c r="O12" s="1">
        <f t="shared" si="12"/>
        <v>152.1571558959526</v>
      </c>
      <c r="P12" s="1">
        <f>SUM(P13:P15)</f>
        <v>152.22704092726948</v>
      </c>
      <c r="Q12" s="1">
        <f>SUM(Q13:Q15)</f>
        <v>152.28654890645248</v>
      </c>
      <c r="S12" s="3"/>
    </row>
    <row r="13" spans="1:19" x14ac:dyDescent="0.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66.745680071503884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49.798799722391109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68.759993668574865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70.434312649408767</v>
      </c>
      <c r="J13" s="1" cm="1">
        <f t="array" ref="J13">SUMPRODUCT(ISNUMBER(SEARCH("EHYD-DAM",[1]OUT_Electricity_CHP!$B$1:$B$10000))*1,([1]OUT_Electricity_CHP!$C$1:$C$10000="Var_Fout")*1,ISNUMBER(SEARCH("ELC",[1]OUT_Electricity_CHP!$D$1:$D$10000))*1,[1]OUT_Electricity_CHP!I$1:I$10000)</f>
        <v>71.412657219040256</v>
      </c>
      <c r="K13" s="1" cm="1">
        <f t="array" ref="K13">SUMPRODUCT(ISNUMBER(SEARCH("EHYD-DAM",[1]OUT_Electricity_CHP!$B$1:$B$10000))*1,([1]OUT_Electricity_CHP!$C$1:$C$10000="Var_Fout")*1,ISNUMBER(SEARCH("ELC",[1]OUT_Electricity_CHP!$D$1:$D$10000))*1,[1]OUT_Electricity_CHP!J$1:J$10000)</f>
        <v>72.497173234813303</v>
      </c>
      <c r="L13" s="1" cm="1">
        <f t="array" ref="L13">SUMPRODUCT(ISNUMBER(SEARCH("EHYD-DAM",[1]OUT_Electricity_CHP!$B$1:$B$10000))*1,([1]OUT_Electricity_CHP!$C$1:$C$10000="Var_Fout")*1,ISNUMBER(SEARCH("ELC",[1]OUT_Electricity_CHP!$D$1:$D$10000))*1,[1]OUT_Electricity_CHP!K$1:K$10000)</f>
        <v>73.751259760003663</v>
      </c>
      <c r="M13" s="1" cm="1">
        <f t="array" ref="M13">SUMPRODUCT(ISNUMBER(SEARCH("EHYD-DAM",[1]OUT_Electricity_CHP!$B$1:$B$10000))*1,([1]OUT_Electricity_CHP!$C$1:$C$10000="Var_Fout")*1,ISNUMBER(SEARCH("ELC",[1]OUT_Electricity_CHP!$D$1:$D$10000))*1,[1]OUT_Electricity_CHP!L$1:L$10000)</f>
        <v>74.836026536032151</v>
      </c>
      <c r="N13" s="1" cm="1">
        <f t="array" ref="N13">SUMPRODUCT(ISNUMBER(SEARCH("EHYD-DAM",[1]OUT_Electricity_CHP!$B$1:$B$10000))*1,([1]OUT_Electricity_CHP!$C$1:$C$10000="Var_Fout")*1,ISNUMBER(SEARCH("ELC",[1]OUT_Electricity_CHP!$D$1:$D$10000))*1,[1]OUT_Electricity_CHP!M$1:M$10000)</f>
        <v>74.836040651777509</v>
      </c>
      <c r="O13" s="1" cm="1">
        <f t="array" ref="O13">SUMPRODUCT(ISNUMBER(SEARCH("EHYD-DAM",[1]OUT_Electricity_CHP!$B$1:$B$10000))*1,([1]OUT_Electricity_CHP!$C$1:$C$10000="Var_Fout")*1,ISNUMBER(SEARCH("ELC",[1]OUT_Electricity_CHP!$D$1:$D$10000))*1,[1]OUT_Electricity_CHP!N$1:N$10000)</f>
        <v>74.836026015869976</v>
      </c>
      <c r="P13" s="1" cm="1">
        <f t="array" ref="P13">SUMPRODUCT(ISNUMBER(SEARCH("EHYD-DAM",[1]OUT_Electricity_CHP!$B$1:$B$10000))*1,([1]OUT_Electricity_CHP!$C$1:$C$10000="Var_Fout")*1,ISNUMBER(SEARCH("ELC",[1]OUT_Electricity_CHP!$D$1:$D$10000))*1,[1]OUT_Electricity_CHP!O$1:O$10000)</f>
        <v>74.836035221176147</v>
      </c>
      <c r="Q13" s="1" cm="1">
        <f t="array" ref="Q13">SUMPRODUCT(ISNUMBER(SEARCH("EHYD-DAM",[1]OUT_Electricity_CHP!$B$1:$B$10000))*1,([1]OUT_Electricity_CHP!$C$1:$C$10000="Var_Fout")*1,ISNUMBER(SEARCH("ELC",[1]OUT_Electricity_CHP!$D$1:$D$10000))*1,[1]OUT_Electricity_CHP!P$1:P$10000)</f>
        <v>74.83604224785708</v>
      </c>
      <c r="S13" s="3"/>
    </row>
    <row r="14" spans="1:19" x14ac:dyDescent="0.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66.632400649744582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55.764000107013885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65.54974368884578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64.713757043043117</v>
      </c>
      <c r="J14" s="1" cm="1">
        <f t="array" ref="J14">SUMPRODUCT(ISNUMBER(SEARCH("EHYD-RUN",[1]OUT_Electricity_CHP!$B$1:$B$10000))*1,([1]OUT_Electricity_CHP!$C$1:$C$10000="Var_Fout")*1,ISNUMBER(SEARCH("ELC",[1]OUT_Electricity_CHP!$D$1:$D$10000))*1,[1]OUT_Electricity_CHP!I$1:I$10000)</f>
        <v>63.735421098953111</v>
      </c>
      <c r="K14" s="1" cm="1">
        <f t="array" ref="K14">SUMPRODUCT(ISNUMBER(SEARCH("EHYD-RUN",[1]OUT_Electricity_CHP!$B$1:$B$10000))*1,([1]OUT_Electricity_CHP!$C$1:$C$10000="Var_Fout")*1,ISNUMBER(SEARCH("ELC",[1]OUT_Electricity_CHP!$D$1:$D$10000))*1,[1]OUT_Electricity_CHP!J$1:J$10000)</f>
        <v>62.650907534077902</v>
      </c>
      <c r="L14" s="1" cm="1">
        <f t="array" ref="L14">SUMPRODUCT(ISNUMBER(SEARCH("EHYD-RUN",[1]OUT_Electricity_CHP!$B$1:$B$10000))*1,([1]OUT_Electricity_CHP!$C$1:$C$10000="Var_Fout")*1,ISNUMBER(SEARCH("ELC",[1]OUT_Electricity_CHP!$D$1:$D$10000))*1,[1]OUT_Electricity_CHP!K$1:K$10000)</f>
        <v>61.565868386089662</v>
      </c>
      <c r="M14" s="1" cm="1">
        <f t="array" ref="M14">SUMPRODUCT(ISNUMBER(SEARCH("EHYD-RUN",[1]OUT_Electricity_CHP!$B$1:$B$10000))*1,([1]OUT_Electricity_CHP!$C$1:$C$10000="Var_Fout")*1,ISNUMBER(SEARCH("ELC",[1]OUT_Electricity_CHP!$D$1:$D$10000))*1,[1]OUT_Electricity_CHP!L$1:L$10000)</f>
        <v>60.481145119729575</v>
      </c>
      <c r="N14" s="1" cm="1">
        <f t="array" ref="N14">SUMPRODUCT(ISNUMBER(SEARCH("EHYD-RUN",[1]OUT_Electricity_CHP!$B$1:$B$10000))*1,([1]OUT_Electricity_CHP!$C$1:$C$10000="Var_Fout")*1,ISNUMBER(SEARCH("ELC",[1]OUT_Electricity_CHP!$D$1:$D$10000))*1,[1]OUT_Electricity_CHP!M$1:M$10000)</f>
        <v>60.481130963801938</v>
      </c>
      <c r="O14" s="1" cm="1">
        <f t="array" ref="O14">SUMPRODUCT(ISNUMBER(SEARCH("EHYD-RUN",[1]OUT_Electricity_CHP!$B$1:$B$10000))*1,([1]OUT_Electricity_CHP!$C$1:$C$10000="Var_Fout")*1,ISNUMBER(SEARCH("ELC",[1]OUT_Electricity_CHP!$D$1:$D$10000))*1,[1]OUT_Electricity_CHP!N$1:N$10000)</f>
        <v>60.481146817568373</v>
      </c>
      <c r="P14" s="1" cm="1">
        <f t="array" ref="P14">SUMPRODUCT(ISNUMBER(SEARCH("EHYD-RUN",[1]OUT_Electricity_CHP!$B$1:$B$10000))*1,([1]OUT_Electricity_CHP!$C$1:$C$10000="Var_Fout")*1,ISNUMBER(SEARCH("ELC",[1]OUT_Electricity_CHP!$D$1:$D$10000))*1,[1]OUT_Electricity_CHP!O$1:O$10000)</f>
        <v>60.481137947601312</v>
      </c>
      <c r="Q14" s="1" cm="1">
        <f t="array" ref="Q14">SUMPRODUCT(ISNUMBER(SEARCH("EHYD-RUN",[1]OUT_Electricity_CHP!$B$1:$B$10000))*1,([1]OUT_Electricity_CHP!$C$1:$C$10000="Var_Fout")*1,ISNUMBER(SEARCH("ELC",[1]OUT_Electricity_CHP!$D$1:$D$10000))*1,[1]OUT_Electricity_CHP!P$1:P$10000)</f>
        <v>60.481134043620003</v>
      </c>
      <c r="S14" s="3"/>
    </row>
    <row r="15" spans="1:19" x14ac:dyDescent="0.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16.052401455553035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20.041871225862714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6.6188409832110073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15.994120982765203</v>
      </c>
      <c r="J15" s="1" cm="1">
        <f t="array" ref="J15">SUMPRODUCT(ISNUMBER(SEARCH("EHYD-PUM",[1]OUT_Electricity_CHP!$B$1:$B$10000))*1,([1]OUT_Electricity_CHP!$C$1:$C$10000="Var_Fin")*1,ISNUMBER(SEARCH("elc",[1]OUT_Electricity_CHP!$D$1:$D$10000))*1,[1]OUT_Electricity_CHP!I$1:I$10000)</f>
        <v>16.372240028576268</v>
      </c>
      <c r="K15" s="1" cm="1">
        <f t="array" ref="K15">SUMPRODUCT(ISNUMBER(SEARCH("EHYD-PUM",[1]OUT_Electricity_CHP!$B$1:$B$10000))*1,([1]OUT_Electricity_CHP!$C$1:$C$10000="Var_Fin")*1,ISNUMBER(SEARCH("elc",[1]OUT_Electricity_CHP!$D$1:$D$10000))*1,[1]OUT_Electricity_CHP!J$1:J$10000)</f>
        <v>16.456225056913965</v>
      </c>
      <c r="L15" s="1" cm="1">
        <f t="array" ref="L15">SUMPRODUCT(ISNUMBER(SEARCH("EHYD-PUM",[1]OUT_Electricity_CHP!$B$1:$B$10000))*1,([1]OUT_Electricity_CHP!$C$1:$C$10000="Var_Fin")*1,ISNUMBER(SEARCH("elc",[1]OUT_Electricity_CHP!$D$1:$D$10000))*1,[1]OUT_Electricity_CHP!K$1:K$10000)</f>
        <v>16.5876216659302</v>
      </c>
      <c r="M15" s="1" cm="1">
        <f t="array" ref="M15">SUMPRODUCT(ISNUMBER(SEARCH("EHYD-PUM",[1]OUT_Electricity_CHP!$B$1:$B$10000))*1,([1]OUT_Electricity_CHP!$C$1:$C$10000="Var_Fin")*1,ISNUMBER(SEARCH("elc",[1]OUT_Electricity_CHP!$D$1:$D$10000))*1,[1]OUT_Electricity_CHP!L$1:L$10000)</f>
        <v>16.721978267655103</v>
      </c>
      <c r="N15" s="1" cm="1">
        <f t="array" ref="N15">SUMPRODUCT(ISNUMBER(SEARCH("EHYD-PUM",[1]OUT_Electricity_CHP!$B$1:$B$10000))*1,([1]OUT_Electricity_CHP!$C$1:$C$10000="Var_Fin")*1,ISNUMBER(SEARCH("elc",[1]OUT_Electricity_CHP!$D$1:$D$10000))*1,[1]OUT_Electricity_CHP!M$1:M$10000)</f>
        <v>16.783395037105006</v>
      </c>
      <c r="O15" s="1" cm="1">
        <f t="array" ref="O15">SUMPRODUCT(ISNUMBER(SEARCH("EHYD-PUM",[1]OUT_Electricity_CHP!$B$1:$B$10000))*1,([1]OUT_Electricity_CHP!$C$1:$C$10000="Var_Fin")*1,ISNUMBER(SEARCH("elc",[1]OUT_Electricity_CHP!$D$1:$D$10000))*1,[1]OUT_Electricity_CHP!N$1:N$10000)</f>
        <v>16.839983062514253</v>
      </c>
      <c r="P15" s="1" cm="1">
        <f t="array" ref="P15">SUMPRODUCT(ISNUMBER(SEARCH("EHYD-PUM",[1]OUT_Electricity_CHP!$B$1:$B$10000))*1,([1]OUT_Electricity_CHP!$C$1:$C$10000="Var_Fin")*1,ISNUMBER(SEARCH("elc",[1]OUT_Electricity_CHP!$D$1:$D$10000))*1,[1]OUT_Electricity_CHP!O$1:O$10000)</f>
        <v>16.90986775849203</v>
      </c>
      <c r="Q15" s="1" cm="1">
        <f t="array" ref="Q15">SUMPRODUCT(ISNUMBER(SEARCH("EHYD-PUM",[1]OUT_Electricity_CHP!$B$1:$B$10000))*1,([1]OUT_Electricity_CHP!$C$1:$C$10000="Var_Fin")*1,ISNUMBER(SEARCH("elc",[1]OUT_Electricity_CHP!$D$1:$D$10000))*1,[1]OUT_Electricity_CHP!P$1:P$10000)</f>
        <v>16.96937261497537</v>
      </c>
      <c r="S15" s="3"/>
    </row>
    <row r="16" spans="1:19" x14ac:dyDescent="0.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12.556450311827792</v>
      </c>
      <c r="G16" s="1" cm="1">
        <f t="array" ref="G16">SUMPRODUCT(ISNUMBER(SEARCH("SOL",[1]OUT_PrimaryEnergyCons!$C$1:$C$1000))*1,[1]OUT_PrimaryEnergyCons!E$1:E$1000)</f>
        <v>16.522145936972041</v>
      </c>
      <c r="H16" s="1" cm="1">
        <f t="array" ref="H16">SUMPRODUCT(ISNUMBER(SEARCH("SOL",[1]OUT_PrimaryEnergyCons!$C$1:$C$1000))*1,[1]OUT_PrimaryEnergyCons!F$1:F$1000)</f>
        <v>32.462319986097476</v>
      </c>
      <c r="I16" s="1" cm="1">
        <f t="array" ref="I16">SUMPRODUCT(ISNUMBER(SEARCH("SOL",[1]OUT_PrimaryEnergyCons!$C$1:$C$1000))*1,[1]OUT_PrimaryEnergyCons!G$1:G$1000)</f>
        <v>57.941087051048818</v>
      </c>
      <c r="J16" s="1" cm="1">
        <f t="array" ref="J16">SUMPRODUCT(ISNUMBER(SEARCH("SOL",[1]OUT_PrimaryEnergyCons!$C$1:$C$1000))*1,[1]OUT_PrimaryEnergyCons!H$1:H$1000)</f>
        <v>85.233799938040846</v>
      </c>
      <c r="K16" s="1" cm="1">
        <f t="array" ref="K16">SUMPRODUCT(ISNUMBER(SEARCH("SOL",[1]OUT_PrimaryEnergyCons!$C$1:$C$1000))*1,[1]OUT_PrimaryEnergyCons!I$1:I$1000)</f>
        <v>92.631594539280698</v>
      </c>
      <c r="L16" s="1" cm="1">
        <f t="array" ref="L16">SUMPRODUCT(ISNUMBER(SEARCH("SOL",[1]OUT_PrimaryEnergyCons!$C$1:$C$1000))*1,[1]OUT_PrimaryEnergyCons!J$1:J$1000)</f>
        <v>101.61338208596649</v>
      </c>
      <c r="M16" s="1" cm="1">
        <f t="array" ref="M16">SUMPRODUCT(ISNUMBER(SEARCH("SOL",[1]OUT_PrimaryEnergyCons!$C$1:$C$1000))*1,[1]OUT_PrimaryEnergyCons!K$1:K$1000)</f>
        <v>114.97255921601088</v>
      </c>
      <c r="N16" s="1" cm="1">
        <f t="array" ref="N16">SUMPRODUCT(ISNUMBER(SEARCH("SOL",[1]OUT_PrimaryEnergyCons!$C$1:$C$1000))*1,[1]OUT_PrimaryEnergyCons!L$1:L$1000)</f>
        <v>119.39994024909466</v>
      </c>
      <c r="O16" s="1" cm="1">
        <f t="array" ref="O16">SUMPRODUCT(ISNUMBER(SEARCH("SOL",[1]OUT_PrimaryEnergyCons!$C$1:$C$1000))*1,[1]OUT_PrimaryEnergyCons!M$1:M$1000)</f>
        <v>123.46076825218954</v>
      </c>
      <c r="P16" s="1" cm="1">
        <f t="array" ref="P16">SUMPRODUCT(ISNUMBER(SEARCH("SOL",[1]OUT_PrimaryEnergyCons!$C$1:$C$1000))*1,[1]OUT_PrimaryEnergyCons!N$1:N$1000)</f>
        <v>128.43189276879724</v>
      </c>
      <c r="Q16" s="1" cm="1">
        <f t="array" ref="Q16">SUMPRODUCT(ISNUMBER(SEARCH("SOL",[1]OUT_PrimaryEnergyCons!$C$1:$C$1000))*1,[1]OUT_PrimaryEnergyCons!O$1:O$1000)</f>
        <v>131.94525426856183</v>
      </c>
      <c r="S16" s="3"/>
    </row>
    <row r="17" spans="1:19" x14ac:dyDescent="0.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0.52400503629566642</v>
      </c>
      <c r="G17" s="1" cm="1">
        <f t="array" ref="G17">SUMPRODUCT(ISNUMBER(SEARCH("wnd",[1]OUT_PrimaryEnergyCons!$C$1:$C$1000))*1,[1]OUT_PrimaryEnergyCons!E$1:E$1000)</f>
        <v>0.5452925406600283</v>
      </c>
      <c r="H17" s="1" cm="1">
        <f t="array" ref="H17">SUMPRODUCT(ISNUMBER(SEARCH("wnd",[1]OUT_PrimaryEnergyCons!$C$1:$C$1000))*1,[1]OUT_PrimaryEnergyCons!F$1:F$1000)</f>
        <v>0.50316516128039523</v>
      </c>
      <c r="I17" s="1" cm="1">
        <f t="array" ref="I17">SUMPRODUCT(ISNUMBER(SEARCH("wnd",[1]OUT_PrimaryEnergyCons!$C$1:$C$1000))*1,[1]OUT_PrimaryEnergyCons!G$1:G$1000)</f>
        <v>2.0502622416415006</v>
      </c>
      <c r="J17" s="1" cm="1">
        <f t="array" ref="J17">SUMPRODUCT(ISNUMBER(SEARCH("wnd",[1]OUT_PrimaryEnergyCons!$C$1:$C$1000))*1,[1]OUT_PrimaryEnergyCons!H$1:H$1000)</f>
        <v>2.6087335248677408</v>
      </c>
      <c r="K17" s="1" cm="1">
        <f t="array" ref="K17">SUMPRODUCT(ISNUMBER(SEARCH("wnd",[1]OUT_PrimaryEnergyCons!$C$1:$C$1000))*1,[1]OUT_PrimaryEnergyCons!I$1:I$1000)</f>
        <v>2.6087339150526816</v>
      </c>
      <c r="L17" s="1" cm="1">
        <f t="array" ref="L17">SUMPRODUCT(ISNUMBER(SEARCH("wnd",[1]OUT_PrimaryEnergyCons!$C$1:$C$1000))*1,[1]OUT_PrimaryEnergyCons!J$1:J$1000)</f>
        <v>3.0263007536665523</v>
      </c>
      <c r="M17" s="1" cm="1">
        <f t="array" ref="M17">SUMPRODUCT(ISNUMBER(SEARCH("wnd",[1]OUT_PrimaryEnergyCons!$C$1:$C$1000))*1,[1]OUT_PrimaryEnergyCons!K$1:K$1000)</f>
        <v>3.0263397680952497</v>
      </c>
      <c r="N17" s="1" cm="1">
        <f t="array" ref="N17">SUMPRODUCT(ISNUMBER(SEARCH("wnd",[1]OUT_PrimaryEnergyCons!$C$1:$C$1000))*1,[1]OUT_PrimaryEnergyCons!L$1:L$1000)</f>
        <v>3.0263384095284827</v>
      </c>
      <c r="O17" s="1" cm="1">
        <f t="array" ref="O17">SUMPRODUCT(ISNUMBER(SEARCH("wnd",[1]OUT_PrimaryEnergyCons!$C$1:$C$1000))*1,[1]OUT_PrimaryEnergyCons!M$1:M$1000)</f>
        <v>3.0264243265213495</v>
      </c>
      <c r="P17" s="1" cm="1">
        <f t="array" ref="P17">SUMPRODUCT(ISNUMBER(SEARCH("wnd",[1]OUT_PrimaryEnergyCons!$C$1:$C$1000))*1,[1]OUT_PrimaryEnergyCons!N$1:N$1000)</f>
        <v>3.0268227976903677</v>
      </c>
      <c r="Q17" s="1" cm="1">
        <f t="array" ref="Q17">SUMPRODUCT(ISNUMBER(SEARCH("wnd",[1]OUT_PrimaryEnergyCons!$C$1:$C$1000))*1,[1]OUT_PrimaryEnergyCons!O$1:O$1000)</f>
        <v>3.0270673812866451</v>
      </c>
      <c r="S17" s="3"/>
    </row>
    <row r="18" spans="1:19" x14ac:dyDescent="0.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18.873018616213741</v>
      </c>
      <c r="G18" s="1">
        <f>[1]Overview!C$9-G19</f>
        <v>22.214516115657155</v>
      </c>
      <c r="H18" s="1">
        <f>[1]Overview!D$9-H19</f>
        <v>26.373189168381845</v>
      </c>
      <c r="I18" s="1">
        <f>[1]Overview!E$9-I19</f>
        <v>36.119922109599393</v>
      </c>
      <c r="J18" s="1">
        <f>[1]Overview!F$9-J19</f>
        <v>54.350518553624191</v>
      </c>
      <c r="K18" s="1">
        <f>[1]Overview!G$9-K19</f>
        <v>59.953767757458081</v>
      </c>
      <c r="L18" s="1">
        <f>[1]Overview!H$9-L19</f>
        <v>73.078598777406995</v>
      </c>
      <c r="M18" s="1">
        <f>[1]Overview!I$9-M19</f>
        <v>86.320789810882303</v>
      </c>
      <c r="N18" s="1">
        <f>[1]Overview!J$9-N19</f>
        <v>89.416443349505954</v>
      </c>
      <c r="O18" s="1">
        <f>[1]Overview!K$9-O19</f>
        <v>90.769409480888967</v>
      </c>
      <c r="P18" s="1">
        <f>[1]Overview!L$9-P19</f>
        <v>90.553796481650295</v>
      </c>
      <c r="Q18" s="1">
        <f>[1]Overview!M$9-Q19</f>
        <v>92.22605261675379</v>
      </c>
      <c r="S18" s="3"/>
    </row>
    <row r="19" spans="1:19" x14ac:dyDescent="0.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+[1]Overview!F$28</f>
        <v>0</v>
      </c>
      <c r="K19" s="1">
        <f>+[1]Overview!G$28</f>
        <v>1.4852531621137782E-4</v>
      </c>
      <c r="L19" s="1">
        <f>+[1]Overview!H$28</f>
        <v>5.5721409931531324E-2</v>
      </c>
      <c r="M19" s="1">
        <f>+[1]Overview!I$28</f>
        <v>5.6341404593064401E-2</v>
      </c>
      <c r="N19" s="1">
        <f>+[1]Overview!J$28</f>
        <v>0</v>
      </c>
      <c r="O19" s="1">
        <f>+[1]Overview!K$28</f>
        <v>0</v>
      </c>
      <c r="P19" s="1">
        <f>+[1]Overview!L$28</f>
        <v>0</v>
      </c>
      <c r="Q19" s="1">
        <f>+[1]Overview!M$28</f>
        <v>0</v>
      </c>
      <c r="S19" s="3"/>
    </row>
    <row r="20" spans="1:19" x14ac:dyDescent="0.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779.38319725921122</v>
      </c>
      <c r="G20" s="3">
        <f t="shared" si="13"/>
        <v>702.42661907401418</v>
      </c>
      <c r="H20" s="3">
        <f t="shared" si="13"/>
        <v>658.01371431468738</v>
      </c>
      <c r="I20" s="3">
        <f t="shared" si="13"/>
        <v>573.54039058305466</v>
      </c>
      <c r="J20" s="3">
        <f t="shared" si="13"/>
        <v>455.08223785645851</v>
      </c>
      <c r="K20" s="3">
        <f t="shared" si="13"/>
        <v>363.5832320290595</v>
      </c>
      <c r="L20" s="3">
        <f t="shared" ref="L20:O20" si="14">SUM(L21:L22,L41,L50:L51,L56)</f>
        <v>267.09719739179451</v>
      </c>
      <c r="M20" s="3">
        <f t="shared" si="14"/>
        <v>229.11521011858176</v>
      </c>
      <c r="N20" s="3">
        <f t="shared" si="14"/>
        <v>223.04406088961969</v>
      </c>
      <c r="O20" s="3">
        <f t="shared" si="14"/>
        <v>223.51227315976149</v>
      </c>
      <c r="P20" s="3">
        <f>SUM(P21:P22,P41,P50:P51,P56)</f>
        <v>225.01100151655365</v>
      </c>
      <c r="Q20" s="3">
        <f>SUM(Q21:Q22,Q41,Q50:Q51,Q56)</f>
        <v>225.41899829969049</v>
      </c>
      <c r="R20" s="1"/>
      <c r="S20" s="3"/>
    </row>
    <row r="21" spans="1:19" x14ac:dyDescent="0.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3.6600027171533558</v>
      </c>
      <c r="G21" s="1" cm="1">
        <f t="array" ref="G21">SUMPRODUCT(("COA"=[1]OUT_PrimaryEnergyCons!$C$4:$C$10000)*1,[1]OUT_PrimaryEnergyCons!E$4:E$10000)</f>
        <v>3.5647171154280226</v>
      </c>
      <c r="H21" s="1" cm="1">
        <f t="array" ref="H21">SUMPRODUCT(("COA"=[1]OUT_PrimaryEnergyCons!$C$4:$C$10000)*1,[1]OUT_PrimaryEnergyCons!F$4:F$10000)</f>
        <v>0.420083163939035</v>
      </c>
      <c r="I21" s="1" cm="1">
        <f t="array" ref="I21">SUMPRODUCT(("COA"=[1]OUT_PrimaryEnergyCons!$C$4:$C$10000)*1,[1]OUT_PrimaryEnergyCons!G$4:G$10000)</f>
        <v>4.5313440419409172E-4</v>
      </c>
      <c r="J21" s="1" cm="1">
        <f t="array" ref="J21">SUMPRODUCT(("COA"=[1]OUT_PrimaryEnergyCons!$C$4:$C$10000)*1,[1]OUT_PrimaryEnergyCons!H$4:H$10000)</f>
        <v>1.9458345971381776E-4</v>
      </c>
      <c r="K21" s="1" cm="1">
        <f t="array" ref="K21">SUMPRODUCT(("COA"=[1]OUT_PrimaryEnergyCons!$C$4:$C$10000)*1,[1]OUT_PrimaryEnergyCons!I$4:I$10000)</f>
        <v>4.4756187060252667E-4</v>
      </c>
      <c r="L21" s="1" cm="1">
        <f t="array" ref="L21">SUMPRODUCT(("COA"=[1]OUT_PrimaryEnergyCons!$C$4:$C$10000)*1,[1]OUT_PrimaryEnergyCons!J$4:J$10000)</f>
        <v>2.4833471305746454E-4</v>
      </c>
      <c r="M21" s="1" cm="1">
        <f t="array" ref="M21">SUMPRODUCT(("COA"=[1]OUT_PrimaryEnergyCons!$C$4:$C$10000)*1,[1]OUT_PrimaryEnergyCons!K$4:K$10000)</f>
        <v>1.3539546899122407E-4</v>
      </c>
      <c r="N21" s="1" cm="1">
        <f t="array" ref="N21">SUMPRODUCT(("COA"=[1]OUT_PrimaryEnergyCons!$C$4:$C$10000)*1,[1]OUT_PrimaryEnergyCons!L$4:L$10000)</f>
        <v>1.7459226397307631E-4</v>
      </c>
      <c r="O21" s="1" cm="1">
        <f t="array" ref="O21">SUMPRODUCT(("COA"=[1]OUT_PrimaryEnergyCons!$C$4:$C$10000)*1,[1]OUT_PrimaryEnergyCons!M$4:M$10000)</f>
        <v>1.0812452154167788E-4</v>
      </c>
      <c r="P21" s="1" cm="1">
        <f t="array" ref="P21">SUMPRODUCT(("COA"=[1]OUT_PrimaryEnergyCons!$C$4:$C$10000)*1,[1]OUT_PrimaryEnergyCons!N$4:N$10000)</f>
        <v>1.2081901141235386E-4</v>
      </c>
      <c r="Q21" s="1" cm="1">
        <f t="array" ref="Q21">SUMPRODUCT(("COA"=[1]OUT_PrimaryEnergyCons!$C$4:$C$10000)*1,[1]OUT_PrimaryEnergyCons!O$4:O$10000)</f>
        <v>5.439723489651046E-5</v>
      </c>
      <c r="S21" s="3"/>
    </row>
    <row r="22" spans="1:19" x14ac:dyDescent="0.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310.63218365029053</v>
      </c>
      <c r="G22" s="1">
        <f t="shared" ref="G22:K22" si="15">G23+G29</f>
        <v>286.95905649305058</v>
      </c>
      <c r="H22" s="1">
        <f t="shared" si="15"/>
        <v>270.27639749668123</v>
      </c>
      <c r="I22" s="1">
        <f t="shared" si="15"/>
        <v>196.23370222735963</v>
      </c>
      <c r="J22" s="1">
        <f t="shared" si="15"/>
        <v>125.90033586853475</v>
      </c>
      <c r="K22" s="1">
        <f t="shared" si="15"/>
        <v>102.82455829019884</v>
      </c>
      <c r="L22" s="1">
        <f t="shared" ref="L22:O22" si="16">L23+L29</f>
        <v>108.8034804556481</v>
      </c>
      <c r="M22" s="1">
        <f t="shared" si="16"/>
        <v>111.42061844038035</v>
      </c>
      <c r="N22" s="1">
        <f t="shared" si="16"/>
        <v>109.25925819622024</v>
      </c>
      <c r="O22" s="1">
        <f t="shared" si="16"/>
        <v>107.55588246942081</v>
      </c>
      <c r="P22" s="1">
        <f>P23+P29</f>
        <v>107.04788296783742</v>
      </c>
      <c r="Q22" s="1">
        <f>Q23+Q29</f>
        <v>103.4234473141136</v>
      </c>
      <c r="S22" s="3"/>
    </row>
    <row r="23" spans="1:19" x14ac:dyDescent="0.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303.91510701817833</v>
      </c>
      <c r="G23" s="1">
        <f t="shared" ref="G23:K23" si="20">SUM(G24:G28)</f>
        <v>280.1824287218206</v>
      </c>
      <c r="H23" s="1">
        <f t="shared" si="20"/>
        <v>261.854098806038</v>
      </c>
      <c r="I23" s="1">
        <f t="shared" si="20"/>
        <v>183.57574852285421</v>
      </c>
      <c r="J23" s="1">
        <f t="shared" si="20"/>
        <v>101.59426431625297</v>
      </c>
      <c r="K23" s="1">
        <f t="shared" si="20"/>
        <v>58.931496393993896</v>
      </c>
      <c r="L23" s="1">
        <f t="shared" ref="L23:O23" si="21">SUM(L24:L28)</f>
        <v>30.207105174071835</v>
      </c>
      <c r="M23" s="1">
        <f t="shared" si="21"/>
        <v>0</v>
      </c>
      <c r="N23" s="1">
        <f t="shared" si="21"/>
        <v>0.24074332796163417</v>
      </c>
      <c r="O23" s="1">
        <f t="shared" si="21"/>
        <v>0.20838013720186357</v>
      </c>
      <c r="P23" s="1">
        <f>SUM(P24:P28)</f>
        <v>0.14350937001925518</v>
      </c>
      <c r="Q23" s="1">
        <f>SUM(Q24:Q28)</f>
        <v>0.11360553153882696</v>
      </c>
      <c r="S23" s="3"/>
    </row>
    <row r="24" spans="1:19" x14ac:dyDescent="0.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101.72618890835437</v>
      </c>
      <c r="G24" s="1" cm="1">
        <f t="array" ref="G24">SUMPRODUCT(("LFO"=[1]OUT_PrimaryEnergyCons!$C$4:$C$10000)*1,[1]OUT_PrimaryEnergyCons!E$4:E$10000)</f>
        <v>88.407900275226879</v>
      </c>
      <c r="H24" s="1" cm="1">
        <f t="array" ref="H24">SUMPRODUCT(("LFO"=[1]OUT_PrimaryEnergyCons!$C$4:$C$10000)*1,[1]OUT_PrimaryEnergyCons!F$4:F$10000)</f>
        <v>85.060353182815732</v>
      </c>
      <c r="I24" s="1" cm="1">
        <f t="array" ref="I24">SUMPRODUCT(("LFO"=[1]OUT_PrimaryEnergyCons!$C$4:$C$10000)*1,[1]OUT_PrimaryEnergyCons!G$4:G$10000)</f>
        <v>69.425375331099971</v>
      </c>
      <c r="J24" s="1" cm="1">
        <f t="array" ref="J24">SUMPRODUCT(("LFO"=[1]OUT_PrimaryEnergyCons!$C$4:$C$10000)*1,[1]OUT_PrimaryEnergyCons!H$4:H$10000)</f>
        <v>40.792476439785531</v>
      </c>
      <c r="K24" s="1" cm="1">
        <f t="array" ref="K24">SUMPRODUCT(("LFO"=[1]OUT_PrimaryEnergyCons!$C$4:$C$10000)*1,[1]OUT_PrimaryEnergyCons!I$4:I$10000)</f>
        <v>22.646639215851042</v>
      </c>
      <c r="L24" s="1" cm="1">
        <f t="array" ref="L24">SUMPRODUCT(("LFO"=[1]OUT_PrimaryEnergyCons!$C$4:$C$10000)*1,[1]OUT_PrimaryEnergyCons!J$4:J$10000)</f>
        <v>14.715863039502915</v>
      </c>
      <c r="M24" s="1" cm="1">
        <f t="array" ref="M24">SUMPRODUCT(("LFO"=[1]OUT_PrimaryEnergyCons!$C$4:$C$10000)*1,[1]OUT_PrimaryEnergyCons!K$4:K$10000)</f>
        <v>0</v>
      </c>
      <c r="N24" s="1" cm="1">
        <f t="array" ref="N24">SUMPRODUCT(("LFO"=[1]OUT_PrimaryEnergyCons!$C$4:$C$10000)*1,[1]OUT_PrimaryEnergyCons!L$4:L$10000)</f>
        <v>3.4103460429854055E-3</v>
      </c>
      <c r="O24" s="1" cm="1">
        <f t="array" ref="O24">SUMPRODUCT(("LFO"=[1]OUT_PrimaryEnergyCons!$C$4:$C$10000)*1,[1]OUT_PrimaryEnergyCons!M$4:M$10000)</f>
        <v>4.1413415083224802E-3</v>
      </c>
      <c r="P24" s="1" cm="1">
        <f t="array" ref="P24">SUMPRODUCT(("LFO"=[1]OUT_PrimaryEnergyCons!$C$4:$C$10000)*1,[1]OUT_PrimaryEnergyCons!N$4:N$10000)</f>
        <v>2.519798143590872E-3</v>
      </c>
      <c r="Q24" s="1" cm="1">
        <f t="array" ref="Q24">SUMPRODUCT(("LFO"=[1]OUT_PrimaryEnergyCons!$C$4:$C$10000)*1,[1]OUT_PrimaryEnergyCons!O$4:O$10000)</f>
        <v>4.8732739969425754E-3</v>
      </c>
      <c r="S24" s="3"/>
    </row>
    <row r="25" spans="1:19" x14ac:dyDescent="0.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2.7763697185763672</v>
      </c>
      <c r="G25" s="1" cm="1">
        <f t="array" ref="G25">SUMPRODUCT(("HFO"=[1]OUT_PrimaryEnergyCons!$C$4:$C$10000)*1,[1]OUT_PrimaryEnergyCons!E$4:E$10000)</f>
        <v>2.5696996007109654</v>
      </c>
      <c r="H25" s="1" cm="1">
        <f t="array" ref="H25">SUMPRODUCT(("HFO"=[1]OUT_PrimaryEnergyCons!$C$4:$C$10000)*1,[1]OUT_PrimaryEnergyCons!F$4:F$10000)</f>
        <v>9.5651128817138904E-4</v>
      </c>
      <c r="I25" s="1" cm="1">
        <f t="array" ref="I25">SUMPRODUCT(("HFO"=[1]OUT_PrimaryEnergyCons!$C$4:$C$10000)*1,[1]OUT_PrimaryEnergyCons!G$4:G$10000)</f>
        <v>1.3485608168338178E-4</v>
      </c>
      <c r="J25" s="1" cm="1">
        <f t="array" ref="J25">SUMPRODUCT(("HFO"=[1]OUT_PrimaryEnergyCons!$C$4:$C$10000)*1,[1]OUT_PrimaryEnergyCons!H$4:H$10000)</f>
        <v>8.6247789699631428E-5</v>
      </c>
      <c r="K25" s="1" cm="1">
        <f t="array" ref="K25">SUMPRODUCT(("HFO"=[1]OUT_PrimaryEnergyCons!$C$4:$C$10000)*1,[1]OUT_PrimaryEnergyCons!I$4:I$10000)</f>
        <v>5.6610958923620884E-4</v>
      </c>
      <c r="L25" s="1" cm="1">
        <f t="array" ref="L25">SUMPRODUCT(("HFO"=[1]OUT_PrimaryEnergyCons!$C$4:$C$10000)*1,[1]OUT_PrimaryEnergyCons!J$4:J$10000)</f>
        <v>3.469003049755275E-4</v>
      </c>
      <c r="M25" s="1" cm="1">
        <f t="array" ref="M25">SUMPRODUCT(("HFO"=[1]OUT_PrimaryEnergyCons!$C$4:$C$10000)*1,[1]OUT_PrimaryEnergyCons!K$4:K$10000)</f>
        <v>0</v>
      </c>
      <c r="N25" s="1" cm="1">
        <f t="array" ref="N25">SUMPRODUCT(("HFO"=[1]OUT_PrimaryEnergyCons!$C$4:$C$10000)*1,[1]OUT_PrimaryEnergyCons!L$4:L$10000)</f>
        <v>0</v>
      </c>
      <c r="O25" s="1" cm="1">
        <f t="array" ref="O25">SUMPRODUCT(("HFO"=[1]OUT_PrimaryEnergyCons!$C$4:$C$10000)*1,[1]OUT_PrimaryEnergyCons!M$4:M$10000)</f>
        <v>0</v>
      </c>
      <c r="P25" s="1" cm="1">
        <f t="array" ref="P25">SUMPRODUCT(("HFO"=[1]OUT_PrimaryEnergyCons!$C$4:$C$10000)*1,[1]OUT_PrimaryEnergyCons!N$4:N$10000)</f>
        <v>0</v>
      </c>
      <c r="Q25" s="1" cm="1">
        <f t="array" ref="Q25">SUMPRODUCT(("HFO"=[1]OUT_PrimaryEnergyCons!$C$4:$C$10000)*1,[1]OUT_PrimaryEnergyCons!O$4:O$10000)</f>
        <v>0</v>
      </c>
      <c r="S25" s="3"/>
    </row>
    <row r="26" spans="1:19" x14ac:dyDescent="0.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118.55623694111289</v>
      </c>
      <c r="G26" s="1" cm="1">
        <f t="array" ref="G26">SUMPRODUCT(("DSL"=[1]OUT_PrimaryEnergyCons!$C$4:$C$10000)*1,[1]OUT_PrimaryEnergyCons!E$4:E$10000)</f>
        <v>111.84348601871493</v>
      </c>
      <c r="H26" s="1" cm="1">
        <f t="array" ref="H26">SUMPRODUCT(("DSL"=[1]OUT_PrimaryEnergyCons!$C$4:$C$10000)*1,[1]OUT_PrimaryEnergyCons!F$4:F$10000)</f>
        <v>95.774516670285593</v>
      </c>
      <c r="I26" s="1" cm="1">
        <f t="array" ref="I26">SUMPRODUCT(("DSL"=[1]OUT_PrimaryEnergyCons!$C$4:$C$10000)*1,[1]OUT_PrimaryEnergyCons!G$4:G$10000)</f>
        <v>63.189772133587162</v>
      </c>
      <c r="J26" s="1" cm="1">
        <f t="array" ref="J26">SUMPRODUCT(("DSL"=[1]OUT_PrimaryEnergyCons!$C$4:$C$10000)*1,[1]OUT_PrimaryEnergyCons!H$4:H$10000)</f>
        <v>36.66726466022839</v>
      </c>
      <c r="K26" s="1" cm="1">
        <f t="array" ref="K26">SUMPRODUCT(("DSL"=[1]OUT_PrimaryEnergyCons!$C$4:$C$10000)*1,[1]OUT_PrimaryEnergyCons!I$4:I$10000)</f>
        <v>24.221482490402536</v>
      </c>
      <c r="L26" s="1" cm="1">
        <f t="array" ref="L26">SUMPRODUCT(("DSL"=[1]OUT_PrimaryEnergyCons!$C$4:$C$10000)*1,[1]OUT_PrimaryEnergyCons!J$4:J$10000)</f>
        <v>10.52084609400768</v>
      </c>
      <c r="M26" s="1" cm="1">
        <f t="array" ref="M26">SUMPRODUCT(("DSL"=[1]OUT_PrimaryEnergyCons!$C$4:$C$10000)*1,[1]OUT_PrimaryEnergyCons!K$4:K$10000)</f>
        <v>0</v>
      </c>
      <c r="N26" s="1" cm="1">
        <f t="array" ref="N26">SUMPRODUCT(("DSL"=[1]OUT_PrimaryEnergyCons!$C$4:$C$10000)*1,[1]OUT_PrimaryEnergyCons!L$4:L$10000)</f>
        <v>7.1954838511752907E-5</v>
      </c>
      <c r="O26" s="1" cm="1">
        <f t="array" ref="O26">SUMPRODUCT(("DSL"=[1]OUT_PrimaryEnergyCons!$C$4:$C$10000)*1,[1]OUT_PrimaryEnergyCons!M$4:M$10000)</f>
        <v>1.0843007333143511E-4</v>
      </c>
      <c r="P26" s="1" cm="1">
        <f t="array" ref="P26">SUMPRODUCT(("DSL"=[1]OUT_PrimaryEnergyCons!$C$4:$C$10000)*1,[1]OUT_PrimaryEnergyCons!N$4:N$10000)</f>
        <v>9.6454033921572686E-5</v>
      </c>
      <c r="Q26" s="1" cm="1">
        <f t="array" ref="Q26">SUMPRODUCT(("DSL"=[1]OUT_PrimaryEnergyCons!$C$4:$C$10000)*1,[1]OUT_PrimaryEnergyCons!O$4:O$10000)</f>
        <v>1.5285381251715755E-4</v>
      </c>
      <c r="S26" s="3"/>
    </row>
    <row r="27" spans="1:19" x14ac:dyDescent="0.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79.747270143165935</v>
      </c>
      <c r="G27" s="1" cm="1">
        <f t="array" ref="G27">SUMPRODUCT(("GSL"=[1]OUT_PrimaryEnergyCons!$C$4:$C$10000)*1,[1]OUT_PrimaryEnergyCons!E$4:E$10000)</f>
        <v>75.956133978407706</v>
      </c>
      <c r="H27" s="1" cm="1">
        <f t="array" ref="H27">SUMPRODUCT(("GSL"=[1]OUT_PrimaryEnergyCons!$C$4:$C$10000)*1,[1]OUT_PrimaryEnergyCons!F$4:F$10000)</f>
        <v>79.1697486066778</v>
      </c>
      <c r="I27" s="1" cm="1">
        <f t="array" ref="I27">SUMPRODUCT(("GSL"=[1]OUT_PrimaryEnergyCons!$C$4:$C$10000)*1,[1]OUT_PrimaryEnergyCons!G$4:G$10000)</f>
        <v>48.388233258729166</v>
      </c>
      <c r="J27" s="1" cm="1">
        <f t="array" ref="J27">SUMPRODUCT(("GSL"=[1]OUT_PrimaryEnergyCons!$C$4:$C$10000)*1,[1]OUT_PrimaryEnergyCons!H$4:H$10000)</f>
        <v>21.764786610094884</v>
      </c>
      <c r="K27" s="1" cm="1">
        <f t="array" ref="K27">SUMPRODUCT(("GSL"=[1]OUT_PrimaryEnergyCons!$C$4:$C$10000)*1,[1]OUT_PrimaryEnergyCons!I$4:I$10000)</f>
        <v>9.9108173613557131</v>
      </c>
      <c r="L27" s="1" cm="1">
        <f t="array" ref="L27">SUMPRODUCT(("GSL"=[1]OUT_PrimaryEnergyCons!$C$4:$C$10000)*1,[1]OUT_PrimaryEnergyCons!J$4:J$10000)</f>
        <v>3.0391602049200692</v>
      </c>
      <c r="M27" s="1" cm="1">
        <f t="array" ref="M27">SUMPRODUCT(("GSL"=[1]OUT_PrimaryEnergyCons!$C$4:$C$10000)*1,[1]OUT_PrimaryEnergyCons!K$4:K$10000)</f>
        <v>0</v>
      </c>
      <c r="N27" s="1" cm="1">
        <f t="array" ref="N27">SUMPRODUCT(("GSL"=[1]OUT_PrimaryEnergyCons!$C$4:$C$10000)*1,[1]OUT_PrimaryEnergyCons!L$4:L$10000)</f>
        <v>0.23719815962397739</v>
      </c>
      <c r="O27" s="1" cm="1">
        <f t="array" ref="O27">SUMPRODUCT(("GSL"=[1]OUT_PrimaryEnergyCons!$C$4:$C$10000)*1,[1]OUT_PrimaryEnergyCons!M$4:M$10000)</f>
        <v>0.20403382774516096</v>
      </c>
      <c r="P27" s="1" cm="1">
        <f t="array" ref="P27">SUMPRODUCT(("GSL"=[1]OUT_PrimaryEnergyCons!$C$4:$C$10000)*1,[1]OUT_PrimaryEnergyCons!N$4:N$10000)</f>
        <v>0.14080503807552044</v>
      </c>
      <c r="Q27" s="1" cm="1">
        <f t="array" ref="Q27">SUMPRODUCT(("GSL"=[1]OUT_PrimaryEnergyCons!$C$4:$C$10000)*1,[1]OUT_PrimaryEnergyCons!O$4:O$10000)</f>
        <v>0.10843843011617524</v>
      </c>
      <c r="S27" s="3"/>
    </row>
    <row r="28" spans="1:19" x14ac:dyDescent="0.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1.1090413069687741</v>
      </c>
      <c r="G28" s="1" cm="1">
        <f t="array" ref="G28">SUMPRODUCT(("KER"=[1]OUT_PrimaryEnergyCons!$C$4:$C$10000)*1,[1]OUT_PrimaryEnergyCons!E$4:E$10000)</f>
        <v>1.4052088487601344</v>
      </c>
      <c r="H28" s="1" cm="1">
        <f t="array" ref="H28">SUMPRODUCT(("KER"=[1]OUT_PrimaryEnergyCons!$C$4:$C$10000)*1,[1]OUT_PrimaryEnergyCons!F$4:F$10000)</f>
        <v>1.8485238349707345</v>
      </c>
      <c r="I28" s="1" cm="1">
        <f t="array" ref="I28">SUMPRODUCT(("KER"=[1]OUT_PrimaryEnergyCons!$C$4:$C$10000)*1,[1]OUT_PrimaryEnergyCons!G$4:G$10000)</f>
        <v>2.5722329433562381</v>
      </c>
      <c r="J28" s="1" cm="1">
        <f t="array" ref="J28">SUMPRODUCT(("KER"=[1]OUT_PrimaryEnergyCons!$C$4:$C$10000)*1,[1]OUT_PrimaryEnergyCons!H$4:H$10000)</f>
        <v>2.3696503583544599</v>
      </c>
      <c r="K28" s="1" cm="1">
        <f t="array" ref="K28">SUMPRODUCT(("KER"=[1]OUT_PrimaryEnergyCons!$C$4:$C$10000)*1,[1]OUT_PrimaryEnergyCons!I$4:I$10000)</f>
        <v>2.1519912167953663</v>
      </c>
      <c r="L28" s="1" cm="1">
        <f t="array" ref="L28">SUMPRODUCT(("KER"=[1]OUT_PrimaryEnergyCons!$C$4:$C$10000)*1,[1]OUT_PrimaryEnergyCons!J$4:J$10000)</f>
        <v>1.9308889353361962</v>
      </c>
      <c r="M28" s="1" cm="1">
        <f t="array" ref="M28">SUMPRODUCT(("KER"=[1]OUT_PrimaryEnergyCons!$C$4:$C$10000)*1,[1]OUT_PrimaryEnergyCons!K$4:K$10000)</f>
        <v>0</v>
      </c>
      <c r="N28" s="1" cm="1">
        <f t="array" ref="N28">SUMPRODUCT(("KER"=[1]OUT_PrimaryEnergyCons!$C$4:$C$10000)*1,[1]OUT_PrimaryEnergyCons!L$4:L$10000)</f>
        <v>6.2867456159622858E-5</v>
      </c>
      <c r="O28" s="1" cm="1">
        <f t="array" ref="O28">SUMPRODUCT(("KER"=[1]OUT_PrimaryEnergyCons!$C$4:$C$10000)*1,[1]OUT_PrimaryEnergyCons!M$4:M$10000)</f>
        <v>9.6537875048712459E-5</v>
      </c>
      <c r="P28" s="1" cm="1">
        <f t="array" ref="P28">SUMPRODUCT(("KER"=[1]OUT_PrimaryEnergyCons!$C$4:$C$10000)*1,[1]OUT_PrimaryEnergyCons!N$4:N$10000)</f>
        <v>8.8079766222308266E-5</v>
      </c>
      <c r="Q28" s="1" cm="1">
        <f t="array" ref="Q28">SUMPRODUCT(("KER"=[1]OUT_PrimaryEnergyCons!$C$4:$C$10000)*1,[1]OUT_PrimaryEnergyCons!O$4:O$10000)</f>
        <v>1.4097361319199427E-4</v>
      </c>
      <c r="S28" s="3"/>
    </row>
    <row r="29" spans="1:19" x14ac:dyDescent="0.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6.7170766321121986</v>
      </c>
      <c r="G29" s="1">
        <f t="shared" ref="G29:K29" si="25">SUM(G30:G32)</f>
        <v>6.7766277712299594</v>
      </c>
      <c r="H29" s="1">
        <f t="shared" si="25"/>
        <v>8.4222986906432542</v>
      </c>
      <c r="I29" s="1">
        <f t="shared" si="25"/>
        <v>12.657953704505417</v>
      </c>
      <c r="J29" s="1">
        <f t="shared" si="25"/>
        <v>24.306071552281775</v>
      </c>
      <c r="K29" s="1">
        <f t="shared" si="25"/>
        <v>43.893061896204934</v>
      </c>
      <c r="L29" s="1">
        <f t="shared" ref="L29:O29" si="26">SUM(L30:L32)</f>
        <v>78.596375281576272</v>
      </c>
      <c r="M29" s="1">
        <f t="shared" si="26"/>
        <v>111.42061844038035</v>
      </c>
      <c r="N29" s="1">
        <f t="shared" si="26"/>
        <v>109.01851486825861</v>
      </c>
      <c r="O29" s="1">
        <f t="shared" si="26"/>
        <v>107.34750233221895</v>
      </c>
      <c r="P29" s="1">
        <f>SUM(P30:P32)</f>
        <v>106.90437359781816</v>
      </c>
      <c r="Q29" s="1">
        <f>SUM(Q30:Q32)</f>
        <v>103.30984178257478</v>
      </c>
      <c r="S29" s="3"/>
    </row>
    <row r="30" spans="1:19" x14ac:dyDescent="0.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2.2825869504206526</v>
      </c>
      <c r="G30" s="1" cm="1">
        <f t="array" ref="G30">SUMPRODUCT(ISNUMBER(SEARCH("IMPBDS",[1]OUT_SyntheticFuels!$C$4:$C$1000))*1,("Var_Fout"=[1]OUT_SyntheticFuels!$B$4:$B$1000)*1,[1]OUT_SyntheticFuels!F$4:F$1000)-G32</f>
        <v>2.3780065235291246</v>
      </c>
      <c r="H30" s="1" cm="1">
        <f t="array" ref="H30">SUMPRODUCT(ISNUMBER(SEARCH("IMPBDS",[1]OUT_SyntheticFuels!$C$4:$C$1000))*1,("Var_Fout"=[1]OUT_SyntheticFuels!$B$4:$B$1000)*1,[1]OUT_SyntheticFuels!G$4:G$1000)-H32</f>
        <v>4.0211572587048403</v>
      </c>
      <c r="I30" s="1" cm="1">
        <f t="array" ref="I30">SUMPRODUCT(ISNUMBER(SEARCH("IMPBDS",[1]OUT_SyntheticFuels!$C$4:$C$1000))*1,("Var_Fout"=[1]OUT_SyntheticFuels!$B$4:$B$1000)*1,[1]OUT_SyntheticFuels!H$4:H$1000)-I32</f>
        <v>4.539143851500536</v>
      </c>
      <c r="J30" s="1" cm="1">
        <f t="array" ref="J30">SUMPRODUCT(ISNUMBER(SEARCH("IMPBDS",[1]OUT_SyntheticFuels!$C$4:$C$1000))*1,("Var_Fout"=[1]OUT_SyntheticFuels!$B$4:$B$1000)*1,[1]OUT_SyntheticFuels!I$4:I$1000)-J32</f>
        <v>4.4639390210607459</v>
      </c>
      <c r="K30" s="1" cm="1">
        <f t="array" ref="K30">SUMPRODUCT(ISNUMBER(SEARCH("IMPBDS",[1]OUT_SyntheticFuels!$C$4:$C$1000))*1,("Var_Fout"=[1]OUT_SyntheticFuels!$B$4:$B$1000)*1,[1]OUT_SyntheticFuels!J$4:J$1000)-K32</f>
        <v>4.4630559458893941</v>
      </c>
      <c r="L30" s="1" cm="1">
        <f t="array" ref="L30">SUMPRODUCT(ISNUMBER(SEARCH("IMPBDS",[1]OUT_SyntheticFuels!$C$4:$C$1000))*1,("Var_Fout"=[1]OUT_SyntheticFuels!$B$4:$B$1000)*1,[1]OUT_SyntheticFuels!K$4:K$1000)-L32</f>
        <v>5.3780055063461418</v>
      </c>
      <c r="M30" s="1" cm="1">
        <f t="array" ref="M30">SUMPRODUCT(ISNUMBER(SEARCH("IMPBDS",[1]OUT_SyntheticFuels!$C$4:$C$1000))*1,("Var_Fout"=[1]OUT_SyntheticFuels!$B$4:$B$1000)*1,[1]OUT_SyntheticFuels!L$4:L$1000)-M32</f>
        <v>14.065165093376905</v>
      </c>
      <c r="N30" s="1" cm="1">
        <f t="array" ref="N30">SUMPRODUCT(ISNUMBER(SEARCH("IMPBDS",[1]OUT_SyntheticFuels!$C$4:$C$1000))*1,("Var_Fout"=[1]OUT_SyntheticFuels!$B$4:$B$1000)*1,[1]OUT_SyntheticFuels!M$4:M$1000)-N32</f>
        <v>11.934751218092913</v>
      </c>
      <c r="O30" s="1" cm="1">
        <f t="array" ref="O30">SUMPRODUCT(ISNUMBER(SEARCH("IMPBDS",[1]OUT_SyntheticFuels!$C$4:$C$1000))*1,("Var_Fout"=[1]OUT_SyntheticFuels!$B$4:$B$1000)*1,[1]OUT_SyntheticFuels!N$4:N$1000)-O32</f>
        <v>9.6134020318277607</v>
      </c>
      <c r="P30" s="1" cm="1">
        <f t="array" ref="P30">SUMPRODUCT(ISNUMBER(SEARCH("IMPBDS",[1]OUT_SyntheticFuels!$C$4:$C$1000))*1,("Var_Fout"=[1]OUT_SyntheticFuels!$B$4:$B$1000)*1,[1]OUT_SyntheticFuels!O$4:O$1000)-P32</f>
        <v>7.7248005846945631</v>
      </c>
      <c r="Q30" s="1" cm="1">
        <f t="array" ref="Q30">SUMPRODUCT(ISNUMBER(SEARCH("IMPBDS",[1]OUT_SyntheticFuels!$C$4:$C$1000))*1,("Var_Fout"=[1]OUT_SyntheticFuels!$B$4:$B$1000)*1,[1]OUT_SyntheticFuels!P$4:P$1000)-Q32</f>
        <v>2.8156685735366835</v>
      </c>
      <c r="S30" s="3"/>
    </row>
    <row r="31" spans="1:19" x14ac:dyDescent="0.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4.4341501764852902</v>
      </c>
      <c r="G31" s="1" cm="1">
        <f t="array" ref="G31">SUMPRODUCT(ISNUMBER(SEARCH("IMPeth",[1]OUT_SyntheticFuels!$C$4:$C$1000))*1,("Var_Fout"=[1]OUT_SyntheticFuels!$B$4:$B$1000)*1,[1]OUT_SyntheticFuels!F$4:F$1000)</f>
        <v>4.3986150509514648</v>
      </c>
      <c r="H31" s="1" cm="1">
        <f t="array" ref="H31">SUMPRODUCT(ISNUMBER(SEARCH("IMPeth",[1]OUT_SyntheticFuels!$C$4:$C$1000))*1,("Var_Fout"=[1]OUT_SyntheticFuels!$B$4:$B$1000)*1,[1]OUT_SyntheticFuels!G$4:G$1000)</f>
        <v>4.4007122582828719</v>
      </c>
      <c r="I31" s="1" cm="1">
        <f t="array" ref="I31">SUMPRODUCT(ISNUMBER(SEARCH("IMPeth",[1]OUT_SyntheticFuels!$C$4:$C$1000))*1,("Var_Fout"=[1]OUT_SyntheticFuels!$B$4:$B$1000)*1,[1]OUT_SyntheticFuels!H$4:H$1000)</f>
        <v>2.8028210647303418</v>
      </c>
      <c r="J31" s="1" cm="1">
        <f t="array" ref="J31">SUMPRODUCT(ISNUMBER(SEARCH("IMPeth",[1]OUT_SyntheticFuels!$C$4:$C$1000))*1,("Var_Fout"=[1]OUT_SyntheticFuels!$B$4:$B$1000)*1,[1]OUT_SyntheticFuels!I$4:I$1000)</f>
        <v>1.329586983424039</v>
      </c>
      <c r="K31" s="1" cm="1">
        <f t="array" ref="K31">SUMPRODUCT(ISNUMBER(SEARCH("IMPeth",[1]OUT_SyntheticFuels!$C$4:$C$1000))*1,("Var_Fout"=[1]OUT_SyntheticFuels!$B$4:$B$1000)*1,[1]OUT_SyntheticFuels!J$4:J$1000)</f>
        <v>0.58318468156248027</v>
      </c>
      <c r="L31" s="1" cm="1">
        <f t="array" ref="L31">SUMPRODUCT(ISNUMBER(SEARCH("IMPeth",[1]OUT_SyntheticFuels!$C$4:$C$1000))*1,("Var_Fout"=[1]OUT_SyntheticFuels!$B$4:$B$1000)*1,[1]OUT_SyntheticFuels!K$4:K$1000)</f>
        <v>4.5562319989739004</v>
      </c>
      <c r="M31" s="1" cm="1">
        <f t="array" ref="M31">SUMPRODUCT(ISNUMBER(SEARCH("IMPeth",[1]OUT_SyntheticFuels!$C$4:$C$1000))*1,("Var_Fout"=[1]OUT_SyntheticFuels!$B$4:$B$1000)*1,[1]OUT_SyntheticFuels!L$4:L$1000)</f>
        <v>1.8114727970429347</v>
      </c>
      <c r="N31" s="1" cm="1">
        <f t="array" ref="N31">SUMPRODUCT(ISNUMBER(SEARCH("IMPeth",[1]OUT_SyntheticFuels!$C$4:$C$1000))*1,("Var_Fout"=[1]OUT_SyntheticFuels!$B$4:$B$1000)*1,[1]OUT_SyntheticFuels!M$4:M$1000)</f>
        <v>1.7209245769463317</v>
      </c>
      <c r="O31" s="1" cm="1">
        <f t="array" ref="O31">SUMPRODUCT(ISNUMBER(SEARCH("IMPeth",[1]OUT_SyntheticFuels!$C$4:$C$1000))*1,("Var_Fout"=[1]OUT_SyntheticFuels!$B$4:$B$1000)*1,[1]OUT_SyntheticFuels!N$4:N$1000)</f>
        <v>1.4772210618038544</v>
      </c>
      <c r="P31" s="1" cm="1">
        <f t="array" ref="P31">SUMPRODUCT(ISNUMBER(SEARCH("IMPeth",[1]OUT_SyntheticFuels!$C$4:$C$1000))*1,("Var_Fout"=[1]OUT_SyntheticFuels!$B$4:$B$1000)*1,[1]OUT_SyntheticFuels!O$4:O$1000)</f>
        <v>1.355612009213786</v>
      </c>
      <c r="Q31" s="1" cm="1">
        <f t="array" ref="Q31">SUMPRODUCT(ISNUMBER(SEARCH("IMPeth",[1]OUT_SyntheticFuels!$C$4:$C$1000))*1,("Var_Fout"=[1]OUT_SyntheticFuels!$B$4:$B$1000)*1,[1]OUT_SyntheticFuels!P$4:P$1000)</f>
        <v>1.0906764453351792</v>
      </c>
      <c r="S31" s="3"/>
    </row>
    <row r="32" spans="1:19" x14ac:dyDescent="0.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3.3950520625614301E-4</v>
      </c>
      <c r="G32" s="1">
        <f>SUM([1]Transport_Aviation_Intl!C$12,[1]Transport!C$28)</f>
        <v>6.1967493696691697E-6</v>
      </c>
      <c r="H32" s="1">
        <f>SUM([1]Transport_Aviation_Intl!D$12,[1]Transport!D$28)</f>
        <v>4.2917365554131202E-4</v>
      </c>
      <c r="I32" s="1">
        <f>SUM([1]Transport_Aviation_Intl!E$12,[1]Transport!E$28)</f>
        <v>5.3159887882745389</v>
      </c>
      <c r="J32" s="1">
        <f>SUM([1]Transport_Aviation_Intl!F$12,[1]Transport!F$28)</f>
        <v>18.512545547796989</v>
      </c>
      <c r="K32" s="1">
        <f>SUM([1]Transport_Aviation_Intl!G$12,[1]Transport!G$28)</f>
        <v>38.846821268753061</v>
      </c>
      <c r="L32" s="1">
        <f>SUM([1]Transport_Aviation_Intl!H$12,[1]Transport!H$28)</f>
        <v>68.66213777625623</v>
      </c>
      <c r="M32" s="1">
        <f>SUM([1]Transport_Aviation_Intl!I$12,[1]Transport!I$28)</f>
        <v>95.543980549960509</v>
      </c>
      <c r="N32" s="1">
        <f>SUM([1]Transport_Aviation_Intl!J$12,[1]Transport!J$28)</f>
        <v>95.362839073219362</v>
      </c>
      <c r="O32" s="1">
        <f>SUM([1]Transport_Aviation_Intl!K$12,[1]Transport!K$28)</f>
        <v>96.256879238587331</v>
      </c>
      <c r="P32" s="1">
        <f>SUM([1]Transport_Aviation_Intl!L$12,[1]Transport!L$28)</f>
        <v>97.823961003909815</v>
      </c>
      <c r="Q32" s="1">
        <f>SUM([1]Transport_Aviation_Intl!M$12,[1]Transport!M$28)</f>
        <v>99.403496763702918</v>
      </c>
      <c r="S32" s="3"/>
    </row>
    <row r="33" spans="1:19" x14ac:dyDescent="0.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6.7170766321121986</v>
      </c>
      <c r="G33" s="1">
        <f t="shared" si="27"/>
        <v>6.7766277712299594</v>
      </c>
      <c r="H33" s="1">
        <f t="shared" si="27"/>
        <v>8.4222986906432542</v>
      </c>
      <c r="I33" s="1">
        <f t="shared" si="27"/>
        <v>12.657953704505417</v>
      </c>
      <c r="J33" s="1">
        <f t="shared" si="27"/>
        <v>11.109514792759324</v>
      </c>
      <c r="K33" s="1">
        <f>SUM(K34:K36)</f>
        <v>23.558786175248862</v>
      </c>
      <c r="L33" s="1">
        <f t="shared" ref="L33:O33" si="28">SUM(L34:L36)</f>
        <v>47.786677378536467</v>
      </c>
      <c r="M33" s="1">
        <f t="shared" si="28"/>
        <v>75.851616079645311</v>
      </c>
      <c r="N33" s="1">
        <f t="shared" si="28"/>
        <v>109.01851486825861</v>
      </c>
      <c r="O33" s="1">
        <f t="shared" si="28"/>
        <v>106.63460364359213</v>
      </c>
      <c r="P33" s="1">
        <f>SUM(P34:P36)</f>
        <v>105.33729183249568</v>
      </c>
      <c r="Q33" s="1">
        <f>SUM(Q34:Q36)</f>
        <v>101.73030602278168</v>
      </c>
      <c r="S33" s="3"/>
    </row>
    <row r="34" spans="1:19" x14ac:dyDescent="0.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9">F30</f>
        <v>2.2825869504206526</v>
      </c>
      <c r="G34" s="1">
        <f t="shared" si="29"/>
        <v>2.3780065235291246</v>
      </c>
      <c r="H34" s="1">
        <f t="shared" si="29"/>
        <v>4.0211572587048403</v>
      </c>
      <c r="I34" s="1">
        <f t="shared" si="29"/>
        <v>4.539143851500536</v>
      </c>
      <c r="J34" s="1">
        <f>IF(J30-MAX(F30:I30)&lt;0,J30,MAX(F30:I30))</f>
        <v>4.4639390210607459</v>
      </c>
      <c r="K34" s="1">
        <f>IF(K30-MAX(F30:J30)&lt;0,K30,MAX(F30:J30))</f>
        <v>4.4630559458893941</v>
      </c>
      <c r="L34" s="1">
        <f t="shared" ref="L34:O34" si="30">IF(L30-MAX(G30:K30)&lt;0,L30,MAX(G30:K30))</f>
        <v>4.539143851500536</v>
      </c>
      <c r="M34" s="1">
        <f t="shared" si="30"/>
        <v>5.3780055063461418</v>
      </c>
      <c r="N34" s="1">
        <f t="shared" si="30"/>
        <v>11.934751218092913</v>
      </c>
      <c r="O34" s="1">
        <f t="shared" si="30"/>
        <v>9.6134020318277607</v>
      </c>
      <c r="P34" s="1">
        <f>IF(P30-MAX(K30:O30)&lt;0,P30,MAX(K30:O30))</f>
        <v>7.7248005846945631</v>
      </c>
      <c r="Q34" s="1">
        <f>IF(Q30-MAX(L30:P30)&lt;0,Q30,MAX(L30:P30))</f>
        <v>2.8156685735366835</v>
      </c>
      <c r="S34" s="3"/>
    </row>
    <row r="35" spans="1:19" x14ac:dyDescent="0.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9"/>
        <v>4.4341501764852902</v>
      </c>
      <c r="G35" s="1">
        <f t="shared" si="29"/>
        <v>4.3986150509514648</v>
      </c>
      <c r="H35" s="1">
        <f t="shared" si="29"/>
        <v>4.4007122582828719</v>
      </c>
      <c r="I35" s="1">
        <f t="shared" si="29"/>
        <v>2.8028210647303418</v>
      </c>
      <c r="J35" s="1">
        <f>IF(J31-MAX(F31:I31)&lt;0,J31,MAX(F31:I31))</f>
        <v>1.329586983424039</v>
      </c>
      <c r="K35" s="1">
        <f>IF(K31-MAX(F31:J31)&lt;0,K31,MAX(F31:J31))</f>
        <v>0.58318468156248027</v>
      </c>
      <c r="L35" s="1">
        <f t="shared" ref="L35:O35" si="31">IF(L31-MAX(G31:K31)&lt;0,L31,MAX(G31:K31))</f>
        <v>4.4007122582828719</v>
      </c>
      <c r="M35" s="1">
        <f t="shared" si="31"/>
        <v>1.8114727970429347</v>
      </c>
      <c r="N35" s="1">
        <f t="shared" si="31"/>
        <v>1.7209245769463317</v>
      </c>
      <c r="O35" s="1">
        <f t="shared" si="31"/>
        <v>1.4772210618038544</v>
      </c>
      <c r="P35" s="1">
        <f>IF(P31-MAX(K31:O31)&lt;0,P31,MAX(K31:O31))</f>
        <v>1.355612009213786</v>
      </c>
      <c r="Q35" s="1">
        <f>IF(Q31-MAX(L31:P31)&lt;0,Q31,MAX(L31:P31))</f>
        <v>1.0906764453351792</v>
      </c>
      <c r="S35" s="3"/>
    </row>
    <row r="36" spans="1:19" x14ac:dyDescent="0.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3.3950520625614301E-4</v>
      </c>
      <c r="G36" s="1">
        <f>SUM([1]Transport!C$28,[1]Transport_Aviation_Intl!C$12)</f>
        <v>6.1967493696691697E-6</v>
      </c>
      <c r="H36" s="1">
        <f>SUM([1]Transport!D$28,[1]Transport_Aviation_Intl!D$12)</f>
        <v>4.2917365554131202E-4</v>
      </c>
      <c r="I36" s="1">
        <f>SUM([1]Transport!E$28,[1]Transport_Aviation_Intl!E$12)</f>
        <v>5.3159887882745389</v>
      </c>
      <c r="J36" s="1">
        <f>IF(J32-MAX(F32:I32)&lt;0,J32,MAX(F32:I32))</f>
        <v>5.3159887882745389</v>
      </c>
      <c r="K36" s="1">
        <f>IF(K32-MAX(G32:J32)&lt;0,K32,MAX(G32:J32))</f>
        <v>18.512545547796989</v>
      </c>
      <c r="L36" s="1">
        <f t="shared" ref="L36:O36" si="32">IF(L32-MAX(H32:K32)&lt;0,L32,MAX(H32:K32))</f>
        <v>38.846821268753061</v>
      </c>
      <c r="M36" s="1">
        <f t="shared" si="32"/>
        <v>68.66213777625623</v>
      </c>
      <c r="N36" s="1">
        <f t="shared" si="32"/>
        <v>95.362839073219362</v>
      </c>
      <c r="O36" s="1">
        <f t="shared" si="32"/>
        <v>95.543980549960509</v>
      </c>
      <c r="P36" s="1">
        <f>IF(P32-MAX(L32:O32)&lt;0,P32,MAX(L32:O32))</f>
        <v>96.256879238587331</v>
      </c>
      <c r="Q36" s="1">
        <f>IF(Q32-MAX(M32:P32)&lt;0,Q32,MAX(M32:P32))</f>
        <v>97.823961003909815</v>
      </c>
      <c r="S36" s="3"/>
    </row>
    <row r="37" spans="1:19" x14ac:dyDescent="0.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33">SUM(G38:G40)</f>
        <v>0</v>
      </c>
      <c r="H37" s="1">
        <f t="shared" si="33"/>
        <v>0</v>
      </c>
      <c r="I37" s="1">
        <f t="shared" si="33"/>
        <v>0</v>
      </c>
      <c r="J37" s="1">
        <f t="shared" si="33"/>
        <v>13.196556759522451</v>
      </c>
      <c r="K37" s="1">
        <f t="shared" si="33"/>
        <v>20.334275720956072</v>
      </c>
      <c r="L37" s="1">
        <f t="shared" ref="L37:O37" si="34">SUM(L38:L40)</f>
        <v>30.809697903039805</v>
      </c>
      <c r="M37" s="1">
        <f t="shared" si="34"/>
        <v>35.569002360735041</v>
      </c>
      <c r="N37" s="1">
        <f t="shared" si="34"/>
        <v>0</v>
      </c>
      <c r="O37" s="1">
        <f t="shared" si="34"/>
        <v>0.71289868862682226</v>
      </c>
      <c r="P37" s="1">
        <f>SUM(P38:P40)</f>
        <v>1.5670817653224844</v>
      </c>
      <c r="Q37" s="1">
        <f>SUM(Q38:Q40)</f>
        <v>1.579535759793103</v>
      </c>
      <c r="S37" s="3"/>
    </row>
    <row r="38" spans="1:19" x14ac:dyDescent="0.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5">J30-J34</f>
        <v>0</v>
      </c>
      <c r="K38" s="1">
        <f t="shared" si="35"/>
        <v>0</v>
      </c>
      <c r="L38" s="1">
        <f t="shared" ref="L38:O38" si="36">L30-L34</f>
        <v>0.83886165484560582</v>
      </c>
      <c r="M38" s="1">
        <f t="shared" si="36"/>
        <v>8.687159587030763</v>
      </c>
      <c r="N38" s="1">
        <f t="shared" si="36"/>
        <v>0</v>
      </c>
      <c r="O38" s="1">
        <f t="shared" si="36"/>
        <v>0</v>
      </c>
      <c r="P38" s="1">
        <f t="shared" ref="P38:Q40" si="37">P30-P34</f>
        <v>0</v>
      </c>
      <c r="Q38" s="1">
        <f t="shared" si="37"/>
        <v>0</v>
      </c>
      <c r="S38" s="3"/>
    </row>
    <row r="39" spans="1:19" x14ac:dyDescent="0.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5"/>
        <v>0</v>
      </c>
      <c r="K39" s="1">
        <f t="shared" si="35"/>
        <v>0</v>
      </c>
      <c r="L39" s="1">
        <f t="shared" ref="L39:O39" si="38">L31-L35</f>
        <v>0.15551974069102847</v>
      </c>
      <c r="M39" s="1">
        <f t="shared" si="38"/>
        <v>0</v>
      </c>
      <c r="N39" s="1">
        <f t="shared" si="38"/>
        <v>0</v>
      </c>
      <c r="O39" s="1">
        <f t="shared" si="38"/>
        <v>0</v>
      </c>
      <c r="P39" s="1">
        <f t="shared" si="37"/>
        <v>0</v>
      </c>
      <c r="Q39" s="1">
        <f t="shared" si="37"/>
        <v>0</v>
      </c>
      <c r="S39" s="3"/>
    </row>
    <row r="40" spans="1:19" x14ac:dyDescent="0.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5"/>
        <v>13.196556759522451</v>
      </c>
      <c r="K40" s="1">
        <f t="shared" si="35"/>
        <v>20.334275720956072</v>
      </c>
      <c r="L40" s="1">
        <f t="shared" ref="L40:O40" si="39">L32-L36</f>
        <v>29.815316507503169</v>
      </c>
      <c r="M40" s="1">
        <f t="shared" si="39"/>
        <v>26.881842773704278</v>
      </c>
      <c r="N40" s="1">
        <f t="shared" si="39"/>
        <v>0</v>
      </c>
      <c r="O40" s="1">
        <f t="shared" si="39"/>
        <v>0.71289868862682226</v>
      </c>
      <c r="P40" s="1">
        <f t="shared" si="37"/>
        <v>1.5670817653224844</v>
      </c>
      <c r="Q40" s="1">
        <f t="shared" si="37"/>
        <v>1.579535759793103</v>
      </c>
      <c r="S40" s="3"/>
    </row>
    <row r="41" spans="1:19" x14ac:dyDescent="0.5">
      <c r="A41" s="5" t="str">
        <f t="shared" ref="A41:C42" si="40">A28</f>
        <v>STEM</v>
      </c>
      <c r="B41" s="5" t="str">
        <f t="shared" si="40"/>
        <v>SPS1</v>
      </c>
      <c r="C41" s="5" t="str">
        <f t="shared" si="40"/>
        <v>CH</v>
      </c>
      <c r="D41" t="s">
        <v>783</v>
      </c>
      <c r="E41" t="s">
        <v>8</v>
      </c>
      <c r="F41" s="1">
        <f>F42+F45</f>
        <v>116.98283025509825</v>
      </c>
      <c r="G41" s="1">
        <f t="shared" ref="G41:K41" si="41">G42+G45</f>
        <v>107.2365005379245</v>
      </c>
      <c r="H41" s="1">
        <f t="shared" si="41"/>
        <v>112.67849960064441</v>
      </c>
      <c r="I41" s="1">
        <f t="shared" si="41"/>
        <v>109.82374572626647</v>
      </c>
      <c r="J41" s="1">
        <f t="shared" si="41"/>
        <v>97.575561287449318</v>
      </c>
      <c r="K41" s="1">
        <f t="shared" si="41"/>
        <v>99.776273094689913</v>
      </c>
      <c r="L41" s="1">
        <f t="shared" ref="L41:O41" si="42">L42+L45</f>
        <v>84.459310157538937</v>
      </c>
      <c r="M41" s="1">
        <f t="shared" si="42"/>
        <v>36.452234755195306</v>
      </c>
      <c r="N41" s="1">
        <f t="shared" si="42"/>
        <v>34.869987644091566</v>
      </c>
      <c r="O41" s="1">
        <f t="shared" si="42"/>
        <v>38.443306074488774</v>
      </c>
      <c r="P41" s="1">
        <f>P42+P45</f>
        <v>41.967170141266934</v>
      </c>
      <c r="Q41" s="1">
        <f>Q42+Q45</f>
        <v>46.115425366432916</v>
      </c>
      <c r="S41" s="3"/>
    </row>
    <row r="42" spans="1:19" x14ac:dyDescent="0.5">
      <c r="A42" s="5" t="str">
        <f t="shared" si="40"/>
        <v>STEM</v>
      </c>
      <c r="B42" s="5" t="str">
        <f t="shared" si="40"/>
        <v>SPS1</v>
      </c>
      <c r="C42" s="5" t="str">
        <f t="shared" si="40"/>
        <v>CH</v>
      </c>
      <c r="D42" t="s">
        <v>549</v>
      </c>
      <c r="E42" t="s">
        <v>8</v>
      </c>
      <c r="F42" s="1">
        <f>F43+F44</f>
        <v>116.98283025509825</v>
      </c>
      <c r="G42" s="1">
        <f t="shared" ref="G42:K42" si="43">G43+G44</f>
        <v>106.72000034322977</v>
      </c>
      <c r="H42" s="1">
        <f t="shared" si="43"/>
        <v>111.51135816485316</v>
      </c>
      <c r="I42" s="1">
        <f t="shared" si="43"/>
        <v>105.45676820397665</v>
      </c>
      <c r="J42" s="1">
        <f t="shared" si="43"/>
        <v>91.645312561395443</v>
      </c>
      <c r="K42" s="1">
        <f t="shared" si="43"/>
        <v>91.548077743505132</v>
      </c>
      <c r="L42" s="1">
        <f t="shared" ref="L42:O42" si="44">L43+L44</f>
        <v>72.854951586853261</v>
      </c>
      <c r="M42" s="1">
        <f t="shared" si="44"/>
        <v>19.88737261025555</v>
      </c>
      <c r="N42" s="1">
        <f t="shared" si="44"/>
        <v>11.016403531595468</v>
      </c>
      <c r="O42" s="1">
        <f t="shared" si="44"/>
        <v>3.8806645632420635</v>
      </c>
      <c r="P42" s="1">
        <f>P43+P44</f>
        <v>1.1610930787460163</v>
      </c>
      <c r="Q42" s="1">
        <f>Q43+Q44</f>
        <v>6.3828622129667133E-3</v>
      </c>
      <c r="S42" s="3"/>
    </row>
    <row r="43" spans="1:19" x14ac:dyDescent="0.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116.98283025509825</v>
      </c>
      <c r="G43" s="1" cm="1">
        <f t="array" ref="G43">SUMPRODUCT(("NGA"=[1]OUT_PrimaryEnergyCons!$C$4:$C$10000)*1,[1]OUT_PrimaryEnergyCons!E$4:E$10000)</f>
        <v>106.72000034322977</v>
      </c>
      <c r="H43" s="1" cm="1">
        <f t="array" ref="H43">SUMPRODUCT(("NGA"=[1]OUT_PrimaryEnergyCons!$C$4:$C$10000)*1,[1]OUT_PrimaryEnergyCons!F$4:F$10000)</f>
        <v>111.51135816485316</v>
      </c>
      <c r="I43" s="1" cm="1">
        <f t="array" ref="I43">SUMPRODUCT(("NGA"=[1]OUT_PrimaryEnergyCons!$C$4:$C$10000)*1,[1]OUT_PrimaryEnergyCons!G$4:G$10000)</f>
        <v>105.45663214707338</v>
      </c>
      <c r="J43" s="1" cm="1">
        <f t="array" ref="J43">SUMPRODUCT(("NGA"=[1]OUT_PrimaryEnergyCons!$C$4:$C$10000)*1,[1]OUT_PrimaryEnergyCons!H$4:H$10000)</f>
        <v>91.644693387730726</v>
      </c>
      <c r="K43" s="1" cm="1">
        <f t="array" ref="K43">SUMPRODUCT(("NGA"=[1]OUT_PrimaryEnergyCons!$C$4:$C$10000)*1,[1]OUT_PrimaryEnergyCons!I$4:I$10000)</f>
        <v>91.547711198501602</v>
      </c>
      <c r="L43" s="1" cm="1">
        <f t="array" ref="L43">SUMPRODUCT(("NGA"=[1]OUT_PrimaryEnergyCons!$C$4:$C$10000)*1,[1]OUT_PrimaryEnergyCons!J$4:J$10000)</f>
        <v>72.854696668125669</v>
      </c>
      <c r="M43" s="1" cm="1">
        <f t="array" ref="M43">SUMPRODUCT(("NGA"=[1]OUT_PrimaryEnergyCons!$C$4:$C$10000)*1,[1]OUT_PrimaryEnergyCons!K$4:K$10000)</f>
        <v>19.8870934484309</v>
      </c>
      <c r="N43" s="1" cm="1">
        <f t="array" ref="N43">SUMPRODUCT(("NGA"=[1]OUT_PrimaryEnergyCons!$C$4:$C$10000)*1,[1]OUT_PrimaryEnergyCons!L$4:L$10000)</f>
        <v>11.016206029658798</v>
      </c>
      <c r="O43" s="1" cm="1">
        <f t="array" ref="O43">SUMPRODUCT(("NGA"=[1]OUT_PrimaryEnergyCons!$C$4:$C$10000)*1,[1]OUT_PrimaryEnergyCons!M$4:M$10000)</f>
        <v>3.8801205399778986</v>
      </c>
      <c r="P43" s="1" cm="1">
        <f t="array" ref="P43">SUMPRODUCT(("NGA"=[1]OUT_PrimaryEnergyCons!$C$4:$C$10000)*1,[1]OUT_PrimaryEnergyCons!N$4:N$10000)</f>
        <v>1.1600448483512669</v>
      </c>
      <c r="Q43" s="1" cm="1">
        <f t="array" ref="Q43">SUMPRODUCT(("NGA"=[1]OUT_PrimaryEnergyCons!$C$4:$C$10000)*1,[1]OUT_PrimaryEnergyCons!O$4:O$10000)</f>
        <v>4.4952698962205731E-3</v>
      </c>
      <c r="S43" s="3"/>
    </row>
    <row r="44" spans="1:19" x14ac:dyDescent="0.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1.3605690327024965E-4</v>
      </c>
      <c r="J44" s="1" cm="1">
        <f t="array" ref="J44">SUMPRODUCT(("LNGA"=[1]OUT_PrimaryEnergyCons!$C$4:$C$10000)*1,[1]OUT_PrimaryEnergyCons!H$4:H$10000)</f>
        <v>6.1917366471307786E-4</v>
      </c>
      <c r="K44" s="1" cm="1">
        <f t="array" ref="K44">SUMPRODUCT(("LNGA"=[1]OUT_PrimaryEnergyCons!$C$4:$C$10000)*1,[1]OUT_PrimaryEnergyCons!I$4:I$10000)</f>
        <v>3.6654500352449929E-4</v>
      </c>
      <c r="L44" s="1" cm="1">
        <f t="array" ref="L44">SUMPRODUCT(("LNGA"=[1]OUT_PrimaryEnergyCons!$C$4:$C$10000)*1,[1]OUT_PrimaryEnergyCons!J$4:J$10000)</f>
        <v>2.5491872758614327E-4</v>
      </c>
      <c r="M44" s="1" cm="1">
        <f t="array" ref="M44">SUMPRODUCT(("LNGA"=[1]OUT_PrimaryEnergyCons!$C$4:$C$10000)*1,[1]OUT_PrimaryEnergyCons!K$4:K$10000)</f>
        <v>2.7916182465029124E-4</v>
      </c>
      <c r="N44" s="1" cm="1">
        <f t="array" ref="N44">SUMPRODUCT(("LNGA"=[1]OUT_PrimaryEnergyCons!$C$4:$C$10000)*1,[1]OUT_PrimaryEnergyCons!L$4:L$10000)</f>
        <v>1.9750193667085618E-4</v>
      </c>
      <c r="O44" s="1" cm="1">
        <f t="array" ref="O44">SUMPRODUCT(("LNGA"=[1]OUT_PrimaryEnergyCons!$C$4:$C$10000)*1,[1]OUT_PrimaryEnergyCons!M$4:M$10000)</f>
        <v>5.4402326416510844E-4</v>
      </c>
      <c r="P44" s="1" cm="1">
        <f t="array" ref="P44">SUMPRODUCT(("LNGA"=[1]OUT_PrimaryEnergyCons!$C$4:$C$10000)*1,[1]OUT_PrimaryEnergyCons!N$4:N$10000)</f>
        <v>1.0482303947493454E-3</v>
      </c>
      <c r="Q44" s="1" cm="1">
        <f t="array" ref="Q44">SUMPRODUCT(("LNGA"=[1]OUT_PrimaryEnergyCons!$C$4:$C$10000)*1,[1]OUT_PrimaryEnergyCons!O$4:O$10000)</f>
        <v>1.8875923167461402E-3</v>
      </c>
      <c r="S44" s="3"/>
    </row>
    <row r="45" spans="1:19" x14ac:dyDescent="0.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0.51650019469473041</v>
      </c>
      <c r="H45" s="1" cm="1">
        <f t="array" ref="H45">SUMPRODUCT(("BIO"=[1]OUT_PrimaryEnergyCons!$C$4:$C$10000)*1+("LBIO"=[1]OUT_PrimaryEnergyCons!$C$4:$C$10000)*1,[1]OUT_PrimaryEnergyCons!F$4:F$10000)</f>
        <v>1.167141435791258</v>
      </c>
      <c r="I45" s="1" cm="1">
        <f t="array" ref="I45">SUMPRODUCT(("BIO"=[1]OUT_PrimaryEnergyCons!$C$4:$C$10000)*1+("LBIO"=[1]OUT_PrimaryEnergyCons!$C$4:$C$10000)*1,[1]OUT_PrimaryEnergyCons!G$4:G$10000)</f>
        <v>4.3669775222898171</v>
      </c>
      <c r="J45" s="1" cm="1">
        <f t="array" ref="J45">SUMPRODUCT(("BIO"=[1]OUT_PrimaryEnergyCons!$C$4:$C$10000)*1+("LBIO"=[1]OUT_PrimaryEnergyCons!$C$4:$C$10000)*1,[1]OUT_PrimaryEnergyCons!H$4:H$10000)</f>
        <v>5.9302487260538701</v>
      </c>
      <c r="K45" s="1" cm="1">
        <f t="array" ref="K45">SUMPRODUCT(("BIO"=[1]OUT_PrimaryEnergyCons!$C$4:$C$10000)*1+("LBIO"=[1]OUT_PrimaryEnergyCons!$C$4:$C$10000)*1,[1]OUT_PrimaryEnergyCons!I$4:I$10000)</f>
        <v>8.2281953511847767</v>
      </c>
      <c r="L45" s="1" cm="1">
        <f t="array" ref="L45">SUMPRODUCT(("BIO"=[1]OUT_PrimaryEnergyCons!$C$4:$C$10000)*1+("LBIO"=[1]OUT_PrimaryEnergyCons!$C$4:$C$10000)*1,[1]OUT_PrimaryEnergyCons!J$4:J$10000)</f>
        <v>11.604358570685671</v>
      </c>
      <c r="M45" s="1" cm="1">
        <f t="array" ref="M45">SUMPRODUCT(("BIO"=[1]OUT_PrimaryEnergyCons!$C$4:$C$10000)*1+("LBIO"=[1]OUT_PrimaryEnergyCons!$C$4:$C$10000)*1,[1]OUT_PrimaryEnergyCons!K$4:K$10000)</f>
        <v>16.564862144939752</v>
      </c>
      <c r="N45" s="1" cm="1">
        <f t="array" ref="N45">SUMPRODUCT(("BIO"=[1]OUT_PrimaryEnergyCons!$C$4:$C$10000)*1+("LBIO"=[1]OUT_PrimaryEnergyCons!$C$4:$C$10000)*1,[1]OUT_PrimaryEnergyCons!L$4:L$10000)</f>
        <v>23.853584112496094</v>
      </c>
      <c r="O45" s="1" cm="1">
        <f t="array" ref="O45">SUMPRODUCT(("BIO"=[1]OUT_PrimaryEnergyCons!$C$4:$C$10000)*1+("LBIO"=[1]OUT_PrimaryEnergyCons!$C$4:$C$10000)*1,[1]OUT_PrimaryEnergyCons!M$4:M$10000)</f>
        <v>34.56264151124671</v>
      </c>
      <c r="P45" s="1" cm="1">
        <f t="array" ref="P45">SUMPRODUCT(("BIO"=[1]OUT_PrimaryEnergyCons!$C$4:$C$10000)*1+("LBIO"=[1]OUT_PrimaryEnergyCons!$C$4:$C$10000)*1,[1]OUT_PrimaryEnergyCons!N$4:N$10000)</f>
        <v>40.80607706252092</v>
      </c>
      <c r="Q45" s="1" cm="1">
        <f t="array" ref="Q45">SUMPRODUCT(("BIO"=[1]OUT_PrimaryEnergyCons!$C$4:$C$10000)*1+("LBIO"=[1]OUT_PrimaryEnergyCons!$C$4:$C$10000)*1,[1]OUT_PrimaryEnergyCons!O$4:O$10000)</f>
        <v>46.10904250421995</v>
      </c>
      <c r="S45" s="3"/>
    </row>
    <row r="46" spans="1:19" x14ac:dyDescent="0.5">
      <c r="A46" s="5" t="str">
        <f t="shared" ref="A46:C47" si="45">A45</f>
        <v>STEM</v>
      </c>
      <c r="B46" s="5" t="str">
        <f t="shared" si="45"/>
        <v>SPS1</v>
      </c>
      <c r="C46" s="5" t="str">
        <f t="shared" si="45"/>
        <v>CH</v>
      </c>
      <c r="D46" t="s">
        <v>785</v>
      </c>
      <c r="E46" t="s">
        <v>8</v>
      </c>
      <c r="F46" s="1">
        <f t="shared" ref="F46:O46" si="46">F47</f>
        <v>0</v>
      </c>
      <c r="G46" s="1">
        <f t="shared" si="46"/>
        <v>0.51650019469473041</v>
      </c>
      <c r="H46" s="1">
        <f t="shared" si="46"/>
        <v>1.167141435791258</v>
      </c>
      <c r="I46" s="1">
        <f t="shared" si="46"/>
        <v>4.3669775222898171</v>
      </c>
      <c r="J46" s="1">
        <f t="shared" si="46"/>
        <v>4.3669775222898171</v>
      </c>
      <c r="K46" s="1">
        <f t="shared" si="46"/>
        <v>5.9302487260538701</v>
      </c>
      <c r="L46" s="1">
        <f t="shared" si="46"/>
        <v>8.2281953511847767</v>
      </c>
      <c r="M46" s="1">
        <f t="shared" si="46"/>
        <v>11.604358570685671</v>
      </c>
      <c r="N46" s="1">
        <f t="shared" si="46"/>
        <v>16.564862144939752</v>
      </c>
      <c r="O46" s="1">
        <f t="shared" si="46"/>
        <v>23.853584112496094</v>
      </c>
      <c r="P46" s="1">
        <f>P47</f>
        <v>34.56264151124671</v>
      </c>
      <c r="Q46" s="1">
        <f>Q47</f>
        <v>40.80607706252092</v>
      </c>
      <c r="S46" s="3"/>
    </row>
    <row r="47" spans="1:19" x14ac:dyDescent="0.5">
      <c r="A47" s="5" t="str">
        <f t="shared" si="45"/>
        <v>STEM</v>
      </c>
      <c r="B47" s="5" t="str">
        <f t="shared" si="45"/>
        <v>SPS1</v>
      </c>
      <c r="C47" s="5" t="str">
        <f t="shared" si="45"/>
        <v>CH</v>
      </c>
      <c r="D47" t="s">
        <v>611</v>
      </c>
      <c r="E47" t="s">
        <v>8</v>
      </c>
      <c r="F47" s="1">
        <f>F45</f>
        <v>0</v>
      </c>
      <c r="G47" s="1">
        <f>G45</f>
        <v>0.51650019469473041</v>
      </c>
      <c r="H47" s="1">
        <f>H45</f>
        <v>1.167141435791258</v>
      </c>
      <c r="I47" s="1">
        <f>I45</f>
        <v>4.3669775222898171</v>
      </c>
      <c r="J47" s="1">
        <f>IF(J45-MAX(F45:I45)&lt;0,J45,MAX(F45:I45))</f>
        <v>4.3669775222898171</v>
      </c>
      <c r="K47" s="1">
        <f>IF(K45-MAX(G45:J45)&lt;0,K45,MAX(G45:J45))</f>
        <v>5.9302487260538701</v>
      </c>
      <c r="L47" s="1">
        <f t="shared" ref="L47:O47" si="47">IF(L45-MAX(H45:K45)&lt;0,L45,MAX(H45:K45))</f>
        <v>8.2281953511847767</v>
      </c>
      <c r="M47" s="1">
        <f t="shared" si="47"/>
        <v>11.604358570685671</v>
      </c>
      <c r="N47" s="1">
        <f t="shared" si="47"/>
        <v>16.564862144939752</v>
      </c>
      <c r="O47" s="1">
        <f t="shared" si="47"/>
        <v>23.853584112496094</v>
      </c>
      <c r="P47" s="1">
        <f>IF(P45-MAX(L45:O45)&lt;0,P45,MAX(L45:O45))</f>
        <v>34.56264151124671</v>
      </c>
      <c r="Q47" s="1">
        <f>IF(Q45-MAX(M45:P45)&lt;0,Q45,MAX(M45:P45))</f>
        <v>40.80607706252092</v>
      </c>
      <c r="S47" s="3"/>
    </row>
    <row r="48" spans="1:19" x14ac:dyDescent="0.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O48" si="48">F49</f>
        <v>0</v>
      </c>
      <c r="G48" s="1">
        <f t="shared" si="48"/>
        <v>0</v>
      </c>
      <c r="H48" s="1">
        <f t="shared" si="48"/>
        <v>0</v>
      </c>
      <c r="I48" s="1">
        <f t="shared" si="48"/>
        <v>0</v>
      </c>
      <c r="J48" s="1">
        <f t="shared" si="48"/>
        <v>1.563271203764053</v>
      </c>
      <c r="K48" s="1">
        <f t="shared" si="48"/>
        <v>2.2979466251309066</v>
      </c>
      <c r="L48" s="1">
        <f t="shared" si="48"/>
        <v>3.3761632195008939</v>
      </c>
      <c r="M48" s="1">
        <f t="shared" si="48"/>
        <v>4.9605035742540817</v>
      </c>
      <c r="N48" s="1">
        <f t="shared" si="48"/>
        <v>7.2887219675563415</v>
      </c>
      <c r="O48" s="1">
        <f t="shared" si="48"/>
        <v>10.709057398750616</v>
      </c>
      <c r="P48" s="1">
        <f>P49</f>
        <v>6.2434355512742101</v>
      </c>
      <c r="Q48" s="1">
        <f>Q49</f>
        <v>5.3029654416990297</v>
      </c>
      <c r="S48" s="3"/>
    </row>
    <row r="49" spans="1:19" x14ac:dyDescent="0.5">
      <c r="A49" s="5" t="str">
        <f t="shared" ref="A49" si="49">A47</f>
        <v>STEM</v>
      </c>
      <c r="B49" s="5" t="str">
        <f t="shared" ref="B49" si="50">B47</f>
        <v>SPS1</v>
      </c>
      <c r="C49" s="5" t="str">
        <f t="shared" ref="C49" si="51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1.563271203764053</v>
      </c>
      <c r="K49" s="1">
        <f>K45-K47</f>
        <v>2.2979466251309066</v>
      </c>
      <c r="L49" s="1">
        <f t="shared" ref="L49:O49" si="52">L45-L47</f>
        <v>3.3761632195008939</v>
      </c>
      <c r="M49" s="1">
        <f t="shared" si="52"/>
        <v>4.9605035742540817</v>
      </c>
      <c r="N49" s="1">
        <f t="shared" si="52"/>
        <v>7.2887219675563415</v>
      </c>
      <c r="O49" s="1">
        <f t="shared" si="52"/>
        <v>10.709057398750616</v>
      </c>
      <c r="P49" s="1">
        <f>P45-P47</f>
        <v>6.2434355512742101</v>
      </c>
      <c r="Q49" s="1">
        <f>Q45-Q47</f>
        <v>5.3029654416990297</v>
      </c>
      <c r="S49" s="3"/>
    </row>
    <row r="50" spans="1:19" x14ac:dyDescent="0.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250.94817837501941</v>
      </c>
      <c r="G50" s="1" cm="1">
        <f t="array" ref="G50">SUMPRODUCT(("urn"=[1]OUT_PrimaryEnergyCons!$C$4:$C$10000)*1,[1]OUT_PrimaryEnergyCons!E$4:E$10000)</f>
        <v>254.39254324048167</v>
      </c>
      <c r="H50" s="1" cm="1">
        <f t="array" ref="H50">SUMPRODUCT(("urn"=[1]OUT_PrimaryEnergyCons!$C$4:$C$10000)*1,[1]OUT_PrimaryEnergyCons!F$4:F$10000)</f>
        <v>224.18692539895818</v>
      </c>
      <c r="I50" s="1" cm="1">
        <f t="array" ref="I50">SUMPRODUCT(("urn"=[1]OUT_PrimaryEnergyCons!$C$4:$C$10000)*1,[1]OUT_PrimaryEnergyCons!G$4:G$10000)</f>
        <v>221.53743910497542</v>
      </c>
      <c r="J50" s="1" cm="1">
        <f t="array" ref="J50">SUMPRODUCT(("urn"=[1]OUT_PrimaryEnergyCons!$C$4:$C$10000)*1,[1]OUT_PrimaryEnergyCons!H$4:H$10000)</f>
        <v>189.73915367036079</v>
      </c>
      <c r="K50" s="1" cm="1">
        <f t="array" ref="K50">SUMPRODUCT(("urn"=[1]OUT_PrimaryEnergyCons!$C$4:$C$10000)*1,[1]OUT_PrimaryEnergyCons!I$4:I$10000)</f>
        <v>100.03575043037419</v>
      </c>
      <c r="L50" s="1" cm="1">
        <f t="array" ref="L50">SUMPRODUCT(("urn"=[1]OUT_PrimaryEnergyCons!$C$4:$C$10000)*1,[1]OUT_PrimaryEnergyCons!J$4:J$10000)</f>
        <v>0</v>
      </c>
      <c r="M50" s="1" cm="1">
        <f t="array" ref="M50">SUMPRODUCT(("urn"=[1]OUT_PrimaryEnergyCons!$C$4:$C$10000)*1,[1]OUT_PrimaryEnergyCons!K$4:K$10000)</f>
        <v>0</v>
      </c>
      <c r="N50" s="1" cm="1">
        <f t="array" ref="N50">SUMPRODUCT(("urn"=[1]OUT_PrimaryEnergyCons!$C$4:$C$10000)*1,[1]OUT_PrimaryEnergyCons!L$4:L$10000)</f>
        <v>0</v>
      </c>
      <c r="O50" s="1" cm="1">
        <f t="array" ref="O50">SUMPRODUCT(("urn"=[1]OUT_PrimaryEnergyCons!$C$4:$C$10000)*1,[1]OUT_PrimaryEnergyCons!M$4:M$10000)</f>
        <v>0</v>
      </c>
      <c r="P50" s="1" cm="1">
        <f t="array" ref="P50">SUMPRODUCT(("urn"=[1]OUT_PrimaryEnergyCons!$C$4:$C$10000)*1,[1]OUT_PrimaryEnergyCons!N$4:N$10000)</f>
        <v>0</v>
      </c>
      <c r="Q50" s="1" cm="1">
        <f t="array" ref="Q50">SUMPRODUCT(("urn"=[1]OUT_PrimaryEnergyCons!$C$4:$C$10000)*1,[1]OUT_PrimaryEnergyCons!O$4:O$10000)</f>
        <v>0</v>
      </c>
      <c r="S50" s="3"/>
    </row>
    <row r="51" spans="1:19" x14ac:dyDescent="0.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97.160002261649623</v>
      </c>
      <c r="G51" s="1">
        <f t="shared" ref="G51:K51" si="53">SUM(G52:G55)</f>
        <v>50.273801687129406</v>
      </c>
      <c r="H51" s="1">
        <f t="shared" si="53"/>
        <v>50.451808654464507</v>
      </c>
      <c r="I51" s="1">
        <f t="shared" si="53"/>
        <v>45.94505039004892</v>
      </c>
      <c r="J51" s="1">
        <f t="shared" si="53"/>
        <v>41.866992446653924</v>
      </c>
      <c r="K51" s="1">
        <f t="shared" si="53"/>
        <v>54.84547194813787</v>
      </c>
      <c r="L51" s="1">
        <f t="shared" ref="L51:O51" si="54">SUM(L52:L55)</f>
        <v>65.544131726619767</v>
      </c>
      <c r="M51" s="1">
        <f t="shared" si="54"/>
        <v>69.219529071846594</v>
      </c>
      <c r="N51" s="1">
        <f t="shared" si="54"/>
        <v>69.240524906452166</v>
      </c>
      <c r="O51" s="1">
        <f t="shared" si="54"/>
        <v>69.205656118782827</v>
      </c>
      <c r="P51" s="1">
        <f>SUM(P52:P55)</f>
        <v>69.189630618112517</v>
      </c>
      <c r="Q51" s="1">
        <f>SUM(Q52:Q55)</f>
        <v>69.197847853494125</v>
      </c>
      <c r="S51" s="3"/>
    </row>
    <row r="52" spans="1:19" x14ac:dyDescent="0.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15.013806189854497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3.885661375543538E-3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2.3685546107507891E-3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3.2564453160636004E-3</v>
      </c>
      <c r="J52" s="1" cm="1">
        <f t="array" ref="J52">SUMPRODUCT(([1]OUT_Electricity_CHP!$B$1:$B$10000="G-INTC-IMP00-AT")*1,([1]OUT_Electricity_CHP!$C$1:$C$10000="Var_Fout")*1,ISNUMBER(SEARCH("ELC",[1]OUT_Electricity_CHP!$D$1:$D$10000))*1,[1]OUT_Electricity_CHP!I$1:I$10000)</f>
        <v>1.0160737308297959E-3</v>
      </c>
      <c r="K52" s="1" cm="1">
        <f t="array" ref="K52">SUMPRODUCT(([1]OUT_Electricity_CHP!$B$1:$B$10000="G-INTC-IMP00-AT")*1,([1]OUT_Electricity_CHP!$C$1:$C$10000="Var_Fout")*1,ISNUMBER(SEARCH("ELC",[1]OUT_Electricity_CHP!$D$1:$D$10000))*1,[1]OUT_Electricity_CHP!J$1:J$10000)</f>
        <v>1.4283240461735009E-3</v>
      </c>
      <c r="L52" s="1" cm="1">
        <f t="array" ref="L52">SUMPRODUCT(([1]OUT_Electricity_CHP!$B$1:$B$10000="G-INTC-IMP00-AT")*1,([1]OUT_Electricity_CHP!$C$1:$C$10000="Var_Fout")*1,ISNUMBER(SEARCH("ELC",[1]OUT_Electricity_CHP!$D$1:$D$10000))*1,[1]OUT_Electricity_CHP!K$1:K$10000)</f>
        <v>2.2767531916576679E-3</v>
      </c>
      <c r="M52" s="1" cm="1">
        <f t="array" ref="M52">SUMPRODUCT(([1]OUT_Electricity_CHP!$B$1:$B$10000="G-INTC-IMP00-AT")*1,([1]OUT_Electricity_CHP!$C$1:$C$10000="Var_Fout")*1,ISNUMBER(SEARCH("ELC",[1]OUT_Electricity_CHP!$D$1:$D$10000))*1,[1]OUT_Electricity_CHP!L$1:L$10000)</f>
        <v>2.438835850196352E-3</v>
      </c>
      <c r="N52" s="1" cm="1">
        <f t="array" ref="N52">SUMPRODUCT(([1]OUT_Electricity_CHP!$B$1:$B$10000="G-INTC-IMP00-AT")*1,([1]OUT_Electricity_CHP!$C$1:$C$10000="Var_Fout")*1,ISNUMBER(SEARCH("ELC",[1]OUT_Electricity_CHP!$D$1:$D$10000))*1,[1]OUT_Electricity_CHP!M$1:M$10000)</f>
        <v>2.5881582163336399E-3</v>
      </c>
      <c r="O52" s="1" cm="1">
        <f t="array" ref="O52">SUMPRODUCT(([1]OUT_Electricity_CHP!$B$1:$B$10000="G-INTC-IMP00-AT")*1,([1]OUT_Electricity_CHP!$C$1:$C$10000="Var_Fout")*1,ISNUMBER(SEARCH("ELC",[1]OUT_Electricity_CHP!$D$1:$D$10000))*1,[1]OUT_Electricity_CHP!N$1:N$10000)</f>
        <v>8.2920030715564135</v>
      </c>
      <c r="P52" s="1" cm="1">
        <f t="array" ref="P52">SUMPRODUCT(([1]OUT_Electricity_CHP!$B$1:$B$10000="G-INTC-IMP00-AT")*1,([1]OUT_Electricity_CHP!$C$1:$C$10000="Var_Fout")*1,ISNUMBER(SEARCH("ELC",[1]OUT_Electricity_CHP!$D$1:$D$10000))*1,[1]OUT_Electricity_CHP!O$1:O$10000)</f>
        <v>9.5101646384004912</v>
      </c>
      <c r="Q52" s="1" cm="1">
        <f t="array" ref="Q52">SUMPRODUCT(([1]OUT_Electricity_CHP!$B$1:$B$10000="G-INTC-IMP00-AT")*1,([1]OUT_Electricity_CHP!$C$1:$C$10000="Var_Fout")*1,ISNUMBER(SEARCH("ELC",[1]OUT_Electricity_CHP!$D$1:$D$10000))*1,[1]OUT_Electricity_CHP!P$1:P$10000)</f>
        <v>9.3718312372540318</v>
      </c>
      <c r="S52" s="3"/>
    </row>
    <row r="53" spans="1:19" x14ac:dyDescent="0.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28.948621709888915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21.297672370818457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26.284716483026003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15.518895453741534</v>
      </c>
      <c r="J53" s="1" cm="1">
        <f t="array" ref="J53">SUMPRODUCT(([1]OUT_Electricity_CHP!$B$1:$B$10000="G-INTC-IMP00-fr")*1,([1]OUT_Electricity_CHP!$C$1:$C$10000="Var_Fout")*1,ISNUMBER(SEARCH("ELC",[1]OUT_Electricity_CHP!$D$1:$D$10000))*1,[1]OUT_Electricity_CHP!I$1:I$10000)</f>
        <v>23.862098415342064</v>
      </c>
      <c r="K53" s="1" cm="1">
        <f t="array" ref="K53">SUMPRODUCT(([1]OUT_Electricity_CHP!$B$1:$B$10000="G-INTC-IMP00-fr")*1,([1]OUT_Electricity_CHP!$C$1:$C$10000="Var_Fout")*1,ISNUMBER(SEARCH("ELC",[1]OUT_Electricity_CHP!$D$1:$D$10000))*1,[1]OUT_Electricity_CHP!J$1:J$10000)</f>
        <v>29.875352222934204</v>
      </c>
      <c r="L53" s="1" cm="1">
        <f t="array" ref="L53">SUMPRODUCT(([1]OUT_Electricity_CHP!$B$1:$B$10000="G-INTC-IMP00-fr")*1,([1]OUT_Electricity_CHP!$C$1:$C$10000="Var_Fout")*1,ISNUMBER(SEARCH("ELC",[1]OUT_Electricity_CHP!$D$1:$D$10000))*1,[1]OUT_Electricity_CHP!K$1:K$10000)</f>
        <v>38.588169674221305</v>
      </c>
      <c r="M53" s="1" cm="1">
        <f t="array" ref="M53">SUMPRODUCT(([1]OUT_Electricity_CHP!$B$1:$B$10000="G-INTC-IMP00-fr")*1,([1]OUT_Electricity_CHP!$C$1:$C$10000="Var_Fout")*1,ISNUMBER(SEARCH("ELC",[1]OUT_Electricity_CHP!$D$1:$D$10000))*1,[1]OUT_Electricity_CHP!L$1:L$10000)</f>
        <v>50.004423206877746</v>
      </c>
      <c r="N53" s="1" cm="1">
        <f t="array" ref="N53">SUMPRODUCT(([1]OUT_Electricity_CHP!$B$1:$B$10000="G-INTC-IMP00-fr")*1,([1]OUT_Electricity_CHP!$C$1:$C$10000="Var_Fout")*1,ISNUMBER(SEARCH("ELC",[1]OUT_Electricity_CHP!$D$1:$D$10000))*1,[1]OUT_Electricity_CHP!M$1:M$10000)</f>
        <v>49.868179842242981</v>
      </c>
      <c r="O53" s="1" cm="1">
        <f t="array" ref="O53">SUMPRODUCT(([1]OUT_Electricity_CHP!$B$1:$B$10000="G-INTC-IMP00-fr")*1,([1]OUT_Electricity_CHP!$C$1:$C$10000="Var_Fout")*1,ISNUMBER(SEARCH("ELC",[1]OUT_Electricity_CHP!$D$1:$D$10000))*1,[1]OUT_Electricity_CHP!N$1:N$10000)</f>
        <v>50.214223190528969</v>
      </c>
      <c r="P53" s="1" cm="1">
        <f t="array" ref="P53">SUMPRODUCT(([1]OUT_Electricity_CHP!$B$1:$B$10000="G-INTC-IMP00-fr")*1,([1]OUT_Electricity_CHP!$C$1:$C$10000="Var_Fout")*1,ISNUMBER(SEARCH("ELC",[1]OUT_Electricity_CHP!$D$1:$D$10000))*1,[1]OUT_Electricity_CHP!O$1:O$10000)</f>
        <v>51.322046380324231</v>
      </c>
      <c r="Q53" s="1" cm="1">
        <f t="array" ref="Q53">SUMPRODUCT(([1]OUT_Electricity_CHP!$B$1:$B$10000="G-INTC-IMP00-fr")*1,([1]OUT_Electricity_CHP!$C$1:$C$10000="Var_Fout")*1,ISNUMBER(SEARCH("ELC",[1]OUT_Electricity_CHP!$D$1:$D$10000))*1,[1]OUT_Electricity_CHP!P$1:P$10000)</f>
        <v>51.660774413353707</v>
      </c>
      <c r="S53" s="3"/>
    </row>
    <row r="54" spans="1:19" x14ac:dyDescent="0.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46.398476152656279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28.972105734668109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24.164600370514663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30.422841637497008</v>
      </c>
      <c r="J54" s="1" cm="1">
        <f t="array" ref="J54">SUMPRODUCT(([1]OUT_Electricity_CHP!$B$1:$B$10000="G-INTC-IMP00-de")*1,([1]OUT_Electricity_CHP!$C$1:$C$10000="Var_Fout")*1,ISNUMBER(SEARCH("ELC",[1]OUT_Electricity_CHP!$D$1:$D$10000))*1,[1]OUT_Electricity_CHP!I$1:I$10000)</f>
        <v>18.003801302807137</v>
      </c>
      <c r="K54" s="1" cm="1">
        <f t="array" ref="K54">SUMPRODUCT(([1]OUT_Electricity_CHP!$B$1:$B$10000="G-INTC-IMP00-de")*1,([1]OUT_Electricity_CHP!$C$1:$C$10000="Var_Fout")*1,ISNUMBER(SEARCH("ELC",[1]OUT_Electricity_CHP!$D$1:$D$10000))*1,[1]OUT_Electricity_CHP!J$1:J$10000)</f>
        <v>24.968605146534248</v>
      </c>
      <c r="L54" s="1" cm="1">
        <f t="array" ref="L54">SUMPRODUCT(([1]OUT_Electricity_CHP!$B$1:$B$10000="G-INTC-IMP00-de")*1,([1]OUT_Electricity_CHP!$C$1:$C$10000="Var_Fout")*1,ISNUMBER(SEARCH("ELC",[1]OUT_Electricity_CHP!$D$1:$D$10000))*1,[1]OUT_Electricity_CHP!K$1:K$10000)</f>
        <v>26.953594241557919</v>
      </c>
      <c r="M54" s="1" cm="1">
        <f t="array" ref="M54">SUMPRODUCT(([1]OUT_Electricity_CHP!$B$1:$B$10000="G-INTC-IMP00-de")*1,([1]OUT_Electricity_CHP!$C$1:$C$10000="Var_Fout")*1,ISNUMBER(SEARCH("ELC",[1]OUT_Electricity_CHP!$D$1:$D$10000))*1,[1]OUT_Electricity_CHP!L$1:L$10000)</f>
        <v>19.212576585678704</v>
      </c>
      <c r="N54" s="1" cm="1">
        <f t="array" ref="N54">SUMPRODUCT(([1]OUT_Electricity_CHP!$B$1:$B$10000="G-INTC-IMP00-de")*1,([1]OUT_Electricity_CHP!$C$1:$C$10000="Var_Fout")*1,ISNUMBER(SEARCH("ELC",[1]OUT_Electricity_CHP!$D$1:$D$10000))*1,[1]OUT_Electricity_CHP!M$1:M$10000)</f>
        <v>19.369678575891893</v>
      </c>
      <c r="O54" s="1" cm="1">
        <f t="array" ref="O54">SUMPRODUCT(([1]OUT_Electricity_CHP!$B$1:$B$10000="G-INTC-IMP00-de")*1,([1]OUT_Electricity_CHP!$C$1:$C$10000="Var_Fout")*1,ISNUMBER(SEARCH("ELC",[1]OUT_Electricity_CHP!$D$1:$D$10000))*1,[1]OUT_Electricity_CHP!N$1:N$10000)</f>
        <v>10.699339285130758</v>
      </c>
      <c r="P54" s="1" cm="1">
        <f t="array" ref="P54">SUMPRODUCT(([1]OUT_Electricity_CHP!$B$1:$B$10000="G-INTC-IMP00-de")*1,([1]OUT_Electricity_CHP!$C$1:$C$10000="Var_Fout")*1,ISNUMBER(SEARCH("ELC",[1]OUT_Electricity_CHP!$D$1:$D$10000))*1,[1]OUT_Electricity_CHP!O$1:O$10000)</f>
        <v>8.3573300910963031</v>
      </c>
      <c r="Q54" s="1" cm="1">
        <f t="array" ref="Q54">SUMPRODUCT(([1]OUT_Electricity_CHP!$B$1:$B$10000="G-INTC-IMP00-de")*1,([1]OUT_Electricity_CHP!$C$1:$C$10000="Var_Fout")*1,ISNUMBER(SEARCH("ELC",[1]OUT_Electricity_CHP!$D$1:$D$10000))*1,[1]OUT_Electricity_CHP!P$1:P$10000)</f>
        <v>8.1650901101249396</v>
      </c>
      <c r="S54" s="3"/>
    </row>
    <row r="55" spans="1:19" x14ac:dyDescent="0.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6.7990982092499292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1.3792026729326105E-4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1.232463130911237E-4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5.6853494315768676E-5</v>
      </c>
      <c r="J55" s="1" cm="1">
        <f t="array" ref="J55">SUMPRODUCT(([1]OUT_Electricity_CHP!$B$1:$B$10000="G-INTC-IMP00-it")*1,([1]OUT_Electricity_CHP!$C$1:$C$10000="Var_Fout")*1,ISNUMBER(SEARCH("ELC",[1]OUT_Electricity_CHP!$D$1:$D$10000))*1,[1]OUT_Electricity_CHP!I$1:I$10000)</f>
        <v>7.6654773888581732E-5</v>
      </c>
      <c r="K55" s="1" cm="1">
        <f t="array" ref="K55">SUMPRODUCT(([1]OUT_Electricity_CHP!$B$1:$B$10000="G-INTC-IMP00-it")*1,([1]OUT_Electricity_CHP!$C$1:$C$10000="Var_Fout")*1,ISNUMBER(SEARCH("ELC",[1]OUT_Electricity_CHP!$D$1:$D$10000))*1,[1]OUT_Electricity_CHP!J$1:J$10000)</f>
        <v>8.6254623241639779E-5</v>
      </c>
      <c r="L55" s="1" cm="1">
        <f t="array" ref="L55">SUMPRODUCT(([1]OUT_Electricity_CHP!$B$1:$B$10000="G-INTC-IMP00-it")*1,([1]OUT_Electricity_CHP!$C$1:$C$10000="Var_Fout")*1,ISNUMBER(SEARCH("ELC",[1]OUT_Electricity_CHP!$D$1:$D$10000))*1,[1]OUT_Electricity_CHP!K$1:K$10000)</f>
        <v>9.1057648883786905E-5</v>
      </c>
      <c r="M55" s="1" cm="1">
        <f t="array" ref="M55">SUMPRODUCT(([1]OUT_Electricity_CHP!$B$1:$B$10000="G-INTC-IMP00-it")*1,([1]OUT_Electricity_CHP!$C$1:$C$10000="Var_Fout")*1,ISNUMBER(SEARCH("ELC",[1]OUT_Electricity_CHP!$D$1:$D$10000))*1,[1]OUT_Electricity_CHP!L$1:L$10000)</f>
        <v>9.044343994168199E-5</v>
      </c>
      <c r="N55" s="1" cm="1">
        <f t="array" ref="N55">SUMPRODUCT(([1]OUT_Electricity_CHP!$B$1:$B$10000="G-INTC-IMP00-it")*1,([1]OUT_Electricity_CHP!$C$1:$C$10000="Var_Fout")*1,ISNUMBER(SEARCH("ELC",[1]OUT_Electricity_CHP!$D$1:$D$10000))*1,[1]OUT_Electricity_CHP!M$1:M$10000)</f>
        <v>7.8330100957379301E-5</v>
      </c>
      <c r="O55" s="1" cm="1">
        <f t="array" ref="O55">SUMPRODUCT(([1]OUT_Electricity_CHP!$B$1:$B$10000="G-INTC-IMP00-it")*1,([1]OUT_Electricity_CHP!$C$1:$C$10000="Var_Fout")*1,ISNUMBER(SEARCH("ELC",[1]OUT_Electricity_CHP!$D$1:$D$10000))*1,[1]OUT_Electricity_CHP!N$1:N$10000)</f>
        <v>9.0571566689543609E-5</v>
      </c>
      <c r="P55" s="1" cm="1">
        <f t="array" ref="P55">SUMPRODUCT(([1]OUT_Electricity_CHP!$B$1:$B$10000="G-INTC-IMP00-it")*1,([1]OUT_Electricity_CHP!$C$1:$C$10000="Var_Fout")*1,ISNUMBER(SEARCH("ELC",[1]OUT_Electricity_CHP!$D$1:$D$10000))*1,[1]OUT_Electricity_CHP!O$1:O$10000)</f>
        <v>8.9508291497987204E-5</v>
      </c>
      <c r="Q55" s="1" cm="1">
        <f t="array" ref="Q55">SUMPRODUCT(([1]OUT_Electricity_CHP!$B$1:$B$10000="G-INTC-IMP00-it")*1,([1]OUT_Electricity_CHP!$C$1:$C$10000="Var_Fout")*1,ISNUMBER(SEARCH("ELC",[1]OUT_Electricity_CHP!$D$1:$D$10000))*1,[1]OUT_Electricity_CHP!P$1:P$10000)</f>
        <v>1.5209276144664539E-4</v>
      </c>
      <c r="S55" s="3"/>
    </row>
    <row r="56" spans="1:19" x14ac:dyDescent="0.5">
      <c r="A56" s="5" t="str">
        <f t="shared" ref="A56" si="55">A55</f>
        <v>STEM</v>
      </c>
      <c r="B56" s="5" t="str">
        <f t="shared" ref="B56" si="56">B55</f>
        <v>SPS1</v>
      </c>
      <c r="C56" s="5" t="str">
        <f t="shared" ref="C56" si="57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SUMPRODUCT(("h2"=[1]OUT_PrimaryEnergyCons!$C$4:$C$10000)*1,[1]OUT_PrimaryEnergyCons!H$4:H$10000)</f>
        <v>0</v>
      </c>
      <c r="K56" s="1" cm="1">
        <f t="array" ref="K56">SUMPRODUCT(("h2"=[1]OUT_PrimaryEnergyCons!$C$4:$C$10000)*1,[1]OUT_PrimaryEnergyCons!I$4:I$10000)</f>
        <v>6.100730703788078</v>
      </c>
      <c r="L56" s="1" cm="1">
        <f t="array" ref="L56">SUMPRODUCT(("h2"=[1]OUT_PrimaryEnergyCons!$C$4:$C$10000)*1,[1]OUT_PrimaryEnergyCons!J$4:J$10000)</f>
        <v>8.2900267172746407</v>
      </c>
      <c r="M56" s="1" cm="1">
        <f t="array" ref="M56">SUMPRODUCT(("h2"=[1]OUT_PrimaryEnergyCons!$C$4:$C$10000)*1,[1]OUT_PrimaryEnergyCons!K$4:K$10000)</f>
        <v>12.022692455690525</v>
      </c>
      <c r="N56" s="1" cm="1">
        <f t="array" ref="N56">SUMPRODUCT(("h2"=[1]OUT_PrimaryEnergyCons!$C$4:$C$10000)*1,[1]OUT_PrimaryEnergyCons!L$4:L$10000)</f>
        <v>9.6741155505917558</v>
      </c>
      <c r="O56" s="1" cm="1">
        <f t="array" ref="O56">SUMPRODUCT(("h2"=[1]OUT_PrimaryEnergyCons!$C$4:$C$10000)*1,[1]OUT_PrimaryEnergyCons!M$4:M$10000)</f>
        <v>8.3073203725475295</v>
      </c>
      <c r="P56" s="1" cm="1">
        <f t="array" ref="P56">SUMPRODUCT(("h2"=[1]OUT_PrimaryEnergyCons!$C$4:$C$10000)*1,[1]OUT_PrimaryEnergyCons!N$4:N$10000)</f>
        <v>6.8061969703253675</v>
      </c>
      <c r="Q56" s="1" cm="1">
        <f t="array" ref="Q56">SUMPRODUCT(("h2"=[1]OUT_PrimaryEnergyCons!$C$4:$C$10000)*1,[1]OUT_PrimaryEnergyCons!O$4:O$10000)</f>
        <v>6.6822233684149666</v>
      </c>
      <c r="S56" s="3"/>
    </row>
    <row r="57" spans="1:19" x14ac:dyDescent="0.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117.17000295157466</v>
      </c>
      <c r="G57" s="3">
        <f t="shared" ref="G57:O57" si="58">G58</f>
        <v>35.600265917760488</v>
      </c>
      <c r="H57" s="3">
        <f t="shared" si="58"/>
        <v>64.430560571290584</v>
      </c>
      <c r="I57" s="3">
        <f t="shared" si="58"/>
        <v>70.474765759141746</v>
      </c>
      <c r="J57" s="3">
        <f t="shared" si="58"/>
        <v>51.326254325229336</v>
      </c>
      <c r="K57" s="3">
        <f t="shared" si="58"/>
        <v>37.040824644272611</v>
      </c>
      <c r="L57" s="3">
        <f t="shared" si="58"/>
        <v>21.964404696354467</v>
      </c>
      <c r="M57" s="3">
        <f t="shared" si="58"/>
        <v>16.109181969594008</v>
      </c>
      <c r="N57" s="3">
        <f t="shared" si="58"/>
        <v>18.945869726233354</v>
      </c>
      <c r="O57" s="3">
        <f t="shared" si="58"/>
        <v>12.618190602575146</v>
      </c>
      <c r="P57" s="3">
        <f>P58</f>
        <v>12.558054931686547</v>
      </c>
      <c r="Q57" s="3">
        <f>Q58</f>
        <v>17.325072452966765</v>
      </c>
      <c r="R57" s="1"/>
      <c r="S57" s="3"/>
    </row>
    <row r="58" spans="1:19" x14ac:dyDescent="0.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117.17000295157466</v>
      </c>
      <c r="G58" s="1">
        <f t="shared" ref="G58:K58" si="59">SUM(G59:G62)</f>
        <v>35.600265917760488</v>
      </c>
      <c r="H58" s="1">
        <f t="shared" si="59"/>
        <v>64.430560571290584</v>
      </c>
      <c r="I58" s="1">
        <f t="shared" si="59"/>
        <v>70.474765759141746</v>
      </c>
      <c r="J58" s="1">
        <f t="shared" si="59"/>
        <v>51.326254325229336</v>
      </c>
      <c r="K58" s="1">
        <f t="shared" si="59"/>
        <v>37.040824644272611</v>
      </c>
      <c r="L58" s="1">
        <f t="shared" ref="L58:O58" si="60">SUM(L59:L62)</f>
        <v>21.964404696354467</v>
      </c>
      <c r="M58" s="1">
        <f t="shared" si="60"/>
        <v>16.109181969594008</v>
      </c>
      <c r="N58" s="1">
        <f t="shared" si="60"/>
        <v>18.945869726233354</v>
      </c>
      <c r="O58" s="1">
        <f t="shared" si="60"/>
        <v>12.618190602575146</v>
      </c>
      <c r="P58" s="1">
        <f>SUM(P59:P62)</f>
        <v>12.558054931686547</v>
      </c>
      <c r="Q58" s="1">
        <f>SUM(Q59:Q62)</f>
        <v>17.325072452966765</v>
      </c>
      <c r="S58" s="3"/>
    </row>
    <row r="59" spans="1:19" x14ac:dyDescent="0.5">
      <c r="A59" s="5" t="str">
        <f t="shared" ref="A59:A63" si="61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62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6.2295558451421345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2.0519914161151048E-4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2.6071990110102775E-4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6.3647829407663056E-5</v>
      </c>
      <c r="J59" s="1" cm="1">
        <f t="array" ref="J59">SUMPRODUCT(([1]OUT_Electricity_CHP!$B$1:$B$10000="G-INTC-exp00-AT")*1,([1]OUT_Electricity_CHP!$C$1:$C$10000="Var_Fout")*1,ISNUMBER(SEARCH("ELC",[1]OUT_Electricity_CHP!$D$1:$D$10000))*1,[1]OUT_Electricity_CHP!I$1:I$10000)</f>
        <v>9.1788279589441466E-5</v>
      </c>
      <c r="K59" s="1" cm="1">
        <f t="array" ref="K59">SUMPRODUCT(([1]OUT_Electricity_CHP!$B$1:$B$10000="G-INTC-exp00-AT")*1,([1]OUT_Electricity_CHP!$C$1:$C$10000="Var_Fout")*1,ISNUMBER(SEARCH("ELC",[1]OUT_Electricity_CHP!$D$1:$D$10000))*1,[1]OUT_Electricity_CHP!J$1:J$10000)</f>
        <v>8.1870850254757497E-5</v>
      </c>
      <c r="L59" s="1" cm="1">
        <f t="array" ref="L59">SUMPRODUCT(([1]OUT_Electricity_CHP!$B$1:$B$10000="G-INTC-exp00-AT")*1,([1]OUT_Electricity_CHP!$C$1:$C$10000="Var_Fout")*1,ISNUMBER(SEARCH("ELC",[1]OUT_Electricity_CHP!$D$1:$D$10000))*1,[1]OUT_Electricity_CHP!K$1:K$10000)</f>
        <v>6.0749924700399514E-5</v>
      </c>
      <c r="M59" s="1" cm="1">
        <f t="array" ref="M59">SUMPRODUCT(([1]OUT_Electricity_CHP!$B$1:$B$10000="G-INTC-exp00-AT")*1,([1]OUT_Electricity_CHP!$C$1:$C$10000="Var_Fout")*1,ISNUMBER(SEARCH("ELC",[1]OUT_Electricity_CHP!$D$1:$D$10000))*1,[1]OUT_Electricity_CHP!L$1:L$10000)</f>
        <v>4.5518026758206721E-5</v>
      </c>
      <c r="N59" s="1" cm="1">
        <f t="array" ref="N59">SUMPRODUCT(([1]OUT_Electricity_CHP!$B$1:$B$10000="G-INTC-exp00-AT")*1,([1]OUT_Electricity_CHP!$C$1:$C$10000="Var_Fout")*1,ISNUMBER(SEARCH("ELC",[1]OUT_Electricity_CHP!$D$1:$D$10000))*1,[1]OUT_Electricity_CHP!M$1:M$10000)</f>
        <v>3.5322829640633792E-5</v>
      </c>
      <c r="O59" s="1" cm="1">
        <f t="array" ref="O59">SUMPRODUCT(([1]OUT_Electricity_CHP!$B$1:$B$10000="G-INTC-exp00-AT")*1,([1]OUT_Electricity_CHP!$C$1:$C$10000="Var_Fout")*1,ISNUMBER(SEARCH("ELC",[1]OUT_Electricity_CHP!$D$1:$D$10000))*1,[1]OUT_Electricity_CHP!N$1:N$10000)</f>
        <v>4.3327703513302593E-5</v>
      </c>
      <c r="P59" s="1" cm="1">
        <f t="array" ref="P59">SUMPRODUCT(([1]OUT_Electricity_CHP!$B$1:$B$10000="G-INTC-exp00-AT")*1,([1]OUT_Electricity_CHP!$C$1:$C$10000="Var_Fout")*1,ISNUMBER(SEARCH("ELC",[1]OUT_Electricity_CHP!$D$1:$D$10000))*1,[1]OUT_Electricity_CHP!O$1:O$10000)</f>
        <v>4.3998107230245789E-5</v>
      </c>
      <c r="Q59" s="1" cm="1">
        <f t="array" ref="Q59">SUMPRODUCT(([1]OUT_Electricity_CHP!$B$1:$B$10000="G-INTC-exp00-AT")*1,([1]OUT_Electricity_CHP!$C$1:$C$10000="Var_Fout")*1,ISNUMBER(SEARCH("ELC",[1]OUT_Electricity_CHP!$D$1:$D$10000))*1,[1]OUT_Electricity_CHP!P$1:P$10000)</f>
        <v>7.2918725987861403E-5</v>
      </c>
      <c r="S59" s="3"/>
    </row>
    <row r="60" spans="1:19" x14ac:dyDescent="0.5">
      <c r="A60" s="5" t="str">
        <f t="shared" si="61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62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12.753359179197034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1.5159532494162366E-4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1.5355024423198451E-4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1.273592339024224E-4</v>
      </c>
      <c r="J60" s="1" cm="1">
        <f t="array" ref="J60">SUMPRODUCT(([1]OUT_Electricity_CHP!$B$1:$B$10000="G-INTC-exp00-fr")*1,([1]OUT_Electricity_CHP!$C$1:$C$10000="Var_Fout")*1,ISNUMBER(SEARCH("ELC",[1]OUT_Electricity_CHP!$D$1:$D$10000))*1,[1]OUT_Electricity_CHP!I$1:I$10000)</f>
        <v>1.9381731450682232E-4</v>
      </c>
      <c r="K60" s="1" cm="1">
        <f t="array" ref="K60">SUMPRODUCT(([1]OUT_Electricity_CHP!$B$1:$B$10000="G-INTC-exp00-fr")*1,([1]OUT_Electricity_CHP!$C$1:$C$10000="Var_Fout")*1,ISNUMBER(SEARCH("ELC",[1]OUT_Electricity_CHP!$D$1:$D$10000))*1,[1]OUT_Electricity_CHP!J$1:J$10000)</f>
        <v>1.1471106852145036E-4</v>
      </c>
      <c r="L60" s="1" cm="1">
        <f t="array" ref="L60">SUMPRODUCT(([1]OUT_Electricity_CHP!$B$1:$B$10000="G-INTC-exp00-fr")*1,([1]OUT_Electricity_CHP!$C$1:$C$10000="Var_Fout")*1,ISNUMBER(SEARCH("ELC",[1]OUT_Electricity_CHP!$D$1:$D$10000))*1,[1]OUT_Electricity_CHP!K$1:K$10000)</f>
        <v>8.9432392406706501E-5</v>
      </c>
      <c r="M60" s="1" cm="1">
        <f t="array" ref="M60">SUMPRODUCT(([1]OUT_Electricity_CHP!$B$1:$B$10000="G-INTC-exp00-fr")*1,([1]OUT_Electricity_CHP!$C$1:$C$10000="Var_Fout")*1,ISNUMBER(SEARCH("ELC",[1]OUT_Electricity_CHP!$D$1:$D$10000))*1,[1]OUT_Electricity_CHP!L$1:L$10000)</f>
        <v>1.0917385612089776E-4</v>
      </c>
      <c r="N60" s="1" cm="1">
        <f t="array" ref="N60">SUMPRODUCT(([1]OUT_Electricity_CHP!$B$1:$B$10000="G-INTC-exp00-fr")*1,([1]OUT_Electricity_CHP!$C$1:$C$10000="Var_Fout")*1,ISNUMBER(SEARCH("ELC",[1]OUT_Electricity_CHP!$D$1:$D$10000))*1,[1]OUT_Electricity_CHP!M$1:M$10000)</f>
        <v>9.9930652973143167E-5</v>
      </c>
      <c r="O60" s="1" cm="1">
        <f t="array" ref="O60">SUMPRODUCT(([1]OUT_Electricity_CHP!$B$1:$B$10000="G-INTC-exp00-fr")*1,([1]OUT_Electricity_CHP!$C$1:$C$10000="Var_Fout")*1,ISNUMBER(SEARCH("ELC",[1]OUT_Electricity_CHP!$D$1:$D$10000))*1,[1]OUT_Electricity_CHP!N$1:N$10000)</f>
        <v>1.2426651670034713E-4</v>
      </c>
      <c r="P60" s="1" cm="1">
        <f t="array" ref="P60">SUMPRODUCT(([1]OUT_Electricity_CHP!$B$1:$B$10000="G-INTC-exp00-fr")*1,([1]OUT_Electricity_CHP!$C$1:$C$10000="Var_Fout")*1,ISNUMBER(SEARCH("ELC",[1]OUT_Electricity_CHP!$D$1:$D$10000))*1,[1]OUT_Electricity_CHP!O$1:O$10000)</f>
        <v>1.2421888947993447E-4</v>
      </c>
      <c r="Q60" s="1" cm="1">
        <f t="array" ref="Q60">SUMPRODUCT(([1]OUT_Electricity_CHP!$B$1:$B$10000="G-INTC-exp00-fr")*1,([1]OUT_Electricity_CHP!$C$1:$C$10000="Var_Fout")*1,ISNUMBER(SEARCH("ELC",[1]OUT_Electricity_CHP!$D$1:$D$10000))*1,[1]OUT_Electricity_CHP!P$1:P$10000)</f>
        <v>2.4595303283381535E-4</v>
      </c>
      <c r="S60" s="3"/>
    </row>
    <row r="61" spans="1:19" x14ac:dyDescent="0.5">
      <c r="A61" s="5" t="str">
        <f t="shared" si="61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62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26.492979875915619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1.1364820842560419E-4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1.2892564986449965E-4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2.0706177120835288E-4</v>
      </c>
      <c r="J61" s="1" cm="1">
        <f t="array" ref="J61">SUMPRODUCT(([1]OUT_Electricity_CHP!$B$1:$B$10000="G-INTC-exp00-de")*1,([1]OUT_Electricity_CHP!$C$1:$C$10000="Var_Fout")*1,ISNUMBER(SEARCH("ELC",[1]OUT_Electricity_CHP!$D$1:$D$10000))*1,[1]OUT_Electricity_CHP!I$1:I$10000)</f>
        <v>2.624370964329774E-4</v>
      </c>
      <c r="K61" s="1" cm="1">
        <f t="array" ref="K61">SUMPRODUCT(([1]OUT_Electricity_CHP!$B$1:$B$10000="G-INTC-exp00-de")*1,([1]OUT_Electricity_CHP!$C$1:$C$10000="Var_Fout")*1,ISNUMBER(SEARCH("ELC",[1]OUT_Electricity_CHP!$D$1:$D$10000))*1,[1]OUT_Electricity_CHP!J$1:J$10000)</f>
        <v>1.6439850427604083E-4</v>
      </c>
      <c r="L61" s="1" cm="1">
        <f t="array" ref="L61">SUMPRODUCT(([1]OUT_Electricity_CHP!$B$1:$B$10000="G-INTC-exp00-de")*1,([1]OUT_Electricity_CHP!$C$1:$C$10000="Var_Fout")*1,ISNUMBER(SEARCH("ELC",[1]OUT_Electricity_CHP!$D$1:$D$10000))*1,[1]OUT_Electricity_CHP!K$1:K$10000)</f>
        <v>1.1399324689075067E-4</v>
      </c>
      <c r="M61" s="1" cm="1">
        <f t="array" ref="M61">SUMPRODUCT(([1]OUT_Electricity_CHP!$B$1:$B$10000="G-INTC-exp00-de")*1,([1]OUT_Electricity_CHP!$C$1:$C$10000="Var_Fout")*1,ISNUMBER(SEARCH("ELC",[1]OUT_Electricity_CHP!$D$1:$D$10000))*1,[1]OUT_Electricity_CHP!L$1:L$10000)</f>
        <v>8.6027421185210049E-5</v>
      </c>
      <c r="N61" s="1" cm="1">
        <f t="array" ref="N61">SUMPRODUCT(([1]OUT_Electricity_CHP!$B$1:$B$10000="G-INTC-exp00-de")*1,([1]OUT_Electricity_CHP!$C$1:$C$10000="Var_Fout")*1,ISNUMBER(SEARCH("ELC",[1]OUT_Electricity_CHP!$D$1:$D$10000))*1,[1]OUT_Electricity_CHP!M$1:M$10000)</f>
        <v>6.0236694041301864E-5</v>
      </c>
      <c r="O61" s="1" cm="1">
        <f t="array" ref="O61">SUMPRODUCT(([1]OUT_Electricity_CHP!$B$1:$B$10000="G-INTC-exp00-de")*1,([1]OUT_Electricity_CHP!$C$1:$C$10000="Var_Fout")*1,ISNUMBER(SEARCH("ELC",[1]OUT_Electricity_CHP!$D$1:$D$10000))*1,[1]OUT_Electricity_CHP!N$1:N$10000)</f>
        <v>1.0019068796721434E-4</v>
      </c>
      <c r="P61" s="1" cm="1">
        <f t="array" ref="P61">SUMPRODUCT(([1]OUT_Electricity_CHP!$B$1:$B$10000="G-INTC-exp00-de")*1,([1]OUT_Electricity_CHP!$C$1:$C$10000="Var_Fout")*1,ISNUMBER(SEARCH("ELC",[1]OUT_Electricity_CHP!$D$1:$D$10000))*1,[1]OUT_Electricity_CHP!O$1:O$10000)</f>
        <v>1.0184135202719279E-4</v>
      </c>
      <c r="Q61" s="1" cm="1">
        <f t="array" ref="Q61">SUMPRODUCT(([1]OUT_Electricity_CHP!$B$1:$B$10000="G-INTC-exp00-de")*1,([1]OUT_Electricity_CHP!$C$1:$C$10000="Var_Fout")*1,ISNUMBER(SEARCH("ELC",[1]OUT_Electricity_CHP!$D$1:$D$10000))*1,[1]OUT_Electricity_CHP!P$1:P$10000)</f>
        <v>2.1682940695026847E-4</v>
      </c>
      <c r="S61" s="3"/>
    </row>
    <row r="62" spans="1:19" x14ac:dyDescent="0.5">
      <c r="A62" s="5" t="str">
        <f t="shared" si="61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62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71.694108051319873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35.599795475085507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64.430017375495382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70.474367690307233</v>
      </c>
      <c r="J62" s="1" cm="1">
        <f t="array" ref="J62">SUMPRODUCT(([1]OUT_Electricity_CHP!$B$1:$B$10000="G-INTC-exp00-it")*1,([1]OUT_Electricity_CHP!$C$1:$C$10000="Var_Fout")*1,ISNUMBER(SEARCH("ELC",[1]OUT_Electricity_CHP!$D$1:$D$10000))*1,[1]OUT_Electricity_CHP!I$1:I$10000)</f>
        <v>51.325706282538803</v>
      </c>
      <c r="K62" s="1" cm="1">
        <f t="array" ref="K62">SUMPRODUCT(([1]OUT_Electricity_CHP!$B$1:$B$10000="G-INTC-exp00-it")*1,([1]OUT_Electricity_CHP!$C$1:$C$10000="Var_Fout")*1,ISNUMBER(SEARCH("ELC",[1]OUT_Electricity_CHP!$D$1:$D$10000))*1,[1]OUT_Electricity_CHP!J$1:J$10000)</f>
        <v>37.040463663849557</v>
      </c>
      <c r="L62" s="1" cm="1">
        <f t="array" ref="L62">SUMPRODUCT(([1]OUT_Electricity_CHP!$B$1:$B$10000="G-INTC-exp00-it")*1,([1]OUT_Electricity_CHP!$C$1:$C$10000="Var_Fout")*1,ISNUMBER(SEARCH("ELC",[1]OUT_Electricity_CHP!$D$1:$D$10000))*1,[1]OUT_Electricity_CHP!K$1:K$10000)</f>
        <v>21.964140520790469</v>
      </c>
      <c r="M62" s="1" cm="1">
        <f t="array" ref="M62">SUMPRODUCT(([1]OUT_Electricity_CHP!$B$1:$B$10000="G-INTC-exp00-it")*1,([1]OUT_Electricity_CHP!$C$1:$C$10000="Var_Fout")*1,ISNUMBER(SEARCH("ELC",[1]OUT_Electricity_CHP!$D$1:$D$10000))*1,[1]OUT_Electricity_CHP!L$1:L$10000)</f>
        <v>16.108941250289945</v>
      </c>
      <c r="N62" s="1" cm="1">
        <f t="array" ref="N62">SUMPRODUCT(([1]OUT_Electricity_CHP!$B$1:$B$10000="G-INTC-exp00-it")*1,([1]OUT_Electricity_CHP!$C$1:$C$10000="Var_Fout")*1,ISNUMBER(SEARCH("ELC",[1]OUT_Electricity_CHP!$D$1:$D$10000))*1,[1]OUT_Electricity_CHP!M$1:M$10000)</f>
        <v>18.9456742360567</v>
      </c>
      <c r="O62" s="1" cm="1">
        <f t="array" ref="O62">SUMPRODUCT(([1]OUT_Electricity_CHP!$B$1:$B$10000="G-INTC-exp00-it")*1,([1]OUT_Electricity_CHP!$C$1:$C$10000="Var_Fout")*1,ISNUMBER(SEARCH("ELC",[1]OUT_Electricity_CHP!$D$1:$D$10000))*1,[1]OUT_Electricity_CHP!N$1:N$10000)</f>
        <v>12.617922817666965</v>
      </c>
      <c r="P62" s="1" cm="1">
        <f t="array" ref="P62">SUMPRODUCT(([1]OUT_Electricity_CHP!$B$1:$B$10000="G-INTC-exp00-it")*1,([1]OUT_Electricity_CHP!$C$1:$C$10000="Var_Fout")*1,ISNUMBER(SEARCH("ELC",[1]OUT_Electricity_CHP!$D$1:$D$10000))*1,[1]OUT_Electricity_CHP!O$1:O$10000)</f>
        <v>12.557784873337809</v>
      </c>
      <c r="Q62" s="1" cm="1">
        <f t="array" ref="Q62">SUMPRODUCT(([1]OUT_Electricity_CHP!$B$1:$B$10000="G-INTC-exp00-it")*1,([1]OUT_Electricity_CHP!$C$1:$C$10000="Var_Fout")*1,ISNUMBER(SEARCH("ELC",[1]OUT_Electricity_CHP!$D$1:$D$10000))*1,[1]OUT_Electricity_CHP!P$1:P$10000)</f>
        <v>17.324536751800991</v>
      </c>
      <c r="S62" s="3"/>
    </row>
    <row r="63" spans="1:19" x14ac:dyDescent="0.5">
      <c r="A63" s="9" t="str">
        <f t="shared" si="61"/>
        <v>STEM</v>
      </c>
      <c r="B63" s="9" t="str">
        <f t="shared" ref="B63:B64" si="63">B62</f>
        <v>SPS1</v>
      </c>
      <c r="C63" s="2" t="str">
        <f t="shared" ref="C63:C64" si="64">C62</f>
        <v>CH</v>
      </c>
      <c r="D63" s="2" t="s">
        <v>29</v>
      </c>
      <c r="E63" s="2" t="s">
        <v>8</v>
      </c>
      <c r="F63" s="3">
        <f>SUM(F64,F66,F70,F82,F130,F151,F159,F161,F169,F173,F167)</f>
        <v>250.82254751770296</v>
      </c>
      <c r="G63" s="3">
        <f t="shared" ref="G63:K63" si="65">SUM(G64,G66,G74,G82,G130,G151,G159,G161,G169,G173,G167)</f>
        <v>229.63597195304476</v>
      </c>
      <c r="H63" s="3">
        <f t="shared" si="65"/>
        <v>254.65370982945853</v>
      </c>
      <c r="I63" s="3">
        <f t="shared" si="65"/>
        <v>291.60770546977591</v>
      </c>
      <c r="J63" s="3">
        <f t="shared" si="65"/>
        <v>310.15676498576994</v>
      </c>
      <c r="K63" s="3">
        <f t="shared" si="65"/>
        <v>292.12816239978025</v>
      </c>
      <c r="L63" s="3">
        <f t="shared" ref="L63:O63" si="66">SUM(L64,L66,L74,L82,L130,L151,L159,L161,L169,L173,L167)</f>
        <v>274.83242780356073</v>
      </c>
      <c r="M63" s="3">
        <f t="shared" si="66"/>
        <v>289.09515006754611</v>
      </c>
      <c r="N63" s="3">
        <f t="shared" si="66"/>
        <v>298.10809496587967</v>
      </c>
      <c r="O63" s="3">
        <f t="shared" si="66"/>
        <v>303.3361247590064</v>
      </c>
      <c r="P63" s="3">
        <f>SUM(P64,P66,P74,P82,P130,P151,P159,P161,P169,P173,P167)</f>
        <v>309.90801979684568</v>
      </c>
      <c r="Q63" s="3">
        <f>SUM(Q64,Q66,Q74,Q82,Q130,Q151,Q159,Q161,Q169,Q173,Q167)</f>
        <v>316.05276037502762</v>
      </c>
      <c r="S63" s="3"/>
    </row>
    <row r="64" spans="1:19" x14ac:dyDescent="0.5">
      <c r="A64" s="5" t="str">
        <f>A63</f>
        <v>STEM</v>
      </c>
      <c r="B64" s="5" t="str">
        <f t="shared" si="63"/>
        <v>SPS1</v>
      </c>
      <c r="C64" s="5" t="str">
        <f t="shared" si="64"/>
        <v>CH</v>
      </c>
      <c r="D64" t="s">
        <v>791</v>
      </c>
      <c r="E64" t="str">
        <f>E62</f>
        <v>PJ/yr.</v>
      </c>
      <c r="F64" s="1">
        <f>+F65</f>
        <v>82.760000845464688</v>
      </c>
      <c r="G64" s="1">
        <f t="shared" ref="G64:O64" si="67">+G65</f>
        <v>83.109724404101144</v>
      </c>
      <c r="H64" s="1">
        <f t="shared" si="67"/>
        <v>73.079982251783932</v>
      </c>
      <c r="I64" s="1">
        <f t="shared" si="67"/>
        <v>73.079999672148205</v>
      </c>
      <c r="J64" s="1">
        <f t="shared" si="67"/>
        <v>62.632019678218967</v>
      </c>
      <c r="K64" s="1">
        <f t="shared" si="67"/>
        <v>33.169787305606029</v>
      </c>
      <c r="L64" s="1">
        <f t="shared" si="67"/>
        <v>0</v>
      </c>
      <c r="M64" s="1">
        <f t="shared" si="67"/>
        <v>0</v>
      </c>
      <c r="N64" s="1">
        <f t="shared" si="67"/>
        <v>0</v>
      </c>
      <c r="O64" s="1">
        <f t="shared" si="67"/>
        <v>0</v>
      </c>
      <c r="P64" s="1">
        <f>+P65</f>
        <v>0</v>
      </c>
      <c r="Q64" s="1">
        <f>+Q65</f>
        <v>0</v>
      </c>
      <c r="S64" s="3"/>
    </row>
    <row r="65" spans="1:19" x14ac:dyDescent="0.5">
      <c r="A65" s="5" t="str">
        <f t="shared" ref="A65:A149" si="68">A64</f>
        <v>STEM</v>
      </c>
      <c r="B65" s="5" t="str">
        <f t="shared" ref="B65:B149" si="69">B64</f>
        <v>SPS1</v>
      </c>
      <c r="C65" s="5" t="str">
        <f t="shared" ref="C65:C149" si="70">C64</f>
        <v>CH</v>
      </c>
      <c r="D65" t="s">
        <v>30</v>
      </c>
      <c r="E65" t="str">
        <f>E63</f>
        <v>PJ/yr.</v>
      </c>
      <c r="F65" s="1">
        <f>'[1]Electricity and CHPs'!B14</f>
        <v>82.760000845464688</v>
      </c>
      <c r="G65" s="1">
        <f>'[1]Electricity and CHPs'!C14</f>
        <v>83.109724404101144</v>
      </c>
      <c r="H65" s="1">
        <f>'[1]Electricity and CHPs'!D14</f>
        <v>73.079982251783932</v>
      </c>
      <c r="I65" s="1">
        <f>'[1]Electricity and CHPs'!E14</f>
        <v>73.079999672148205</v>
      </c>
      <c r="J65" s="1">
        <f>'[1]Electricity and CHPs'!F14</f>
        <v>62.632019678218967</v>
      </c>
      <c r="K65" s="1">
        <f>'[1]Electricity and CHPs'!G14</f>
        <v>33.169787305606029</v>
      </c>
      <c r="L65" s="1">
        <f>'[1]Electricity and CHPs'!H14</f>
        <v>0</v>
      </c>
      <c r="M65" s="1">
        <f>'[1]Electricity and CHPs'!I14</f>
        <v>0</v>
      </c>
      <c r="N65" s="1">
        <f>'[1]Electricity and CHPs'!J14</f>
        <v>0</v>
      </c>
      <c r="O65" s="1">
        <f>'[1]Electricity and CHPs'!K14</f>
        <v>0</v>
      </c>
      <c r="P65" s="1">
        <f>'[1]Electricity and CHPs'!L14</f>
        <v>0</v>
      </c>
      <c r="Q65" s="1">
        <f>'[1]Electricity and CHPs'!M14</f>
        <v>0</v>
      </c>
      <c r="S65" s="3"/>
    </row>
    <row r="66" spans="1:19" x14ac:dyDescent="0.5">
      <c r="A66" s="5" t="str">
        <f t="shared" si="68"/>
        <v>STEM</v>
      </c>
      <c r="B66" s="5" t="str">
        <f t="shared" si="69"/>
        <v>SPS1</v>
      </c>
      <c r="C66" s="5" t="str">
        <f t="shared" si="70"/>
        <v>CH</v>
      </c>
      <c r="D66" t="s">
        <v>792</v>
      </c>
      <c r="E66" t="str">
        <f>E65</f>
        <v>PJ/yr.</v>
      </c>
      <c r="F66" s="1">
        <f>SUM(F67:F69)</f>
        <v>146.22000175134201</v>
      </c>
      <c r="G66" s="1">
        <f t="shared" ref="G66:K66" si="71">SUM(G67:G69)</f>
        <v>121.59629660646655</v>
      </c>
      <c r="H66" s="1">
        <f t="shared" si="71"/>
        <v>139.6048100278399</v>
      </c>
      <c r="I66" s="1">
        <f t="shared" si="71"/>
        <v>147.9433664412017</v>
      </c>
      <c r="J66" s="1">
        <f t="shared" si="71"/>
        <v>148.24587014639488</v>
      </c>
      <c r="K66" s="1">
        <f t="shared" si="71"/>
        <v>148.31306106887334</v>
      </c>
      <c r="L66" s="1">
        <f t="shared" ref="L66:O66" si="72">SUM(L67:L69)</f>
        <v>148.58722573192188</v>
      </c>
      <c r="M66" s="1">
        <f t="shared" si="72"/>
        <v>148.6947546066751</v>
      </c>
      <c r="N66" s="1">
        <f t="shared" si="72"/>
        <v>148.74388798266133</v>
      </c>
      <c r="O66" s="1">
        <f t="shared" si="72"/>
        <v>148.78915962126911</v>
      </c>
      <c r="P66" s="1">
        <f>SUM(P67:P69)</f>
        <v>148.84506768294514</v>
      </c>
      <c r="Q66" s="1">
        <f>SUM(Q67:Q69)</f>
        <v>148.89267472949919</v>
      </c>
      <c r="S66" s="3"/>
    </row>
    <row r="67" spans="1:19" x14ac:dyDescent="0.5">
      <c r="A67" s="5" t="str">
        <f t="shared" si="68"/>
        <v>STEM</v>
      </c>
      <c r="B67" s="5" t="str">
        <f t="shared" si="69"/>
        <v>SPS1</v>
      </c>
      <c r="C67" s="5" t="str">
        <f t="shared" si="70"/>
        <v>CH</v>
      </c>
      <c r="D67" t="s">
        <v>31</v>
      </c>
      <c r="E67" t="str">
        <f>E65</f>
        <v>PJ/yr.</v>
      </c>
      <c r="F67" s="1">
        <f>'[1]Electricity and CHPs'!B15</f>
        <v>66.745680071503884</v>
      </c>
      <c r="G67" s="1">
        <f>'[1]Electricity and CHPs'!C15</f>
        <v>49.798799722391109</v>
      </c>
      <c r="H67" s="1">
        <f>'[1]Electricity and CHPs'!D15</f>
        <v>68.759993668574865</v>
      </c>
      <c r="I67" s="1">
        <f>'[1]Electricity and CHPs'!E15</f>
        <v>70.434312649408767</v>
      </c>
      <c r="J67" s="1">
        <f>'[1]Electricity and CHPs'!F15</f>
        <v>71.412657219040256</v>
      </c>
      <c r="K67" s="1">
        <f>'[1]Electricity and CHPs'!G15</f>
        <v>72.497173234813303</v>
      </c>
      <c r="L67" s="1">
        <f>'[1]Electricity and CHPs'!H15</f>
        <v>73.751259760003663</v>
      </c>
      <c r="M67" s="1">
        <f>'[1]Electricity and CHPs'!I15</f>
        <v>74.836026536032151</v>
      </c>
      <c r="N67" s="1">
        <f>'[1]Electricity and CHPs'!J15</f>
        <v>74.836040651777509</v>
      </c>
      <c r="O67" s="1">
        <f>'[1]Electricity and CHPs'!K15</f>
        <v>74.836026015869976</v>
      </c>
      <c r="P67" s="1">
        <f>'[1]Electricity and CHPs'!L15</f>
        <v>74.836035221176147</v>
      </c>
      <c r="Q67" s="1">
        <f>'[1]Electricity and CHPs'!M15</f>
        <v>74.83604224785708</v>
      </c>
      <c r="S67" s="3"/>
    </row>
    <row r="68" spans="1:19" x14ac:dyDescent="0.5">
      <c r="A68" s="5" t="str">
        <f t="shared" si="68"/>
        <v>STEM</v>
      </c>
      <c r="B68" s="5" t="str">
        <f t="shared" si="69"/>
        <v>SPS1</v>
      </c>
      <c r="C68" s="5" t="str">
        <f t="shared" si="70"/>
        <v>CH</v>
      </c>
      <c r="D68" t="s">
        <v>32</v>
      </c>
      <c r="E68" t="str">
        <f t="shared" ref="E68:E69" si="73">E67</f>
        <v>PJ/yr.</v>
      </c>
      <c r="F68" s="1">
        <f>'[1]Electricity and CHPs'!B16</f>
        <v>66.632400649744582</v>
      </c>
      <c r="G68" s="1">
        <f>'[1]Electricity and CHPs'!C16</f>
        <v>55.764000107013885</v>
      </c>
      <c r="H68" s="1">
        <f>'[1]Electricity and CHPs'!D16</f>
        <v>65.54974368884578</v>
      </c>
      <c r="I68" s="1">
        <f>'[1]Electricity and CHPs'!E16</f>
        <v>64.713757043043117</v>
      </c>
      <c r="J68" s="1">
        <f>'[1]Electricity and CHPs'!F16</f>
        <v>63.735421098953111</v>
      </c>
      <c r="K68" s="1">
        <f>'[1]Electricity and CHPs'!G16</f>
        <v>62.650907534077902</v>
      </c>
      <c r="L68" s="1">
        <f>'[1]Electricity and CHPs'!H16</f>
        <v>61.565868386089662</v>
      </c>
      <c r="M68" s="1">
        <f>'[1]Electricity and CHPs'!I16</f>
        <v>60.481145119729575</v>
      </c>
      <c r="N68" s="1">
        <f>'[1]Electricity and CHPs'!J16</f>
        <v>60.481130963801938</v>
      </c>
      <c r="O68" s="1">
        <f>'[1]Electricity and CHPs'!K16</f>
        <v>60.481146817568373</v>
      </c>
      <c r="P68" s="1">
        <f>'[1]Electricity and CHPs'!L16</f>
        <v>60.481137947601312</v>
      </c>
      <c r="Q68" s="1">
        <f>'[1]Electricity and CHPs'!M16</f>
        <v>60.481134043620003</v>
      </c>
      <c r="S68" s="3"/>
    </row>
    <row r="69" spans="1:19" x14ac:dyDescent="0.5">
      <c r="A69" s="5" t="str">
        <f t="shared" si="68"/>
        <v>STEM</v>
      </c>
      <c r="B69" s="5" t="str">
        <f t="shared" si="69"/>
        <v>SPS1</v>
      </c>
      <c r="C69" s="5" t="str">
        <f t="shared" si="70"/>
        <v>CH</v>
      </c>
      <c r="D69" t="s">
        <v>33</v>
      </c>
      <c r="E69" t="str">
        <f t="shared" si="73"/>
        <v>PJ/yr.</v>
      </c>
      <c r="F69" s="1">
        <f>'[1]Electricity and CHPs'!B17</f>
        <v>12.841921030093534</v>
      </c>
      <c r="G69" s="1">
        <f>'[1]Electricity and CHPs'!C17</f>
        <v>16.033496777061558</v>
      </c>
      <c r="H69" s="1">
        <f>'[1]Electricity and CHPs'!D17</f>
        <v>5.2950726704192341</v>
      </c>
      <c r="I69" s="1">
        <f>'[1]Electricity and CHPs'!E17</f>
        <v>12.795296748749832</v>
      </c>
      <c r="J69" s="1">
        <f>'[1]Electricity and CHPs'!F17</f>
        <v>13.097791828401521</v>
      </c>
      <c r="K69" s="1">
        <f>'[1]Electricity and CHPs'!G17</f>
        <v>13.164980299982151</v>
      </c>
      <c r="L69" s="1">
        <f>'[1]Electricity and CHPs'!H17</f>
        <v>13.270097585828548</v>
      </c>
      <c r="M69" s="1">
        <f>'[1]Electricity and CHPs'!I17</f>
        <v>13.377582950913359</v>
      </c>
      <c r="N69" s="1">
        <f>'[1]Electricity and CHPs'!J17</f>
        <v>13.426716367081895</v>
      </c>
      <c r="O69" s="1">
        <f>'[1]Electricity and CHPs'!K17</f>
        <v>13.471986787830748</v>
      </c>
      <c r="P69" s="1">
        <f>'[1]Electricity and CHPs'!L17</f>
        <v>13.527894514167691</v>
      </c>
      <c r="Q69" s="1">
        <f>'[1]Electricity and CHPs'!M17</f>
        <v>13.575498438022089</v>
      </c>
      <c r="S69" s="3"/>
    </row>
    <row r="70" spans="1:19" x14ac:dyDescent="0.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0.11190184201289212</v>
      </c>
      <c r="G70" s="1">
        <f t="shared" ref="G70" si="74">SUM(G71:G73)</f>
        <v>0.17152824270836556</v>
      </c>
      <c r="H70" s="1">
        <f t="shared" ref="H70" si="75">SUM(H71:H73)</f>
        <v>9.7079603027949036E-3</v>
      </c>
      <c r="I70" s="1">
        <f t="shared" ref="I70" si="76">SUM(I71:I73)</f>
        <v>0.17152869717448024</v>
      </c>
      <c r="J70" s="1">
        <f t="shared" ref="J70" si="77">SUM(J71:J73)</f>
        <v>0.17148304607540762</v>
      </c>
      <c r="K70" s="1">
        <f t="shared" ref="K70" si="78">SUM(K71:K73)</f>
        <v>0.1715316778875382</v>
      </c>
      <c r="L70" s="1">
        <f t="shared" ref="L70:O70" si="79">SUM(L71:L73)</f>
        <v>0.1715319778042278</v>
      </c>
      <c r="M70" s="1">
        <f t="shared" si="79"/>
        <v>3.9748542018662598E-6</v>
      </c>
      <c r="N70" s="1">
        <f t="shared" si="79"/>
        <v>2.7180036124767582E-3</v>
      </c>
      <c r="O70" s="1">
        <f t="shared" si="79"/>
        <v>2.6988524114072454E-3</v>
      </c>
      <c r="P70" s="1">
        <f>SUM(P71:P73)</f>
        <v>0.17153172671223849</v>
      </c>
      <c r="Q70" s="1">
        <f>SUM(Q71:Q73)</f>
        <v>0.17153265660333922</v>
      </c>
      <c r="S70" s="3"/>
    </row>
    <row r="71" spans="1:19" x14ac:dyDescent="0.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3.9600577146668293E-2</v>
      </c>
      <c r="G71" s="1">
        <f>'[1]Electricity and CHPs'!C18</f>
        <v>1.3090686233783397E-5</v>
      </c>
      <c r="H71" s="1">
        <f>'[1]Electricity and CHPs'!D18</f>
        <v>7.8402309470985651E-4</v>
      </c>
      <c r="I71" s="1">
        <f>'[1]Electricity and CHPs'!E18</f>
        <v>1.2327409643326772E-4</v>
      </c>
      <c r="J71" s="1">
        <f>'[1]Electricity and CHPs'!F18</f>
        <v>1.0824485773347897E-4</v>
      </c>
      <c r="K71" s="1">
        <f>'[1]Electricity and CHPs'!G18</f>
        <v>0.17132940066574279</v>
      </c>
      <c r="L71" s="1">
        <f>'[1]Electricity and CHPs'!H18</f>
        <v>0.17135358060741923</v>
      </c>
      <c r="M71" s="1">
        <f>'[1]Electricity and CHPs'!I18</f>
        <v>3.9748542018662598E-6</v>
      </c>
      <c r="N71" s="1">
        <f>'[1]Electricity and CHPs'!J18</f>
        <v>5.84061295885164E-4</v>
      </c>
      <c r="O71" s="1">
        <f>'[1]Electricity and CHPs'!K18</f>
        <v>6.2292984382536357E-4</v>
      </c>
      <c r="P71" s="1">
        <f>'[1]Electricity and CHPs'!L18</f>
        <v>2.9650108127331882E-4</v>
      </c>
      <c r="Q71" s="1">
        <f>'[1]Electricity and CHPs'!M18</f>
        <v>6.6665996889922995E-4</v>
      </c>
      <c r="S71" s="3"/>
    </row>
    <row r="72" spans="1:19" x14ac:dyDescent="0.5">
      <c r="A72" s="5" t="str">
        <f t="shared" ref="A72:A73" si="80">A71</f>
        <v>STEM</v>
      </c>
      <c r="B72" s="5" t="str">
        <f t="shared" ref="B72:B73" si="81">B71</f>
        <v>SPS1</v>
      </c>
      <c r="C72" s="5" t="str">
        <f t="shared" ref="C72:C73" si="82">C71</f>
        <v>CH</v>
      </c>
      <c r="D72" t="s">
        <v>228</v>
      </c>
      <c r="E72" t="str">
        <f>E126</f>
        <v>PJ/yr.</v>
      </c>
      <c r="F72" s="1">
        <f>'[1]Electricity and CHPs'!B28</f>
        <v>1.8005038057018266E-3</v>
      </c>
      <c r="G72" s="1">
        <f>'[1]Electricity and CHPs'!C28</f>
        <v>8.573236888551085E-6</v>
      </c>
      <c r="H72" s="1">
        <f>'[1]Electricity and CHPs'!D28</f>
        <v>2.6724697548067259E-4</v>
      </c>
      <c r="I72" s="1">
        <f>'[1]Electricity and CHPs'!E28</f>
        <v>9.7855744290098253E-5</v>
      </c>
      <c r="J72" s="1">
        <f>'[1]Electricity and CHPs'!F28</f>
        <v>3.7401942749645504E-5</v>
      </c>
      <c r="K72" s="1">
        <f>'[1]Electricity and CHPs'!G28</f>
        <v>2.0227722179540667E-4</v>
      </c>
      <c r="L72" s="1">
        <f>'[1]Electricity and CHPs'!H28</f>
        <v>1.7839719680855592E-4</v>
      </c>
      <c r="M72" s="1">
        <f>'[1]Electricity and CHPs'!I28</f>
        <v>0</v>
      </c>
      <c r="N72" s="1">
        <f>'[1]Electricity and CHPs'!J28</f>
        <v>2.9169610770132554E-5</v>
      </c>
      <c r="O72" s="1">
        <f>'[1]Electricity and CHPs'!K28</f>
        <v>2.9094041845945647E-5</v>
      </c>
      <c r="P72" s="1">
        <f>'[1]Electricity and CHPs'!L28</f>
        <v>2.8871550978494317E-5</v>
      </c>
      <c r="Q72" s="1">
        <f>'[1]Electricity and CHPs'!M28</f>
        <v>3.065670124412339E-5</v>
      </c>
      <c r="S72" s="3"/>
    </row>
    <row r="73" spans="1:19" x14ac:dyDescent="0.5">
      <c r="A73" s="5" t="str">
        <f t="shared" si="80"/>
        <v>STEM</v>
      </c>
      <c r="B73" s="5" t="str">
        <f t="shared" si="81"/>
        <v>SPS1</v>
      </c>
      <c r="C73" s="5" t="str">
        <f t="shared" si="82"/>
        <v>CH</v>
      </c>
      <c r="D73" t="s">
        <v>40</v>
      </c>
      <c r="E73" t="str">
        <f>E81</f>
        <v>PJ/yr.</v>
      </c>
      <c r="F73" s="1">
        <f>'[1]Electricity and CHPs'!B41</f>
        <v>7.0500761060521999E-2</v>
      </c>
      <c r="G73" s="1">
        <f>'[1]Electricity and CHPs'!C41</f>
        <v>0.17150657878524322</v>
      </c>
      <c r="H73" s="1">
        <f>'[1]Electricity and CHPs'!D41</f>
        <v>8.6566902326043749E-3</v>
      </c>
      <c r="I73" s="1">
        <f>'[1]Electricity and CHPs'!E41</f>
        <v>0.17130756733375688</v>
      </c>
      <c r="J73" s="1">
        <f>'[1]Electricity and CHPs'!F41</f>
        <v>0.1713373992749245</v>
      </c>
      <c r="K73" s="1">
        <f>'[1]Electricity and CHPs'!G41</f>
        <v>0</v>
      </c>
      <c r="L73" s="1">
        <f>'[1]Electricity and CHPs'!H41</f>
        <v>0</v>
      </c>
      <c r="M73" s="1">
        <f>'[1]Electricity and CHPs'!I41</f>
        <v>0</v>
      </c>
      <c r="N73" s="1">
        <f>'[1]Electricity and CHPs'!J41</f>
        <v>2.1047727058214616E-3</v>
      </c>
      <c r="O73" s="1">
        <f>'[1]Electricity and CHPs'!K41</f>
        <v>2.0468285257359362E-3</v>
      </c>
      <c r="P73" s="1">
        <f>'[1]Electricity and CHPs'!L41</f>
        <v>0.17120635407998666</v>
      </c>
      <c r="Q73" s="1">
        <f>'[1]Electricity and CHPs'!M41</f>
        <v>0.17083533993319586</v>
      </c>
      <c r="S73" s="3"/>
    </row>
    <row r="74" spans="1:19" x14ac:dyDescent="0.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0.11190184201289212</v>
      </c>
      <c r="G74" s="1">
        <f t="shared" ref="G74:K74" si="83">SUM(G75:G77)</f>
        <v>0.17152824270836556</v>
      </c>
      <c r="H74" s="1">
        <f t="shared" si="83"/>
        <v>9.7079603027949036E-3</v>
      </c>
      <c r="I74" s="1">
        <f t="shared" si="83"/>
        <v>0.17152869717448024</v>
      </c>
      <c r="J74" s="1">
        <f t="shared" si="83"/>
        <v>0.17148304607540762</v>
      </c>
      <c r="K74" s="1">
        <f t="shared" si="83"/>
        <v>0.1715316778875382</v>
      </c>
      <c r="L74" s="1">
        <f t="shared" ref="L74:O74" si="84">SUM(L75:L77)</f>
        <v>0.1715319778042278</v>
      </c>
      <c r="M74" s="1">
        <f t="shared" si="84"/>
        <v>3.9748542018662598E-6</v>
      </c>
      <c r="N74" s="1">
        <f t="shared" si="84"/>
        <v>2.7180036124767582E-3</v>
      </c>
      <c r="O74" s="1">
        <f t="shared" si="84"/>
        <v>2.6988524114072454E-3</v>
      </c>
      <c r="P74" s="1">
        <f>SUM(P75:P77)</f>
        <v>0.17153172671223849</v>
      </c>
      <c r="Q74" s="1">
        <f>SUM(Q75:Q77)</f>
        <v>0.17153265660333922</v>
      </c>
      <c r="S74" s="3"/>
    </row>
    <row r="75" spans="1:19" x14ac:dyDescent="0.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3.9600577146668293E-2</v>
      </c>
      <c r="G75" s="1">
        <f t="shared" ref="G75:K75" si="85">G71</f>
        <v>1.3090686233783397E-5</v>
      </c>
      <c r="H75" s="1">
        <f t="shared" si="85"/>
        <v>7.8402309470985651E-4</v>
      </c>
      <c r="I75" s="1">
        <f t="shared" si="85"/>
        <v>1.2327409643326772E-4</v>
      </c>
      <c r="J75" s="1">
        <f t="shared" si="85"/>
        <v>1.0824485773347897E-4</v>
      </c>
      <c r="K75" s="1">
        <f t="shared" si="85"/>
        <v>0.17132940066574279</v>
      </c>
      <c r="L75" s="1">
        <f t="shared" ref="L75:O75" si="86">L71</f>
        <v>0.17135358060741923</v>
      </c>
      <c r="M75" s="1">
        <f t="shared" si="86"/>
        <v>3.9748542018662598E-6</v>
      </c>
      <c r="N75" s="1">
        <f t="shared" si="86"/>
        <v>5.84061295885164E-4</v>
      </c>
      <c r="O75" s="1">
        <f t="shared" si="86"/>
        <v>6.2292984382536357E-4</v>
      </c>
      <c r="P75" s="1">
        <f>P71</f>
        <v>2.9650108127331882E-4</v>
      </c>
      <c r="Q75" s="1">
        <f>Q71</f>
        <v>6.6665996889922995E-4</v>
      </c>
      <c r="S75" s="3"/>
    </row>
    <row r="76" spans="1:19" x14ac:dyDescent="0.5">
      <c r="A76" s="5" t="str">
        <f t="shared" si="68"/>
        <v>STEM</v>
      </c>
      <c r="B76" s="5" t="str">
        <f t="shared" si="69"/>
        <v>SPS1</v>
      </c>
      <c r="C76" s="5" t="str">
        <f t="shared" si="70"/>
        <v>CH</v>
      </c>
      <c r="D76" t="s">
        <v>515</v>
      </c>
      <c r="E76" t="str">
        <f>E134</f>
        <v>PJ/yr.</v>
      </c>
      <c r="F76" s="1">
        <f>'[1]Electricity and CHPs'!B28</f>
        <v>1.8005038057018266E-3</v>
      </c>
      <c r="G76" s="1">
        <f>'[1]Electricity and CHPs'!C28</f>
        <v>8.573236888551085E-6</v>
      </c>
      <c r="H76" s="1">
        <f>'[1]Electricity and CHPs'!D28</f>
        <v>2.6724697548067259E-4</v>
      </c>
      <c r="I76" s="1">
        <f>'[1]Electricity and CHPs'!E28</f>
        <v>9.7855744290098253E-5</v>
      </c>
      <c r="J76" s="1">
        <f>'[1]Electricity and CHPs'!F28</f>
        <v>3.7401942749645504E-5</v>
      </c>
      <c r="K76" s="1">
        <f>'[1]Electricity and CHPs'!G28</f>
        <v>2.0227722179540667E-4</v>
      </c>
      <c r="L76" s="1">
        <f>'[1]Electricity and CHPs'!H28</f>
        <v>1.7839719680855592E-4</v>
      </c>
      <c r="M76" s="1">
        <f>'[1]Electricity and CHPs'!I28</f>
        <v>0</v>
      </c>
      <c r="N76" s="1">
        <f>'[1]Electricity and CHPs'!J28</f>
        <v>2.9169610770132554E-5</v>
      </c>
      <c r="O76" s="1">
        <f>'[1]Electricity and CHPs'!K28</f>
        <v>2.9094041845945647E-5</v>
      </c>
      <c r="P76" s="1">
        <f>'[1]Electricity and CHPs'!L28</f>
        <v>2.8871550978494317E-5</v>
      </c>
      <c r="Q76" s="1">
        <f>'[1]Electricity and CHPs'!M28</f>
        <v>3.065670124412339E-5</v>
      </c>
      <c r="S76" s="3"/>
    </row>
    <row r="77" spans="1:19" x14ac:dyDescent="0.5">
      <c r="A77" s="5" t="str">
        <f t="shared" si="68"/>
        <v>STEM</v>
      </c>
      <c r="B77" s="5" t="str">
        <f t="shared" si="69"/>
        <v>SPS1</v>
      </c>
      <c r="C77" s="5" t="str">
        <f t="shared" si="70"/>
        <v>CH</v>
      </c>
      <c r="D77" t="s">
        <v>516</v>
      </c>
      <c r="E77" t="str">
        <f>E89</f>
        <v>PJ/yr.</v>
      </c>
      <c r="F77" s="1">
        <f>'[1]Electricity and CHPs'!B41</f>
        <v>7.0500761060521999E-2</v>
      </c>
      <c r="G77" s="1">
        <f>'[1]Electricity and CHPs'!C41</f>
        <v>0.17150657878524322</v>
      </c>
      <c r="H77" s="1">
        <f>'[1]Electricity and CHPs'!D41</f>
        <v>8.6566902326043749E-3</v>
      </c>
      <c r="I77" s="1">
        <f>'[1]Electricity and CHPs'!E41</f>
        <v>0.17130756733375688</v>
      </c>
      <c r="J77" s="1">
        <f>'[1]Electricity and CHPs'!F41</f>
        <v>0.1713373992749245</v>
      </c>
      <c r="K77" s="1">
        <f>'[1]Electricity and CHPs'!G41</f>
        <v>0</v>
      </c>
      <c r="L77" s="1">
        <f>'[1]Electricity and CHPs'!H41</f>
        <v>0</v>
      </c>
      <c r="M77" s="1">
        <f>'[1]Electricity and CHPs'!I41</f>
        <v>0</v>
      </c>
      <c r="N77" s="1">
        <f>'[1]Electricity and CHPs'!J41</f>
        <v>2.1047727058214616E-3</v>
      </c>
      <c r="O77" s="1">
        <f>'[1]Electricity and CHPs'!K41</f>
        <v>2.0468285257359362E-3</v>
      </c>
      <c r="P77" s="1">
        <f>'[1]Electricity and CHPs'!L41</f>
        <v>0.17120635407998666</v>
      </c>
      <c r="Q77" s="1">
        <f>'[1]Electricity and CHPs'!M41</f>
        <v>0.17083533993319586</v>
      </c>
      <c r="S77" s="3"/>
    </row>
    <row r="78" spans="1:19" x14ac:dyDescent="0.5">
      <c r="A78" s="5" t="str">
        <f t="shared" ref="A78:C79" si="87">A76</f>
        <v>STEM</v>
      </c>
      <c r="B78" s="5" t="str">
        <f t="shared" si="87"/>
        <v>SPS1</v>
      </c>
      <c r="C78" s="5" t="str">
        <f t="shared" si="87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8">SUM(G79:G81)</f>
        <v>0</v>
      </c>
      <c r="H78" s="1">
        <f t="shared" si="88"/>
        <v>0</v>
      </c>
      <c r="I78" s="1">
        <f t="shared" si="88"/>
        <v>0</v>
      </c>
      <c r="J78" s="1">
        <f t="shared" si="88"/>
        <v>0</v>
      </c>
      <c r="K78" s="1">
        <f t="shared" si="88"/>
        <v>0</v>
      </c>
      <c r="L78" s="1">
        <f t="shared" ref="L78:O78" si="89">SUM(L79:L81)</f>
        <v>0</v>
      </c>
      <c r="M78" s="1">
        <f t="shared" si="89"/>
        <v>0</v>
      </c>
      <c r="N78" s="1">
        <f t="shared" si="89"/>
        <v>0</v>
      </c>
      <c r="O78" s="1">
        <f t="shared" si="89"/>
        <v>0</v>
      </c>
      <c r="P78" s="1">
        <f>SUM(P79:P81)</f>
        <v>0</v>
      </c>
      <c r="Q78" s="1">
        <f>SUM(Q79:Q81)</f>
        <v>0</v>
      </c>
      <c r="S78" s="3"/>
    </row>
    <row r="79" spans="1:19" x14ac:dyDescent="0.5">
      <c r="A79" s="5" t="str">
        <f t="shared" si="87"/>
        <v>STEM</v>
      </c>
      <c r="B79" s="5" t="str">
        <f t="shared" si="87"/>
        <v>SPS1</v>
      </c>
      <c r="C79" s="5" t="str">
        <f t="shared" si="87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S79" s="3"/>
    </row>
    <row r="80" spans="1:19" x14ac:dyDescent="0.5">
      <c r="A80" s="5" t="str">
        <f t="shared" si="68"/>
        <v>STEM</v>
      </c>
      <c r="B80" s="5" t="str">
        <f t="shared" si="69"/>
        <v>SPS1</v>
      </c>
      <c r="C80" s="5" t="str">
        <f t="shared" si="70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S80" s="3"/>
    </row>
    <row r="81" spans="1:19" x14ac:dyDescent="0.5">
      <c r="A81" s="5" t="str">
        <f t="shared" si="68"/>
        <v>STEM</v>
      </c>
      <c r="B81" s="5" t="str">
        <f t="shared" si="69"/>
        <v>SPS1</v>
      </c>
      <c r="C81" s="5" t="str">
        <f t="shared" si="70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S81" s="3"/>
    </row>
    <row r="82" spans="1:19" x14ac:dyDescent="0.5">
      <c r="A82" s="5" t="str">
        <f t="shared" si="68"/>
        <v>STEM</v>
      </c>
      <c r="B82" s="5" t="str">
        <f t="shared" si="69"/>
        <v>SPS1</v>
      </c>
      <c r="C82" s="5" t="str">
        <f t="shared" si="70"/>
        <v>CH</v>
      </c>
      <c r="D82" t="s">
        <v>796</v>
      </c>
      <c r="E82" t="str">
        <f>E131</f>
        <v>PJ/yr.</v>
      </c>
      <c r="F82" s="1">
        <f>SUM(F83:F97)</f>
        <v>3.2304653966406587</v>
      </c>
      <c r="G82" s="1">
        <f t="shared" ref="G82:K82" si="90">SUM(G83:G97)</f>
        <v>2.1911123037286071</v>
      </c>
      <c r="H82" s="1">
        <f t="shared" si="90"/>
        <v>2.238234146602994</v>
      </c>
      <c r="I82" s="1">
        <f t="shared" si="90"/>
        <v>2.669944639926042</v>
      </c>
      <c r="J82" s="1">
        <f t="shared" si="90"/>
        <v>2.4494503442322602</v>
      </c>
      <c r="K82" s="1">
        <f t="shared" si="90"/>
        <v>2.6723525115753102</v>
      </c>
      <c r="L82" s="1">
        <f t="shared" ref="L82:O82" si="91">SUM(L83:L97)</f>
        <v>3.196439107531885</v>
      </c>
      <c r="M82" s="1">
        <f t="shared" si="91"/>
        <v>4.5083774668747809</v>
      </c>
      <c r="N82" s="1">
        <f t="shared" si="91"/>
        <v>7.5750645583444456</v>
      </c>
      <c r="O82" s="1">
        <f t="shared" si="91"/>
        <v>8.6069773521359085</v>
      </c>
      <c r="P82" s="1">
        <f>SUM(P83:P97)</f>
        <v>9.4627295512653742</v>
      </c>
      <c r="Q82" s="1">
        <f>SUM(Q83:Q97)</f>
        <v>10.649026004875745</v>
      </c>
      <c r="S82" s="3"/>
    </row>
    <row r="83" spans="1:19" x14ac:dyDescent="0.5">
      <c r="A83" s="5" t="str">
        <f t="shared" si="68"/>
        <v>STEM</v>
      </c>
      <c r="B83" s="5" t="str">
        <f t="shared" si="69"/>
        <v>SPS1</v>
      </c>
      <c r="C83" s="5" t="str">
        <f t="shared" si="70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'[1]Electricity and CHPs'!F21</f>
        <v>0</v>
      </c>
      <c r="K83" s="1">
        <f>'[1]Electricity and CHPs'!G21</f>
        <v>2.3090074598878179E-6</v>
      </c>
      <c r="L83" s="1">
        <f>'[1]Electricity and CHPs'!H21</f>
        <v>2.3898865669878178E-6</v>
      </c>
      <c r="M83" s="1">
        <f>'[1]Electricity and CHPs'!I21</f>
        <v>5.28711164942451E-5</v>
      </c>
      <c r="N83" s="1">
        <f>'[1]Electricity and CHPs'!J21</f>
        <v>7.0482565570031876E-4</v>
      </c>
      <c r="O83" s="1">
        <f>'[1]Electricity and CHPs'!K21</f>
        <v>5.2520961432946513E-4</v>
      </c>
      <c r="P83" s="1">
        <f>'[1]Electricity and CHPs'!L21</f>
        <v>6.1377352911989934E-4</v>
      </c>
      <c r="Q83" s="1">
        <f>'[1]Electricity and CHPs'!M21</f>
        <v>9.7814860746241899E-4</v>
      </c>
      <c r="S83" s="3"/>
    </row>
    <row r="84" spans="1:19" x14ac:dyDescent="0.5">
      <c r="A84" s="5" t="str">
        <f t="shared" si="68"/>
        <v>STEM</v>
      </c>
      <c r="B84" s="5" t="str">
        <f t="shared" si="69"/>
        <v>SPS1</v>
      </c>
      <c r="C84" s="5" t="str">
        <f t="shared" si="70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'[1]Electricity and CHPs'!F22</f>
        <v>0</v>
      </c>
      <c r="K84" s="1">
        <f>'[1]Electricity and CHPs'!G22</f>
        <v>7.1324851322945102E-8</v>
      </c>
      <c r="L84" s="1">
        <f>'[1]Electricity and CHPs'!H22</f>
        <v>0</v>
      </c>
      <c r="M84" s="1">
        <f>'[1]Electricity and CHPs'!I22</f>
        <v>1.4874201625863139E-3</v>
      </c>
      <c r="N84" s="1">
        <f>'[1]Electricity and CHPs'!J22</f>
        <v>5.8406085231290077E-4</v>
      </c>
      <c r="O84" s="1">
        <f>'[1]Electricity and CHPs'!K22</f>
        <v>4.332122922860628E-4</v>
      </c>
      <c r="P84" s="1">
        <f>'[1]Electricity and CHPs'!L22</f>
        <v>4.4919634221318548E-4</v>
      </c>
      <c r="Q84" s="1">
        <f>'[1]Electricity and CHPs'!M22</f>
        <v>8.5832987319643965E-4</v>
      </c>
      <c r="S84" s="3"/>
    </row>
    <row r="85" spans="1:19" x14ac:dyDescent="0.5">
      <c r="A85" s="5" t="str">
        <f t="shared" si="68"/>
        <v>STEM</v>
      </c>
      <c r="B85" s="5" t="str">
        <f t="shared" si="69"/>
        <v>SPS1</v>
      </c>
      <c r="C85" s="5" t="str">
        <f t="shared" si="70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'[1]Electricity and CHPs'!F23</f>
        <v>0</v>
      </c>
      <c r="K85" s="1">
        <f>'[1]Electricity and CHPs'!G23</f>
        <v>0</v>
      </c>
      <c r="L85" s="1">
        <f>'[1]Electricity and CHPs'!H23</f>
        <v>2.0932707046297821E-6</v>
      </c>
      <c r="M85" s="1">
        <f>'[1]Electricity and CHPs'!I23</f>
        <v>5.0151090356105473E-5</v>
      </c>
      <c r="N85" s="1">
        <f>'[1]Electricity and CHPs'!J23</f>
        <v>2.6366097975569325</v>
      </c>
      <c r="O85" s="1">
        <f>'[1]Electricity and CHPs'!K23</f>
        <v>2.9074246608653462</v>
      </c>
      <c r="P85" s="1">
        <f>'[1]Electricity and CHPs'!L23</f>
        <v>2.9623181661237066</v>
      </c>
      <c r="Q85" s="1">
        <f>'[1]Electricity and CHPs'!M23</f>
        <v>3.0154870231489657</v>
      </c>
      <c r="S85" s="3"/>
    </row>
    <row r="86" spans="1:19" x14ac:dyDescent="0.5">
      <c r="A86" s="5" t="str">
        <f t="shared" si="68"/>
        <v>STEM</v>
      </c>
      <c r="B86" s="5" t="str">
        <f t="shared" si="69"/>
        <v>SPS1</v>
      </c>
      <c r="C86" s="5" t="str">
        <f t="shared" si="70"/>
        <v>CH</v>
      </c>
      <c r="D86" t="s">
        <v>38</v>
      </c>
      <c r="E86" t="str">
        <f>E85</f>
        <v>PJ/yr.</v>
      </c>
      <c r="F86" s="1">
        <f>'[1]Electricity and CHPs'!B24</f>
        <v>0.96588050044996854</v>
      </c>
      <c r="G86" s="1">
        <f>'[1]Electricity and CHPs'!C24</f>
        <v>7.8369801649856056E-5</v>
      </c>
      <c r="H86" s="1">
        <f>'[1]Electricity and CHPs'!D24</f>
        <v>4.437317457324466E-4</v>
      </c>
      <c r="I86" s="1">
        <f>'[1]Electricity and CHPs'!E24</f>
        <v>0</v>
      </c>
      <c r="J86" s="1">
        <f>'[1]Electricity and CHPs'!F24</f>
        <v>0</v>
      </c>
      <c r="K86" s="1">
        <f>'[1]Electricity and CHPs'!G24</f>
        <v>0</v>
      </c>
      <c r="L86" s="1">
        <f>'[1]Electricity and CHPs'!H24</f>
        <v>0</v>
      </c>
      <c r="M86" s="1">
        <f>'[1]Electricity and CHPs'!I24</f>
        <v>0</v>
      </c>
      <c r="N86" s="1">
        <f>'[1]Electricity and CHPs'!J24</f>
        <v>0</v>
      </c>
      <c r="O86" s="1">
        <f>'[1]Electricity and CHPs'!K24</f>
        <v>0</v>
      </c>
      <c r="P86" s="1">
        <f>'[1]Electricity and CHPs'!L24</f>
        <v>0</v>
      </c>
      <c r="Q86" s="1">
        <f>'[1]Electricity and CHPs'!M24</f>
        <v>0</v>
      </c>
      <c r="S86" s="3"/>
    </row>
    <row r="87" spans="1:19" x14ac:dyDescent="0.5">
      <c r="A87" s="5" t="str">
        <f t="shared" si="68"/>
        <v>STEM</v>
      </c>
      <c r="B87" s="5" t="str">
        <f t="shared" si="69"/>
        <v>SPS1</v>
      </c>
      <c r="C87" s="5" t="str">
        <f t="shared" si="70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'[1]Electricity and CHPs'!F29</f>
        <v>0</v>
      </c>
      <c r="K87" s="1">
        <f>'[1]Electricity and CHPs'!G29</f>
        <v>0</v>
      </c>
      <c r="L87" s="1">
        <f>'[1]Electricity and CHPs'!H29</f>
        <v>0</v>
      </c>
      <c r="M87" s="1">
        <f>'[1]Electricity and CHPs'!I29</f>
        <v>0</v>
      </c>
      <c r="N87" s="1">
        <f>'[1]Electricity and CHPs'!J29</f>
        <v>0</v>
      </c>
      <c r="O87" s="1">
        <f>'[1]Electricity and CHPs'!K29</f>
        <v>0</v>
      </c>
      <c r="P87" s="1">
        <f>'[1]Electricity and CHPs'!L29</f>
        <v>0</v>
      </c>
      <c r="Q87" s="1">
        <f>'[1]Electricity and CHPs'!M29</f>
        <v>0</v>
      </c>
      <c r="S87" s="3"/>
    </row>
    <row r="88" spans="1:19" x14ac:dyDescent="0.5">
      <c r="A88" s="5" t="str">
        <f t="shared" si="68"/>
        <v>STEM</v>
      </c>
      <c r="B88" s="5" t="str">
        <f t="shared" si="69"/>
        <v>SPS1</v>
      </c>
      <c r="C88" s="5" t="str">
        <f t="shared" si="70"/>
        <v>CH</v>
      </c>
      <c r="D88" t="s">
        <v>41</v>
      </c>
      <c r="E88" t="str">
        <f>E166</f>
        <v>PJ/yr.</v>
      </c>
      <c r="F88" s="1">
        <f>'[1]Electricity and CHPs'!B39</f>
        <v>0.66996226482167398</v>
      </c>
      <c r="G88" s="1">
        <f>'[1]Electricity and CHPs'!C39</f>
        <v>0.42845964760309846</v>
      </c>
      <c r="H88" s="1">
        <f>'[1]Electricity and CHPs'!D39</f>
        <v>5.2089940926601415E-2</v>
      </c>
      <c r="I88" s="1">
        <f>'[1]Electricity and CHPs'!E39</f>
        <v>0.36060566992919424</v>
      </c>
      <c r="J88" s="1">
        <f>'[1]Electricity and CHPs'!F39</f>
        <v>0.21961923088574656</v>
      </c>
      <c r="K88" s="1">
        <f>'[1]Electricity and CHPs'!G39</f>
        <v>0.66654665787829204</v>
      </c>
      <c r="L88" s="1">
        <f>'[1]Electricity and CHPs'!H39</f>
        <v>0.42376004878009776</v>
      </c>
      <c r="M88" s="1">
        <f>'[1]Electricity and CHPs'!I39</f>
        <v>0.42426738988633461</v>
      </c>
      <c r="N88" s="1">
        <f>'[1]Electricity and CHPs'!J39</f>
        <v>0.42408244048330673</v>
      </c>
      <c r="O88" s="1">
        <f>'[1]Electricity and CHPs'!K39</f>
        <v>0.31016057443253908</v>
      </c>
      <c r="P88" s="1">
        <f>'[1]Electricity and CHPs'!L39</f>
        <v>0.42426856588701173</v>
      </c>
      <c r="Q88" s="1">
        <f>'[1]Electricity and CHPs'!M39</f>
        <v>0.42430087919535076</v>
      </c>
      <c r="S88" s="3"/>
    </row>
    <row r="89" spans="1:19" x14ac:dyDescent="0.5">
      <c r="A89" s="5" t="str">
        <f t="shared" si="68"/>
        <v>STEM</v>
      </c>
      <c r="B89" s="5" t="str">
        <f t="shared" si="69"/>
        <v>SPS1</v>
      </c>
      <c r="C89" s="5" t="str">
        <f t="shared" si="70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'[1]Electricity and CHPs'!F40</f>
        <v>0</v>
      </c>
      <c r="K89" s="1">
        <f>'[1]Electricity and CHPs'!G40</f>
        <v>1.7425849428373684E-3</v>
      </c>
      <c r="L89" s="1">
        <f>'[1]Electricity and CHPs'!H40</f>
        <v>0.24501632354153549</v>
      </c>
      <c r="M89" s="1">
        <f>'[1]Electricity and CHPs'!I40</f>
        <v>0.24531505341295293</v>
      </c>
      <c r="N89" s="1">
        <f>'[1]Electricity and CHPs'!J40</f>
        <v>0.24520204226161574</v>
      </c>
      <c r="O89" s="1">
        <f>'[1]Electricity and CHPs'!K40</f>
        <v>0.17933842825220625</v>
      </c>
      <c r="P89" s="1">
        <f>'[1]Electricity and CHPs'!L40</f>
        <v>0.2453143463539405</v>
      </c>
      <c r="Q89" s="1">
        <f>'[1]Electricity and CHPs'!M40</f>
        <v>0.24533053825293552</v>
      </c>
      <c r="S89" s="3"/>
    </row>
    <row r="90" spans="1:19" x14ac:dyDescent="0.5">
      <c r="A90" s="5" t="str">
        <f t="shared" si="68"/>
        <v>STEM</v>
      </c>
      <c r="B90" s="5" t="str">
        <f t="shared" si="69"/>
        <v>SPS1</v>
      </c>
      <c r="C90" s="5" t="str">
        <f t="shared" si="70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1.1849717550258535E-4</v>
      </c>
      <c r="J90" s="1">
        <f>'[1]Electricity and CHPs'!F47</f>
        <v>1.9353851378985004E-4</v>
      </c>
      <c r="K90" s="1">
        <f>'[1]Electricity and CHPs'!G47</f>
        <v>1.687021826227655E-3</v>
      </c>
      <c r="L90" s="1">
        <f>'[1]Electricity and CHPs'!H47</f>
        <v>1.2041751960152572E-3</v>
      </c>
      <c r="M90" s="1">
        <f>'[1]Electricity and CHPs'!I47</f>
        <v>3.9904772473828715E-4</v>
      </c>
      <c r="N90" s="1">
        <f>'[1]Electricity and CHPs'!J47</f>
        <v>6.8768607489515113E-4</v>
      </c>
      <c r="O90" s="1">
        <f>'[1]Electricity and CHPs'!K47</f>
        <v>3.810058724569653E-4</v>
      </c>
      <c r="P90" s="1">
        <f>'[1]Electricity and CHPs'!L47</f>
        <v>3.9246518006148367E-4</v>
      </c>
      <c r="Q90" s="1">
        <f>'[1]Electricity and CHPs'!M47</f>
        <v>3.4732442532565955E-4</v>
      </c>
      <c r="S90" s="3"/>
    </row>
    <row r="91" spans="1:19" x14ac:dyDescent="0.5">
      <c r="A91" s="5" t="str">
        <f t="shared" si="68"/>
        <v>STEM</v>
      </c>
      <c r="B91" s="5" t="str">
        <f t="shared" si="69"/>
        <v>SPS1</v>
      </c>
      <c r="C91" s="5" t="str">
        <f t="shared" si="70"/>
        <v>CH</v>
      </c>
      <c r="D91" t="s">
        <v>44</v>
      </c>
      <c r="E91" t="str">
        <f>E90</f>
        <v>PJ/yr.</v>
      </c>
      <c r="F91" s="1">
        <f>'[1]Electricity and CHPs'!B48</f>
        <v>1.3199589458690583E-2</v>
      </c>
      <c r="G91" s="1">
        <f>'[1]Electricity and CHPs'!C48</f>
        <v>1.7225432064573313E-3</v>
      </c>
      <c r="H91" s="1">
        <f>'[1]Electricity and CHPs'!D48</f>
        <v>3.8002819893836904E-3</v>
      </c>
      <c r="I91" s="1">
        <f>'[1]Electricity and CHPs'!E48</f>
        <v>2.8373252586001399E-3</v>
      </c>
      <c r="J91" s="1">
        <f>'[1]Electricity and CHPs'!F48</f>
        <v>2.7159491808590435E-3</v>
      </c>
      <c r="K91" s="1">
        <f>'[1]Electricity and CHPs'!G48</f>
        <v>1.9920837422573935E-3</v>
      </c>
      <c r="L91" s="1">
        <f>'[1]Electricity and CHPs'!H48</f>
        <v>0</v>
      </c>
      <c r="M91" s="1">
        <f>'[1]Electricity and CHPs'!I48</f>
        <v>0</v>
      </c>
      <c r="N91" s="1">
        <f>'[1]Electricity and CHPs'!J48</f>
        <v>1.1451253871839653E-3</v>
      </c>
      <c r="O91" s="1">
        <f>'[1]Electricity and CHPs'!K48</f>
        <v>1.6374457583379178E-3</v>
      </c>
      <c r="P91" s="1">
        <f>'[1]Electricity and CHPs'!L48</f>
        <v>1.6545998847189761E-3</v>
      </c>
      <c r="Q91" s="1">
        <f>'[1]Electricity and CHPs'!M48</f>
        <v>1.8537577157919814E-3</v>
      </c>
      <c r="S91" s="3"/>
    </row>
    <row r="92" spans="1:19" x14ac:dyDescent="0.5">
      <c r="A92" s="5" t="str">
        <f t="shared" si="68"/>
        <v>STEM</v>
      </c>
      <c r="B92" s="5" t="str">
        <f t="shared" si="69"/>
        <v>SPS1</v>
      </c>
      <c r="C92" s="5" t="str">
        <f t="shared" si="70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0</v>
      </c>
      <c r="J92" s="1">
        <f>'[1]Electricity and CHPs'!F49</f>
        <v>0</v>
      </c>
      <c r="K92" s="1">
        <f>'[1]Electricity and CHPs'!G49</f>
        <v>0</v>
      </c>
      <c r="L92" s="1">
        <f>'[1]Electricity and CHPs'!H49</f>
        <v>0</v>
      </c>
      <c r="M92" s="1">
        <f>'[1]Electricity and CHPs'!I49</f>
        <v>0</v>
      </c>
      <c r="N92" s="1">
        <f>'[1]Electricity and CHPs'!J49</f>
        <v>3.8715402080685072E-4</v>
      </c>
      <c r="O92" s="1">
        <f>'[1]Electricity and CHPs'!K49</f>
        <v>6.4932171607212934E-4</v>
      </c>
      <c r="P92" s="1">
        <f>'[1]Electricity and CHPs'!L49</f>
        <v>6.5134018548956797E-4</v>
      </c>
      <c r="Q92" s="1">
        <f>'[1]Electricity and CHPs'!M49</f>
        <v>1.202373059643051E-3</v>
      </c>
      <c r="S92" s="3"/>
    </row>
    <row r="93" spans="1:19" x14ac:dyDescent="0.5">
      <c r="A93" s="5" t="str">
        <f t="shared" si="68"/>
        <v>STEM</v>
      </c>
      <c r="B93" s="5" t="str">
        <f t="shared" si="69"/>
        <v>SPS1</v>
      </c>
      <c r="C93" s="5" t="str">
        <f t="shared" si="70"/>
        <v>CH</v>
      </c>
      <c r="D93" t="s">
        <v>46</v>
      </c>
      <c r="E93" t="str">
        <f>E156</f>
        <v>PJ/yr.</v>
      </c>
      <c r="F93" s="1">
        <f>'[1]Electricity and CHPs'!B51</f>
        <v>2.7658329493418725E-2</v>
      </c>
      <c r="G93" s="1">
        <f>'[1]Electricity and CHPs'!C51</f>
        <v>2.9044276932024417E-2</v>
      </c>
      <c r="H93" s="1">
        <f>'[1]Electricity and CHPs'!D51</f>
        <v>0.11545162905629829</v>
      </c>
      <c r="I93" s="1">
        <f>'[1]Electricity and CHPs'!E51</f>
        <v>0.11448060481093074</v>
      </c>
      <c r="J93" s="1">
        <f>'[1]Electricity and CHPs'!F51</f>
        <v>0.11545362055349455</v>
      </c>
      <c r="K93" s="1">
        <f>'[1]Electricity and CHPs'!G51</f>
        <v>4.8486818117746203E-2</v>
      </c>
      <c r="L93" s="1">
        <f>'[1]Electricity and CHPs'!H51</f>
        <v>0</v>
      </c>
      <c r="M93" s="1">
        <f>'[1]Electricity and CHPs'!I51</f>
        <v>0</v>
      </c>
      <c r="N93" s="1">
        <f>'[1]Electricity and CHPs'!J51</f>
        <v>1.2750969645665231E-3</v>
      </c>
      <c r="O93" s="1">
        <f>'[1]Electricity and CHPs'!K51</f>
        <v>3.2011338636744858E-3</v>
      </c>
      <c r="P93" s="1">
        <f>'[1]Electricity and CHPs'!L51</f>
        <v>2.1349594136354615E-3</v>
      </c>
      <c r="Q93" s="1">
        <f>'[1]Electricity and CHPs'!M51</f>
        <v>2.886025580248695E-3</v>
      </c>
      <c r="S93" s="3"/>
    </row>
    <row r="94" spans="1:19" x14ac:dyDescent="0.5">
      <c r="A94" s="5" t="str">
        <f t="shared" si="68"/>
        <v>STEM</v>
      </c>
      <c r="B94" s="5" t="str">
        <f t="shared" si="69"/>
        <v>SPS1</v>
      </c>
      <c r="C94" s="5" t="str">
        <f t="shared" si="70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0</v>
      </c>
      <c r="J94" s="1">
        <f>'[1]Electricity and CHPs'!F52</f>
        <v>0</v>
      </c>
      <c r="K94" s="1">
        <f>'[1]Electricity and CHPs'!G52</f>
        <v>0</v>
      </c>
      <c r="L94" s="1">
        <f>'[1]Electricity and CHPs'!H52</f>
        <v>0</v>
      </c>
      <c r="M94" s="1">
        <f>'[1]Electricity and CHPs'!I52</f>
        <v>0</v>
      </c>
      <c r="N94" s="1">
        <f>'[1]Electricity and CHPs'!J52</f>
        <v>9.3857508610734682E-4</v>
      </c>
      <c r="O94" s="1">
        <f>'[1]Electricity and CHPs'!K52</f>
        <v>1.8155706432822962E-3</v>
      </c>
      <c r="P94" s="1">
        <f>'[1]Electricity and CHPs'!L52</f>
        <v>1.4054606696984138E-3</v>
      </c>
      <c r="Q94" s="1">
        <f>'[1]Electricity and CHPs'!M52</f>
        <v>2.4744427843376598E-3</v>
      </c>
      <c r="S94" s="3"/>
    </row>
    <row r="95" spans="1:19" x14ac:dyDescent="0.5">
      <c r="A95" s="5" t="str">
        <f t="shared" si="68"/>
        <v>STEM</v>
      </c>
      <c r="B95" s="5" t="str">
        <f t="shared" si="69"/>
        <v>SPS1</v>
      </c>
      <c r="C95" s="5" t="str">
        <f t="shared" si="70"/>
        <v>CH</v>
      </c>
      <c r="D95" t="s">
        <v>84</v>
      </c>
      <c r="E95" t="str">
        <f>E157</f>
        <v>PJ/yr.</v>
      </c>
      <c r="F95" s="1">
        <f>'[1]Electricity and CHPs'!B54</f>
        <v>0.95936493589577942</v>
      </c>
      <c r="G95" s="1">
        <f>'[1]Electricity and CHPs'!C54</f>
        <v>1.1059417555439905</v>
      </c>
      <c r="H95" s="1">
        <f>'[1]Electricity and CHPs'!D54</f>
        <v>1.1059832162553229</v>
      </c>
      <c r="I95" s="1">
        <f>'[1]Electricity and CHPs'!E54</f>
        <v>1.1059844091620241</v>
      </c>
      <c r="J95" s="1">
        <f>'[1]Electricity and CHPs'!F54</f>
        <v>1.1076967880855895</v>
      </c>
      <c r="K95" s="1">
        <f>'[1]Electricity and CHPs'!G54</f>
        <v>1.3402525745503058</v>
      </c>
      <c r="L95" s="1">
        <f>'[1]Electricity and CHPs'!H54</f>
        <v>2.526454076856965</v>
      </c>
      <c r="M95" s="1">
        <f>'[1]Electricity and CHPs'!I54</f>
        <v>3.8368055334813187</v>
      </c>
      <c r="N95" s="1">
        <f>'[1]Electricity and CHPs'!J54</f>
        <v>4.2622552558167834</v>
      </c>
      <c r="O95" s="1">
        <f>'[1]Electricity and CHPs'!K54</f>
        <v>5.2000120914270589</v>
      </c>
      <c r="P95" s="1">
        <f>'[1]Electricity and CHPs'!L54</f>
        <v>5.8224732321660859</v>
      </c>
      <c r="Q95" s="1">
        <f>'[1]Electricity and CHPs'!M54</f>
        <v>6.9513599220855751</v>
      </c>
      <c r="S95" s="3"/>
    </row>
    <row r="96" spans="1:19" x14ac:dyDescent="0.5">
      <c r="A96" s="5" t="str">
        <f t="shared" si="68"/>
        <v>STEM</v>
      </c>
      <c r="B96" s="5" t="str">
        <f t="shared" si="69"/>
        <v>SPS1</v>
      </c>
      <c r="C96" s="5" t="str">
        <f t="shared" si="70"/>
        <v>CH</v>
      </c>
      <c r="D96" t="s">
        <v>85</v>
      </c>
      <c r="E96" t="str">
        <f>E95</f>
        <v>PJ/yr.</v>
      </c>
      <c r="F96" s="1">
        <f>'[1]Electricity and CHPs'!B55</f>
        <v>0.5943997765211273</v>
      </c>
      <c r="G96" s="1">
        <f>'[1]Electricity and CHPs'!C55</f>
        <v>0.6258657106413863</v>
      </c>
      <c r="H96" s="1">
        <f>'[1]Electricity and CHPs'!D55</f>
        <v>0.96046534662965544</v>
      </c>
      <c r="I96" s="1">
        <f>'[1]Electricity and CHPs'!E55</f>
        <v>1.0859181335897903</v>
      </c>
      <c r="J96" s="1">
        <f>'[1]Electricity and CHPs'!F55</f>
        <v>1.0037712170127806</v>
      </c>
      <c r="K96" s="1">
        <f>'[1]Electricity and CHPs'!G55</f>
        <v>0.6116423901853324</v>
      </c>
      <c r="L96" s="1">
        <f>'[1]Electricity and CHPs'!H55</f>
        <v>0</v>
      </c>
      <c r="M96" s="1">
        <f>'[1]Electricity and CHPs'!I55</f>
        <v>0</v>
      </c>
      <c r="N96" s="1">
        <f>'[1]Electricity and CHPs'!J55</f>
        <v>8.0197819326735065E-4</v>
      </c>
      <c r="O96" s="1">
        <f>'[1]Electricity and CHPs'!K55</f>
        <v>7.7791643803718782E-4</v>
      </c>
      <c r="P96" s="1">
        <f>'[1]Electricity and CHPs'!L55</f>
        <v>5.4785018317706521E-4</v>
      </c>
      <c r="Q96" s="1">
        <f>'[1]Electricity and CHPs'!M55</f>
        <v>9.266089551715471E-4</v>
      </c>
      <c r="S96" s="3"/>
    </row>
    <row r="97" spans="1:19" x14ac:dyDescent="0.5">
      <c r="A97" s="5" t="str">
        <f t="shared" si="68"/>
        <v>STEM</v>
      </c>
      <c r="B97" s="5" t="str">
        <f t="shared" si="69"/>
        <v>SPS1</v>
      </c>
      <c r="C97" s="5" t="str">
        <f t="shared" si="70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0</v>
      </c>
      <c r="J97" s="1">
        <f>'[1]Electricity and CHPs'!F58</f>
        <v>0</v>
      </c>
      <c r="K97" s="1">
        <f>'[1]Electricity and CHPs'!G58</f>
        <v>0</v>
      </c>
      <c r="L97" s="1">
        <f>'[1]Electricity and CHPs'!H58</f>
        <v>0</v>
      </c>
      <c r="M97" s="1">
        <f>'[1]Electricity and CHPs'!I58</f>
        <v>0</v>
      </c>
      <c r="N97" s="1">
        <f>'[1]Electricity and CHPs'!J58</f>
        <v>3.905199909659273E-4</v>
      </c>
      <c r="O97" s="1">
        <f>'[1]Electricity and CHPs'!K58</f>
        <v>6.2078096028159039E-4</v>
      </c>
      <c r="P97" s="1">
        <f>'[1]Electricity and CHPs'!L58</f>
        <v>5.0559534651559341E-4</v>
      </c>
      <c r="Q97" s="1">
        <f>'[1]Electricity and CHPs'!M58</f>
        <v>1.0206311917389846E-3</v>
      </c>
      <c r="S97" s="3"/>
    </row>
    <row r="98" spans="1:19" x14ac:dyDescent="0.5">
      <c r="A98" s="5" t="str">
        <f t="shared" ref="A98:A113" si="92">A97</f>
        <v>STEM</v>
      </c>
      <c r="B98" s="5" t="str">
        <f t="shared" ref="B98:B113" si="93">B97</f>
        <v>SPS1</v>
      </c>
      <c r="C98" s="5" t="str">
        <f t="shared" ref="C98:C113" si="94">C97</f>
        <v>CH</v>
      </c>
      <c r="D98" t="s">
        <v>797</v>
      </c>
      <c r="E98" t="str">
        <f t="shared" ref="E98:E108" si="95">E173</f>
        <v>PJ/yr.</v>
      </c>
      <c r="F98" s="1">
        <f>F82-F114</f>
        <v>2.2129524202542976</v>
      </c>
      <c r="G98" s="1">
        <f t="shared" ref="G98:K98" si="96">G82-G114</f>
        <v>1.0391507986291257</v>
      </c>
      <c r="H98" s="1">
        <f t="shared" si="96"/>
        <v>1.0511944310748731</v>
      </c>
      <c r="I98" s="1">
        <f>I82-I114</f>
        <v>1.5304412712498909</v>
      </c>
      <c r="J98" s="1">
        <f t="shared" si="96"/>
        <v>1.3030994178553845</v>
      </c>
      <c r="K98" s="1">
        <f t="shared" si="96"/>
        <v>1.2296755561246557</v>
      </c>
      <c r="L98" s="1">
        <f t="shared" ref="L98:O98" si="97">L82-L114</f>
        <v>0.53150917199386027</v>
      </c>
      <c r="M98" s="1">
        <f t="shared" si="97"/>
        <v>0.18570484033895607</v>
      </c>
      <c r="N98" s="1">
        <f t="shared" si="97"/>
        <v>6.2552296343350022E-3</v>
      </c>
      <c r="O98" s="1">
        <f t="shared" si="97"/>
        <v>1.0588898090073684E-2</v>
      </c>
      <c r="P98" s="1">
        <f t="shared" ref="P98:Q113" si="98">P82-P114</f>
        <v>8.2732266605987093E-3</v>
      </c>
      <c r="Q98" s="1">
        <f t="shared" si="98"/>
        <v>1.1780408558012212E-2</v>
      </c>
      <c r="S98" s="3"/>
    </row>
    <row r="99" spans="1:19" x14ac:dyDescent="0.5">
      <c r="A99" s="5" t="str">
        <f t="shared" si="92"/>
        <v>STEM</v>
      </c>
      <c r="B99" s="5" t="str">
        <f t="shared" si="93"/>
        <v>SPS1</v>
      </c>
      <c r="C99" s="5" t="str">
        <f t="shared" si="94"/>
        <v>CH</v>
      </c>
      <c r="D99" t="s">
        <v>552</v>
      </c>
      <c r="E99" t="str">
        <f t="shared" si="95"/>
        <v>PJ/yr.</v>
      </c>
      <c r="F99" s="1">
        <f t="shared" ref="F99:K99" si="99">F83-F115</f>
        <v>0</v>
      </c>
      <c r="G99" s="1">
        <f t="shared" si="99"/>
        <v>0</v>
      </c>
      <c r="H99" s="1">
        <f t="shared" si="99"/>
        <v>0</v>
      </c>
      <c r="I99" s="1">
        <f t="shared" si="99"/>
        <v>0</v>
      </c>
      <c r="J99" s="1">
        <f t="shared" si="99"/>
        <v>0</v>
      </c>
      <c r="K99" s="1">
        <f t="shared" si="99"/>
        <v>2.1314692339635139E-6</v>
      </c>
      <c r="L99" s="1">
        <f t="shared" ref="L99:O99" si="100">L83-L115</f>
        <v>1.8959328525584241E-6</v>
      </c>
      <c r="M99" s="1">
        <f t="shared" si="100"/>
        <v>1.4620060426726738E-5</v>
      </c>
      <c r="N99" s="1">
        <f t="shared" si="100"/>
        <v>1.3308482094675231E-6</v>
      </c>
      <c r="O99" s="1">
        <f t="shared" si="100"/>
        <v>1.6323591984334761E-6</v>
      </c>
      <c r="P99" s="1">
        <f t="shared" si="98"/>
        <v>1.3949258182846059E-6</v>
      </c>
      <c r="Q99" s="1">
        <f t="shared" si="98"/>
        <v>3.1162874008513293E-6</v>
      </c>
      <c r="S99" s="3"/>
    </row>
    <row r="100" spans="1:19" x14ac:dyDescent="0.5">
      <c r="A100" s="5" t="str">
        <f t="shared" si="92"/>
        <v>STEM</v>
      </c>
      <c r="B100" s="5" t="str">
        <f t="shared" si="93"/>
        <v>SPS1</v>
      </c>
      <c r="C100" s="5" t="str">
        <f t="shared" si="94"/>
        <v>CH</v>
      </c>
      <c r="D100" t="s">
        <v>553</v>
      </c>
      <c r="E100" t="str">
        <f t="shared" si="95"/>
        <v>PJ/yr.</v>
      </c>
      <c r="F100" s="1">
        <f t="shared" ref="F100:K100" si="101">F84-F116</f>
        <v>0</v>
      </c>
      <c r="G100" s="1">
        <f t="shared" si="101"/>
        <v>0</v>
      </c>
      <c r="H100" s="1">
        <f t="shared" si="101"/>
        <v>0</v>
      </c>
      <c r="I100" s="1">
        <f t="shared" si="101"/>
        <v>0</v>
      </c>
      <c r="J100" s="1">
        <f t="shared" si="101"/>
        <v>0</v>
      </c>
      <c r="K100" s="1">
        <f t="shared" si="101"/>
        <v>6.584072544281233E-8</v>
      </c>
      <c r="L100" s="1">
        <f t="shared" ref="L100:O100" si="102">L84-L116</f>
        <v>0</v>
      </c>
      <c r="M100" s="1">
        <f t="shared" si="102"/>
        <v>4.113053421013087E-4</v>
      </c>
      <c r="N100" s="1">
        <f t="shared" si="102"/>
        <v>1.1028207234430954E-6</v>
      </c>
      <c r="O100" s="1">
        <f t="shared" si="102"/>
        <v>1.3464301697721959E-6</v>
      </c>
      <c r="P100" s="1">
        <f t="shared" si="98"/>
        <v>1.0208905166220997E-6</v>
      </c>
      <c r="Q100" s="1">
        <f t="shared" si="98"/>
        <v>2.7345564357092542E-6</v>
      </c>
      <c r="S100" s="3"/>
    </row>
    <row r="101" spans="1:19" x14ac:dyDescent="0.5">
      <c r="A101" s="5" t="str">
        <f t="shared" si="92"/>
        <v>STEM</v>
      </c>
      <c r="B101" s="5" t="str">
        <f t="shared" si="93"/>
        <v>SPS1</v>
      </c>
      <c r="C101" s="5" t="str">
        <f t="shared" si="94"/>
        <v>CH</v>
      </c>
      <c r="D101" t="s">
        <v>554</v>
      </c>
      <c r="E101" t="str">
        <f t="shared" si="95"/>
        <v>PJ/yr.</v>
      </c>
      <c r="F101" s="1">
        <f t="shared" ref="F101:K101" si="103">F85-F117</f>
        <v>0</v>
      </c>
      <c r="G101" s="1">
        <f t="shared" si="103"/>
        <v>0</v>
      </c>
      <c r="H101" s="1">
        <f t="shared" si="103"/>
        <v>0</v>
      </c>
      <c r="I101" s="1">
        <f t="shared" si="103"/>
        <v>0</v>
      </c>
      <c r="J101" s="1">
        <f t="shared" si="103"/>
        <v>0</v>
      </c>
      <c r="K101" s="1">
        <f t="shared" si="103"/>
        <v>0</v>
      </c>
      <c r="L101" s="1">
        <f t="shared" ref="L101:O101" si="104">L85-L117</f>
        <v>1.660623040870021E-6</v>
      </c>
      <c r="M101" s="1">
        <f t="shared" si="104"/>
        <v>1.3867911632853511E-5</v>
      </c>
      <c r="N101" s="1">
        <f t="shared" si="104"/>
        <v>4.9784331767219747E-3</v>
      </c>
      <c r="O101" s="1">
        <f t="shared" si="104"/>
        <v>9.0363185658266509E-3</v>
      </c>
      <c r="P101" s="1">
        <f t="shared" si="98"/>
        <v>6.7324736174674271E-3</v>
      </c>
      <c r="Q101" s="1">
        <f t="shared" si="98"/>
        <v>9.6070516749482415E-3</v>
      </c>
      <c r="S101" s="3"/>
    </row>
    <row r="102" spans="1:19" x14ac:dyDescent="0.5">
      <c r="A102" s="5" t="str">
        <f t="shared" si="92"/>
        <v>STEM</v>
      </c>
      <c r="B102" s="5" t="str">
        <f t="shared" si="93"/>
        <v>SPS1</v>
      </c>
      <c r="C102" s="5" t="str">
        <f t="shared" si="94"/>
        <v>CH</v>
      </c>
      <c r="D102" t="s">
        <v>555</v>
      </c>
      <c r="E102" t="str">
        <f t="shared" si="95"/>
        <v>PJ/yr.</v>
      </c>
      <c r="F102" s="1">
        <f t="shared" ref="F102:K102" si="105">F86-F118</f>
        <v>0.94115061314643322</v>
      </c>
      <c r="G102" s="1">
        <f t="shared" si="105"/>
        <v>7.5046306876916185E-5</v>
      </c>
      <c r="H102" s="1">
        <f t="shared" si="105"/>
        <v>4.1196551709774345E-4</v>
      </c>
      <c r="I102" s="1">
        <f t="shared" si="105"/>
        <v>0</v>
      </c>
      <c r="J102" s="1">
        <f t="shared" si="105"/>
        <v>0</v>
      </c>
      <c r="K102" s="1">
        <f t="shared" si="105"/>
        <v>0</v>
      </c>
      <c r="L102" s="1">
        <f t="shared" ref="L102:O102" si="106">L86-L118</f>
        <v>0</v>
      </c>
      <c r="M102" s="1">
        <f t="shared" si="106"/>
        <v>0</v>
      </c>
      <c r="N102" s="1">
        <f t="shared" si="106"/>
        <v>0</v>
      </c>
      <c r="O102" s="1">
        <f t="shared" si="106"/>
        <v>0</v>
      </c>
      <c r="P102" s="1">
        <f t="shared" si="98"/>
        <v>0</v>
      </c>
      <c r="Q102" s="1">
        <f t="shared" si="98"/>
        <v>0</v>
      </c>
      <c r="S102" s="3"/>
    </row>
    <row r="103" spans="1:19" x14ac:dyDescent="0.5">
      <c r="A103" s="5" t="str">
        <f t="shared" si="92"/>
        <v>STEM</v>
      </c>
      <c r="B103" s="5" t="str">
        <f t="shared" si="93"/>
        <v>SPS1</v>
      </c>
      <c r="C103" s="5" t="str">
        <f t="shared" si="94"/>
        <v>CH</v>
      </c>
      <c r="D103" t="s">
        <v>556</v>
      </c>
      <c r="E103" t="str">
        <f t="shared" si="95"/>
        <v>PJ/yr.</v>
      </c>
      <c r="F103" s="1">
        <f t="shared" ref="F103:K103" si="107">F87-F119</f>
        <v>0</v>
      </c>
      <c r="G103" s="1">
        <f t="shared" si="107"/>
        <v>0</v>
      </c>
      <c r="H103" s="1">
        <f t="shared" si="107"/>
        <v>0</v>
      </c>
      <c r="I103" s="1">
        <f t="shared" si="107"/>
        <v>0</v>
      </c>
      <c r="J103" s="1">
        <f t="shared" si="107"/>
        <v>0</v>
      </c>
      <c r="K103" s="1">
        <f t="shared" si="107"/>
        <v>0</v>
      </c>
      <c r="L103" s="1">
        <f t="shared" ref="L103:O103" si="108">L87-L119</f>
        <v>0</v>
      </c>
      <c r="M103" s="1">
        <f t="shared" si="108"/>
        <v>0</v>
      </c>
      <c r="N103" s="1">
        <f t="shared" si="108"/>
        <v>0</v>
      </c>
      <c r="O103" s="1">
        <f t="shared" si="108"/>
        <v>0</v>
      </c>
      <c r="P103" s="1">
        <f t="shared" si="98"/>
        <v>0</v>
      </c>
      <c r="Q103" s="1">
        <f t="shared" si="98"/>
        <v>0</v>
      </c>
      <c r="S103" s="3"/>
    </row>
    <row r="104" spans="1:19" x14ac:dyDescent="0.5">
      <c r="A104" s="5" t="str">
        <f t="shared" si="92"/>
        <v>STEM</v>
      </c>
      <c r="B104" s="5" t="str">
        <f t="shared" si="93"/>
        <v>SPS1</v>
      </c>
      <c r="C104" s="5" t="str">
        <f t="shared" si="94"/>
        <v>CH</v>
      </c>
      <c r="D104" t="s">
        <v>557</v>
      </c>
      <c r="E104" t="str">
        <f t="shared" si="95"/>
        <v>PJ/yr.</v>
      </c>
      <c r="F104" s="1">
        <f t="shared" ref="F104:K104" si="109">F88-F120</f>
        <v>0.6528089096199251</v>
      </c>
      <c r="G104" s="1">
        <f t="shared" si="109"/>
        <v>0.41028959524560127</v>
      </c>
      <c r="H104" s="1">
        <f t="shared" si="109"/>
        <v>4.8360883925481817E-2</v>
      </c>
      <c r="I104" s="1">
        <f t="shared" si="109"/>
        <v>0.35287713143239591</v>
      </c>
      <c r="J104" s="1">
        <f t="shared" si="109"/>
        <v>0.21329229246758927</v>
      </c>
      <c r="K104" s="1">
        <f t="shared" si="109"/>
        <v>0.61529627727482905</v>
      </c>
      <c r="L104" s="1">
        <f t="shared" ref="L104:O104" si="110">L88-L120</f>
        <v>0.33617520144337587</v>
      </c>
      <c r="M104" s="1">
        <f t="shared" si="110"/>
        <v>0.11731953642217879</v>
      </c>
      <c r="N104" s="1">
        <f t="shared" si="110"/>
        <v>8.0075030189280527E-4</v>
      </c>
      <c r="O104" s="1">
        <f t="shared" si="110"/>
        <v>9.639836226394416E-4</v>
      </c>
      <c r="P104" s="1">
        <f t="shared" si="98"/>
        <v>9.6423704895032269E-4</v>
      </c>
      <c r="Q104" s="1">
        <f t="shared" si="98"/>
        <v>1.3517817987155345E-3</v>
      </c>
      <c r="S104" s="3"/>
    </row>
    <row r="105" spans="1:19" x14ac:dyDescent="0.5">
      <c r="A105" s="5" t="str">
        <f t="shared" si="92"/>
        <v>STEM</v>
      </c>
      <c r="B105" s="5" t="str">
        <f t="shared" si="93"/>
        <v>SPS1</v>
      </c>
      <c r="C105" s="5" t="str">
        <f t="shared" si="94"/>
        <v>CH</v>
      </c>
      <c r="D105" t="s">
        <v>558</v>
      </c>
      <c r="E105" t="str">
        <f t="shared" si="95"/>
        <v>PJ/yr.</v>
      </c>
      <c r="F105" s="1">
        <f t="shared" ref="F105:K105" si="111">F89-F121</f>
        <v>0</v>
      </c>
      <c r="G105" s="1">
        <f t="shared" si="111"/>
        <v>0</v>
      </c>
      <c r="H105" s="1">
        <f t="shared" si="111"/>
        <v>0</v>
      </c>
      <c r="I105" s="1">
        <f t="shared" si="111"/>
        <v>0</v>
      </c>
      <c r="J105" s="1">
        <f t="shared" si="111"/>
        <v>0</v>
      </c>
      <c r="K105" s="1">
        <f t="shared" si="111"/>
        <v>1.6085986111999721E-3</v>
      </c>
      <c r="L105" s="1">
        <f t="shared" ref="L105:O105" si="112">L89-L121</f>
        <v>0.19437512375366603</v>
      </c>
      <c r="M105" s="1">
        <f t="shared" si="112"/>
        <v>6.7835164874444326E-2</v>
      </c>
      <c r="N105" s="1">
        <f t="shared" si="112"/>
        <v>4.6298924601065328E-4</v>
      </c>
      <c r="O105" s="1">
        <f t="shared" si="112"/>
        <v>5.5738647009317965E-4</v>
      </c>
      <c r="P105" s="1">
        <f t="shared" si="98"/>
        <v>5.5752700155611845E-4</v>
      </c>
      <c r="Q105" s="1">
        <f t="shared" si="98"/>
        <v>7.8159950294778846E-4</v>
      </c>
      <c r="S105" s="3"/>
    </row>
    <row r="106" spans="1:19" x14ac:dyDescent="0.5">
      <c r="A106" s="5" t="str">
        <f t="shared" si="92"/>
        <v>STEM</v>
      </c>
      <c r="B106" s="5" t="str">
        <f t="shared" si="93"/>
        <v>SPS1</v>
      </c>
      <c r="C106" s="5" t="str">
        <f t="shared" si="94"/>
        <v>CH</v>
      </c>
      <c r="D106" t="s">
        <v>559</v>
      </c>
      <c r="E106" t="str">
        <f t="shared" si="95"/>
        <v>PJ/yr.</v>
      </c>
      <c r="F106" s="1">
        <f t="shared" ref="F106:K106" si="113">F90-F122</f>
        <v>0</v>
      </c>
      <c r="G106" s="1">
        <f t="shared" si="113"/>
        <v>0</v>
      </c>
      <c r="H106" s="1">
        <f t="shared" si="113"/>
        <v>0</v>
      </c>
      <c r="I106" s="1">
        <f t="shared" si="113"/>
        <v>1.1595753162284984E-4</v>
      </c>
      <c r="J106" s="1">
        <f t="shared" si="113"/>
        <v>1.8796292619967632E-4</v>
      </c>
      <c r="K106" s="1">
        <f t="shared" si="113"/>
        <v>1.5573077099559868E-3</v>
      </c>
      <c r="L106" s="1">
        <f t="shared" ref="L106:O106" si="114">L90-L122</f>
        <v>9.5529024092503873E-4</v>
      </c>
      <c r="M106" s="1">
        <f t="shared" si="114"/>
        <v>1.1034572817195202E-4</v>
      </c>
      <c r="N106" s="1">
        <f t="shared" si="114"/>
        <v>1.29848534037916E-6</v>
      </c>
      <c r="O106" s="1">
        <f t="shared" si="114"/>
        <v>1.1841718498553037E-6</v>
      </c>
      <c r="P106" s="1">
        <f t="shared" si="98"/>
        <v>8.9195735311441539E-7</v>
      </c>
      <c r="Q106" s="1">
        <f t="shared" si="98"/>
        <v>1.1065422190379109E-6</v>
      </c>
      <c r="S106" s="3"/>
    </row>
    <row r="107" spans="1:19" x14ac:dyDescent="0.5">
      <c r="A107" s="5" t="str">
        <f t="shared" si="92"/>
        <v>STEM</v>
      </c>
      <c r="B107" s="5" t="str">
        <f t="shared" si="93"/>
        <v>SPS1</v>
      </c>
      <c r="C107" s="5" t="str">
        <f t="shared" si="94"/>
        <v>CH</v>
      </c>
      <c r="D107" t="s">
        <v>560</v>
      </c>
      <c r="E107" t="str">
        <f t="shared" si="95"/>
        <v>PJ/yr.</v>
      </c>
      <c r="F107" s="1">
        <f t="shared" ref="F107:K107" si="115">F91-F123</f>
        <v>1.2861634235850614E-2</v>
      </c>
      <c r="G107" s="1">
        <f t="shared" si="115"/>
        <v>1.6494938529780178E-3</v>
      </c>
      <c r="H107" s="1">
        <f t="shared" si="115"/>
        <v>3.5282243155478031E-3</v>
      </c>
      <c r="I107" s="1">
        <f t="shared" si="115"/>
        <v>2.7765154064052612E-3</v>
      </c>
      <c r="J107" s="1">
        <f t="shared" si="115"/>
        <v>2.6377062913596288E-3</v>
      </c>
      <c r="K107" s="1">
        <f t="shared" si="115"/>
        <v>1.8389135946346529E-3</v>
      </c>
      <c r="L107" s="1">
        <f t="shared" ref="L107:O107" si="116">L91-L123</f>
        <v>0</v>
      </c>
      <c r="M107" s="1">
        <f t="shared" si="116"/>
        <v>0</v>
      </c>
      <c r="N107" s="1">
        <f t="shared" si="116"/>
        <v>2.1622199175416398E-6</v>
      </c>
      <c r="O107" s="1">
        <f t="shared" si="116"/>
        <v>5.0892054765053901E-6</v>
      </c>
      <c r="P107" s="1">
        <f t="shared" si="98"/>
        <v>3.760416486900094E-6</v>
      </c>
      <c r="Q107" s="1">
        <f t="shared" si="98"/>
        <v>5.9058938180571712E-6</v>
      </c>
      <c r="S107" s="3"/>
    </row>
    <row r="108" spans="1:19" x14ac:dyDescent="0.5">
      <c r="A108" s="5" t="str">
        <f t="shared" si="92"/>
        <v>STEM</v>
      </c>
      <c r="B108" s="5" t="str">
        <f t="shared" si="93"/>
        <v>SPS1</v>
      </c>
      <c r="C108" s="5" t="str">
        <f t="shared" si="94"/>
        <v>CH</v>
      </c>
      <c r="D108" t="s">
        <v>561</v>
      </c>
      <c r="E108" t="str">
        <f t="shared" si="95"/>
        <v>PJ/yr.</v>
      </c>
      <c r="F108" s="1">
        <f t="shared" ref="F108:K108" si="117">F92-F124</f>
        <v>0</v>
      </c>
      <c r="G108" s="1">
        <f t="shared" si="117"/>
        <v>0</v>
      </c>
      <c r="H108" s="1">
        <f t="shared" si="117"/>
        <v>0</v>
      </c>
      <c r="I108" s="1">
        <f t="shared" si="117"/>
        <v>0</v>
      </c>
      <c r="J108" s="1">
        <f t="shared" si="117"/>
        <v>0</v>
      </c>
      <c r="K108" s="1">
        <f t="shared" si="117"/>
        <v>0</v>
      </c>
      <c r="L108" s="1">
        <f t="shared" ref="L108:O108" si="118">L92-L124</f>
        <v>0</v>
      </c>
      <c r="M108" s="1">
        <f t="shared" si="118"/>
        <v>0</v>
      </c>
      <c r="N108" s="1">
        <f t="shared" si="118"/>
        <v>7.3102224814306947E-7</v>
      </c>
      <c r="O108" s="1">
        <f t="shared" si="118"/>
        <v>2.0181014342743981E-6</v>
      </c>
      <c r="P108" s="1">
        <f t="shared" si="98"/>
        <v>1.4803037246140282E-6</v>
      </c>
      <c r="Q108" s="1">
        <f t="shared" si="98"/>
        <v>3.8306449432149586E-6</v>
      </c>
      <c r="S108" s="3"/>
    </row>
    <row r="109" spans="1:19" x14ac:dyDescent="0.5">
      <c r="A109" s="5" t="str">
        <f t="shared" si="92"/>
        <v>STEM</v>
      </c>
      <c r="B109" s="5" t="str">
        <f t="shared" si="93"/>
        <v>SPS1</v>
      </c>
      <c r="C109" s="5" t="str">
        <f t="shared" si="94"/>
        <v>CH</v>
      </c>
      <c r="D109" t="s">
        <v>562</v>
      </c>
      <c r="E109" t="str">
        <f>E185</f>
        <v>PJ/yr.</v>
      </c>
      <c r="F109" s="1">
        <f t="shared" ref="F109:K109" si="119">F93-F125</f>
        <v>2.6950180430405604E-2</v>
      </c>
      <c r="G109" s="1">
        <f t="shared" si="119"/>
        <v>2.7812571599928834E-2</v>
      </c>
      <c r="H109" s="1">
        <f t="shared" si="119"/>
        <v>0.10718658405980473</v>
      </c>
      <c r="I109" s="1">
        <f t="shared" si="119"/>
        <v>0.11202704449505506</v>
      </c>
      <c r="J109" s="1">
        <f t="shared" si="119"/>
        <v>0.11212755505162932</v>
      </c>
      <c r="K109" s="1">
        <f t="shared" si="119"/>
        <v>4.4758695182293542E-2</v>
      </c>
      <c r="L109" s="1">
        <f t="shared" ref="L109:O109" si="120">L93-L125</f>
        <v>0</v>
      </c>
      <c r="M109" s="1">
        <f t="shared" si="120"/>
        <v>0</v>
      </c>
      <c r="N109" s="1">
        <f t="shared" si="120"/>
        <v>2.4076315872821E-6</v>
      </c>
      <c r="O109" s="1">
        <f t="shared" si="120"/>
        <v>9.9491710837344011E-6</v>
      </c>
      <c r="P109" s="1">
        <f t="shared" si="98"/>
        <v>4.852131715977169E-6</v>
      </c>
      <c r="Q109" s="1">
        <f t="shared" si="98"/>
        <v>9.1945999673771241E-6</v>
      </c>
      <c r="S109" s="3"/>
    </row>
    <row r="110" spans="1:19" x14ac:dyDescent="0.5">
      <c r="A110" s="5" t="str">
        <f t="shared" si="92"/>
        <v>STEM</v>
      </c>
      <c r="B110" s="5" t="str">
        <f t="shared" si="93"/>
        <v>SPS1</v>
      </c>
      <c r="C110" s="5" t="str">
        <f t="shared" si="94"/>
        <v>CH</v>
      </c>
      <c r="D110" t="s">
        <v>563</v>
      </c>
      <c r="E110" t="str">
        <f>E187</f>
        <v>PJ/yr.</v>
      </c>
      <c r="F110" s="1">
        <f t="shared" ref="F110:K110" si="121">F94-F126</f>
        <v>0</v>
      </c>
      <c r="G110" s="1">
        <f t="shared" si="121"/>
        <v>0</v>
      </c>
      <c r="H110" s="1">
        <f t="shared" si="121"/>
        <v>0</v>
      </c>
      <c r="I110" s="1">
        <f t="shared" si="121"/>
        <v>0</v>
      </c>
      <c r="J110" s="1">
        <f t="shared" si="121"/>
        <v>0</v>
      </c>
      <c r="K110" s="1">
        <f t="shared" si="121"/>
        <v>0</v>
      </c>
      <c r="L110" s="1">
        <f t="shared" ref="L110:O110" si="122">L94-L126</f>
        <v>0</v>
      </c>
      <c r="M110" s="1">
        <f t="shared" si="122"/>
        <v>0</v>
      </c>
      <c r="N110" s="1">
        <f t="shared" si="122"/>
        <v>1.77221269216665E-6</v>
      </c>
      <c r="O110" s="1">
        <f t="shared" si="122"/>
        <v>5.6428202361668948E-6</v>
      </c>
      <c r="P110" s="1">
        <f t="shared" si="98"/>
        <v>3.1941966893832968E-6</v>
      </c>
      <c r="Q110" s="1">
        <f t="shared" si="98"/>
        <v>7.8833367589854764E-6</v>
      </c>
      <c r="S110" s="3"/>
    </row>
    <row r="111" spans="1:19" x14ac:dyDescent="0.5">
      <c r="A111" s="5" t="str">
        <f t="shared" si="92"/>
        <v>STEM</v>
      </c>
      <c r="B111" s="5" t="str">
        <f t="shared" si="93"/>
        <v>SPS1</v>
      </c>
      <c r="C111" s="5" t="str">
        <f t="shared" si="94"/>
        <v>CH</v>
      </c>
      <c r="D111" t="s">
        <v>564</v>
      </c>
      <c r="E111" t="str">
        <f>E189</f>
        <v>PJ/yr.</v>
      </c>
      <c r="F111" s="1">
        <f t="shared" ref="F111:K111" si="123">F95-F127</f>
        <v>0</v>
      </c>
      <c r="G111" s="1">
        <f t="shared" si="123"/>
        <v>0</v>
      </c>
      <c r="H111" s="1">
        <f t="shared" si="123"/>
        <v>0</v>
      </c>
      <c r="I111" s="1">
        <f t="shared" si="123"/>
        <v>0</v>
      </c>
      <c r="J111" s="1">
        <f t="shared" si="123"/>
        <v>0</v>
      </c>
      <c r="K111" s="1">
        <f t="shared" si="123"/>
        <v>0</v>
      </c>
      <c r="L111" s="1">
        <f t="shared" ref="L111:O111" si="124">L95-L127</f>
        <v>0</v>
      </c>
      <c r="M111" s="1">
        <f t="shared" si="124"/>
        <v>0</v>
      </c>
      <c r="N111" s="1">
        <f t="shared" si="124"/>
        <v>0</v>
      </c>
      <c r="O111" s="1">
        <f t="shared" si="124"/>
        <v>0</v>
      </c>
      <c r="P111" s="1">
        <f t="shared" si="98"/>
        <v>0</v>
      </c>
      <c r="Q111" s="1">
        <f t="shared" si="98"/>
        <v>0</v>
      </c>
      <c r="S111" s="3"/>
    </row>
    <row r="112" spans="1:19" x14ac:dyDescent="0.5">
      <c r="A112" s="5" t="str">
        <f t="shared" si="92"/>
        <v>STEM</v>
      </c>
      <c r="B112" s="5" t="str">
        <f t="shared" si="93"/>
        <v>SPS1</v>
      </c>
      <c r="C112" s="5" t="str">
        <f t="shared" si="94"/>
        <v>CH</v>
      </c>
      <c r="D112" t="s">
        <v>565</v>
      </c>
      <c r="E112" t="str">
        <f>E190</f>
        <v>PJ/yr.</v>
      </c>
      <c r="F112" s="1">
        <f t="shared" ref="F112:K112" si="125">F96-F128</f>
        <v>0.57918108282168301</v>
      </c>
      <c r="G112" s="1">
        <f t="shared" si="125"/>
        <v>0.59932409162374056</v>
      </c>
      <c r="H112" s="1">
        <f t="shared" si="125"/>
        <v>0.89170677325694114</v>
      </c>
      <c r="I112" s="1">
        <f t="shared" si="125"/>
        <v>1.0626446223844119</v>
      </c>
      <c r="J112" s="1">
        <f t="shared" si="125"/>
        <v>0.9748539011186067</v>
      </c>
      <c r="K112" s="1">
        <f t="shared" si="125"/>
        <v>0.56461356644178295</v>
      </c>
      <c r="L112" s="1">
        <f t="shared" ref="L112:O112" si="126">L96-L128</f>
        <v>0</v>
      </c>
      <c r="M112" s="1">
        <f t="shared" si="126"/>
        <v>0</v>
      </c>
      <c r="N112" s="1">
        <f t="shared" si="126"/>
        <v>1.5142911355594396E-6</v>
      </c>
      <c r="O112" s="1">
        <f t="shared" si="126"/>
        <v>2.4177757196312171E-6</v>
      </c>
      <c r="P112" s="1">
        <f t="shared" si="98"/>
        <v>1.2451015379589007E-6</v>
      </c>
      <c r="Q112" s="1">
        <f t="shared" si="98"/>
        <v>2.9520870249034187E-6</v>
      </c>
      <c r="S112" s="3"/>
    </row>
    <row r="113" spans="1:19" x14ac:dyDescent="0.5">
      <c r="A113" s="5" t="str">
        <f t="shared" si="92"/>
        <v>STEM</v>
      </c>
      <c r="B113" s="5" t="str">
        <f t="shared" si="93"/>
        <v>SPS1</v>
      </c>
      <c r="C113" s="5" t="str">
        <f t="shared" si="94"/>
        <v>CH</v>
      </c>
      <c r="D113" t="s">
        <v>566</v>
      </c>
      <c r="E113" t="str">
        <f>E195</f>
        <v>PJ/yr.</v>
      </c>
      <c r="F113" s="1">
        <f t="shared" ref="F113:K113" si="127">F97-F129</f>
        <v>0</v>
      </c>
      <c r="G113" s="1">
        <f t="shared" si="127"/>
        <v>0</v>
      </c>
      <c r="H113" s="1">
        <f>H97-H129</f>
        <v>0</v>
      </c>
      <c r="I113" s="1">
        <f t="shared" si="127"/>
        <v>0</v>
      </c>
      <c r="J113" s="1">
        <f t="shared" si="127"/>
        <v>0</v>
      </c>
      <c r="K113" s="1">
        <f t="shared" si="127"/>
        <v>0</v>
      </c>
      <c r="L113" s="1">
        <f t="shared" ref="L113:O113" si="128">L97-L129</f>
        <v>0</v>
      </c>
      <c r="M113" s="1">
        <f t="shared" si="128"/>
        <v>0</v>
      </c>
      <c r="N113" s="1">
        <f t="shared" si="128"/>
        <v>7.3737785583570786E-7</v>
      </c>
      <c r="O113" s="1">
        <f t="shared" si="128"/>
        <v>1.9293963459175809E-6</v>
      </c>
      <c r="P113" s="1">
        <f t="shared" si="98"/>
        <v>1.1490687835144595E-6</v>
      </c>
      <c r="Q113" s="1">
        <f t="shared" si="98"/>
        <v>3.2516328290681327E-6</v>
      </c>
      <c r="S113" s="3"/>
    </row>
    <row r="114" spans="1:19" x14ac:dyDescent="0.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1.0175129763863608</v>
      </c>
      <c r="G114" s="1">
        <f t="shared" ref="G114:Q114" si="129">SUM(G115:G129)</f>
        <v>1.1519615050994814</v>
      </c>
      <c r="H114" s="1">
        <f t="shared" si="129"/>
        <v>1.1870397155281209</v>
      </c>
      <c r="I114" s="1">
        <f t="shared" si="129"/>
        <v>1.1395033686761511</v>
      </c>
      <c r="J114" s="1">
        <f t="shared" si="129"/>
        <v>1.1463509263768756</v>
      </c>
      <c r="K114" s="1">
        <f t="shared" si="129"/>
        <v>1.4426769554506544</v>
      </c>
      <c r="L114" s="1">
        <f t="shared" si="129"/>
        <v>2.6649299355380247</v>
      </c>
      <c r="M114" s="1">
        <f t="shared" si="129"/>
        <v>4.3226726265358248</v>
      </c>
      <c r="N114" s="1">
        <f t="shared" si="129"/>
        <v>7.5688093287101106</v>
      </c>
      <c r="O114" s="1">
        <f t="shared" si="129"/>
        <v>8.5963884540458348</v>
      </c>
      <c r="P114" s="1">
        <f t="shared" si="129"/>
        <v>9.4544563246047755</v>
      </c>
      <c r="Q114" s="1">
        <f t="shared" si="129"/>
        <v>10.637245596317733</v>
      </c>
      <c r="S114" s="3"/>
    </row>
    <row r="115" spans="1:19" x14ac:dyDescent="0.5">
      <c r="A115" s="5" t="str">
        <f t="shared" si="68"/>
        <v>STEM</v>
      </c>
      <c r="B115" s="5" t="str">
        <f t="shared" si="69"/>
        <v>SPS1</v>
      </c>
      <c r="C115" s="5" t="str">
        <f t="shared" si="70"/>
        <v>CH</v>
      </c>
      <c r="D115" t="s">
        <v>613</v>
      </c>
      <c r="E115" t="str">
        <f t="shared" ref="E115:E130" si="130">E114</f>
        <v>PJ/yr.</v>
      </c>
      <c r="F115" s="1">
        <f>'[1]Electricity and CHPs_IN'!P$23/SUM('[1]Electricity and CHPs_IN'!P$22:P$23)*F83</f>
        <v>0</v>
      </c>
      <c r="G115" s="1">
        <f>'[1]Electricity and CHPs_IN'!Q$23/SUM('[1]Electricity and CHPs_IN'!Q$22:Q$23)*G83</f>
        <v>0</v>
      </c>
      <c r="H115" s="1">
        <f>'[1]Electricity and CHPs_IN'!R$23/SUM('[1]Electricity and CHPs_IN'!R$22:R$23)*H83</f>
        <v>0</v>
      </c>
      <c r="I115" s="1">
        <f>'[1]Electricity and CHPs_IN'!S$23/SUM('[1]Electricity and CHPs_IN'!S$22:S$23)*I83</f>
        <v>0</v>
      </c>
      <c r="J115" s="1">
        <f>'[1]Electricity and CHPs_IN'!T$23/SUM('[1]Electricity and CHPs_IN'!T$22:T$23)*J83</f>
        <v>0</v>
      </c>
      <c r="K115" s="1">
        <f>'[1]Electricity and CHPs_IN'!U$23/SUM('[1]Electricity and CHPs_IN'!U$22:U$23)*K83</f>
        <v>1.7753822592430412E-7</v>
      </c>
      <c r="L115" s="1">
        <f>'[1]Electricity and CHPs_IN'!V$23/SUM('[1]Electricity and CHPs_IN'!V$22:V$23)*L83</f>
        <v>4.9395371442939369E-7</v>
      </c>
      <c r="M115" s="1">
        <f>'[1]Electricity and CHPs_IN'!W$23/SUM('[1]Electricity and CHPs_IN'!W$22:W$23)*M83</f>
        <v>3.8251056067518362E-5</v>
      </c>
      <c r="N115" s="1">
        <f>'[1]Electricity and CHPs_IN'!X$23/SUM('[1]Electricity and CHPs_IN'!X$22:X$23)*N83</f>
        <v>7.0349480749085124E-4</v>
      </c>
      <c r="O115" s="1">
        <f>'[1]Electricity and CHPs_IN'!Y$23/SUM('[1]Electricity and CHPs_IN'!Y$22:Y$23)*O83</f>
        <v>5.2357725513103165E-4</v>
      </c>
      <c r="P115" s="1">
        <f>'[1]Electricity and CHPs_IN'!Z$23/SUM('[1]Electricity and CHPs_IN'!Z$22:Z$23)*P83</f>
        <v>6.1237860330161473E-4</v>
      </c>
      <c r="Q115" s="1">
        <f>'[1]Electricity and CHPs_IN'!AA$23/SUM('[1]Electricity and CHPs_IN'!AA$22:AA$23)*Q83</f>
        <v>9.7503232006156766E-4</v>
      </c>
      <c r="S115" s="3"/>
    </row>
    <row r="116" spans="1:19" x14ac:dyDescent="0.5">
      <c r="A116" s="5" t="str">
        <f t="shared" si="68"/>
        <v>STEM</v>
      </c>
      <c r="B116" s="5" t="str">
        <f t="shared" si="69"/>
        <v>SPS1</v>
      </c>
      <c r="C116" s="5" t="str">
        <f t="shared" si="70"/>
        <v>CH</v>
      </c>
      <c r="D116" t="s">
        <v>614</v>
      </c>
      <c r="E116" t="str">
        <f t="shared" si="130"/>
        <v>PJ/yr.</v>
      </c>
      <c r="F116" s="1">
        <f>'[1]Electricity and CHPs_IN'!P$23/SUM('[1]Electricity and CHPs_IN'!P$22:P$23)*F84</f>
        <v>0</v>
      </c>
      <c r="G116" s="1">
        <f>'[1]Electricity and CHPs_IN'!Q$23/SUM('[1]Electricity and CHPs_IN'!Q$22:Q$23)*G84</f>
        <v>0</v>
      </c>
      <c r="H116" s="1">
        <f>'[1]Electricity and CHPs_IN'!R$23/SUM('[1]Electricity and CHPs_IN'!R$22:R$23)*H84</f>
        <v>0</v>
      </c>
      <c r="I116" s="1">
        <f>'[1]Electricity and CHPs_IN'!S$23/SUM('[1]Electricity and CHPs_IN'!S$22:S$23)*I84</f>
        <v>0</v>
      </c>
      <c r="J116" s="1">
        <f>'[1]Electricity and CHPs_IN'!T$23/SUM('[1]Electricity and CHPs_IN'!T$22:T$23)*J84</f>
        <v>0</v>
      </c>
      <c r="K116" s="1">
        <f>'[1]Electricity and CHPs_IN'!U$23/SUM('[1]Electricity and CHPs_IN'!U$22:U$23)*K84</f>
        <v>5.4841258801327778E-9</v>
      </c>
      <c r="L116" s="1">
        <f>'[1]Electricity and CHPs_IN'!V$23/SUM('[1]Electricity and CHPs_IN'!V$22:V$23)*L84</f>
        <v>0</v>
      </c>
      <c r="M116" s="1">
        <f>'[1]Electricity and CHPs_IN'!W$23/SUM('[1]Electricity and CHPs_IN'!W$22:W$23)*M84</f>
        <v>1.0761148204850052E-3</v>
      </c>
      <c r="N116" s="1">
        <f>'[1]Electricity and CHPs_IN'!X$23/SUM('[1]Electricity and CHPs_IN'!X$22:X$23)*N84</f>
        <v>5.8295803158945768E-4</v>
      </c>
      <c r="O116" s="1">
        <f>'[1]Electricity and CHPs_IN'!Y$23/SUM('[1]Electricity and CHPs_IN'!Y$22:Y$23)*O84</f>
        <v>4.318658621162906E-4</v>
      </c>
      <c r="P116" s="1">
        <f>'[1]Electricity and CHPs_IN'!Z$23/SUM('[1]Electricity and CHPs_IN'!Z$22:Z$23)*P84</f>
        <v>4.4817545169656338E-4</v>
      </c>
      <c r="Q116" s="1">
        <f>'[1]Electricity and CHPs_IN'!AA$23/SUM('[1]Electricity and CHPs_IN'!AA$22:AA$23)*Q84</f>
        <v>8.5559531676073039E-4</v>
      </c>
      <c r="S116" s="3"/>
    </row>
    <row r="117" spans="1:19" x14ac:dyDescent="0.5">
      <c r="A117" s="5" t="str">
        <f t="shared" si="68"/>
        <v>STEM</v>
      </c>
      <c r="B117" s="5" t="str">
        <f t="shared" si="69"/>
        <v>SPS1</v>
      </c>
      <c r="C117" s="5" t="str">
        <f t="shared" si="70"/>
        <v>CH</v>
      </c>
      <c r="D117" t="s">
        <v>615</v>
      </c>
      <c r="E117" t="str">
        <f t="shared" si="130"/>
        <v>PJ/yr.</v>
      </c>
      <c r="F117" s="1">
        <f>'[1]Electricity and CHPs_IN'!P$23/SUM('[1]Electricity and CHPs_IN'!P$22:P$23)*F85</f>
        <v>0</v>
      </c>
      <c r="G117" s="1">
        <f>'[1]Electricity and CHPs_IN'!Q$23/SUM('[1]Electricity and CHPs_IN'!Q$22:Q$23)*G85</f>
        <v>0</v>
      </c>
      <c r="H117" s="1">
        <f>'[1]Electricity and CHPs_IN'!R$23/SUM('[1]Electricity and CHPs_IN'!R$22:R$23)*H85</f>
        <v>0</v>
      </c>
      <c r="I117" s="1">
        <f>'[1]Electricity and CHPs_IN'!S$23/SUM('[1]Electricity and CHPs_IN'!S$22:S$23)*I85</f>
        <v>0</v>
      </c>
      <c r="J117" s="1">
        <f>'[1]Electricity and CHPs_IN'!T$23/SUM('[1]Electricity and CHPs_IN'!T$22:T$23)*J85</f>
        <v>0</v>
      </c>
      <c r="K117" s="1">
        <f>'[1]Electricity and CHPs_IN'!U$23/SUM('[1]Electricity and CHPs_IN'!U$22:U$23)*K85</f>
        <v>0</v>
      </c>
      <c r="L117" s="1">
        <f>'[1]Electricity and CHPs_IN'!V$23/SUM('[1]Electricity and CHPs_IN'!V$22:V$23)*L85</f>
        <v>4.3264766375976107E-7</v>
      </c>
      <c r="M117" s="1">
        <f>'[1]Electricity and CHPs_IN'!W$23/SUM('[1]Electricity and CHPs_IN'!W$22:W$23)*M85</f>
        <v>3.6283178723251962E-5</v>
      </c>
      <c r="N117" s="1">
        <f>'[1]Electricity and CHPs_IN'!X$23/SUM('[1]Electricity and CHPs_IN'!X$22:X$23)*N85</f>
        <v>2.6316313643802105</v>
      </c>
      <c r="O117" s="1">
        <f>'[1]Electricity and CHPs_IN'!Y$23/SUM('[1]Electricity and CHPs_IN'!Y$22:Y$23)*O85</f>
        <v>2.8983883422995196</v>
      </c>
      <c r="P117" s="1">
        <f>'[1]Electricity and CHPs_IN'!Z$23/SUM('[1]Electricity and CHPs_IN'!Z$22:Z$23)*P85</f>
        <v>2.9555856925062391</v>
      </c>
      <c r="Q117" s="1">
        <f>'[1]Electricity and CHPs_IN'!AA$23/SUM('[1]Electricity and CHPs_IN'!AA$22:AA$23)*Q85</f>
        <v>3.0058799714740174</v>
      </c>
      <c r="S117" s="3"/>
    </row>
    <row r="118" spans="1:19" x14ac:dyDescent="0.5">
      <c r="A118" s="5" t="str">
        <f t="shared" si="68"/>
        <v>STEM</v>
      </c>
      <c r="B118" s="5" t="str">
        <f t="shared" si="69"/>
        <v>SPS1</v>
      </c>
      <c r="C118" s="5" t="str">
        <f t="shared" si="70"/>
        <v>CH</v>
      </c>
      <c r="D118" t="s">
        <v>616</v>
      </c>
      <c r="E118" t="str">
        <f t="shared" si="130"/>
        <v>PJ/yr.</v>
      </c>
      <c r="F118" s="1">
        <f>'[1]Electricity and CHPs_IN'!P$23/SUM('[1]Electricity and CHPs_IN'!P$22:P$23)*F86</f>
        <v>2.4729887303535272E-2</v>
      </c>
      <c r="G118" s="1">
        <f>'[1]Electricity and CHPs_IN'!Q$23/SUM('[1]Electricity and CHPs_IN'!Q$22:Q$23)*G86</f>
        <v>3.3234947729398653E-6</v>
      </c>
      <c r="H118" s="1">
        <f>'[1]Electricity and CHPs_IN'!R$23/SUM('[1]Electricity and CHPs_IN'!R$22:R$23)*H86</f>
        <v>3.176622863470315E-5</v>
      </c>
      <c r="I118" s="1">
        <f>'[1]Electricity and CHPs_IN'!S$23/SUM('[1]Electricity and CHPs_IN'!S$22:S$23)*I86</f>
        <v>0</v>
      </c>
      <c r="J118" s="1">
        <f>'[1]Electricity and CHPs_IN'!T$23/SUM('[1]Electricity and CHPs_IN'!T$22:T$23)*J86</f>
        <v>0</v>
      </c>
      <c r="K118" s="1">
        <f>'[1]Electricity and CHPs_IN'!U$23/SUM('[1]Electricity and CHPs_IN'!U$22:U$23)*K86</f>
        <v>0</v>
      </c>
      <c r="L118" s="1">
        <f>'[1]Electricity and CHPs_IN'!V$23/SUM('[1]Electricity and CHPs_IN'!V$22:V$23)*L86</f>
        <v>0</v>
      </c>
      <c r="M118" s="1">
        <f>'[1]Electricity and CHPs_IN'!W$23/SUM('[1]Electricity and CHPs_IN'!W$22:W$23)*M86</f>
        <v>0</v>
      </c>
      <c r="N118" s="1">
        <f>'[1]Electricity and CHPs_IN'!X$23/SUM('[1]Electricity and CHPs_IN'!X$22:X$23)*N86</f>
        <v>0</v>
      </c>
      <c r="O118" s="1">
        <f>'[1]Electricity and CHPs_IN'!Y$23/SUM('[1]Electricity and CHPs_IN'!Y$22:Y$23)*O86</f>
        <v>0</v>
      </c>
      <c r="P118" s="1">
        <f>'[1]Electricity and CHPs_IN'!Z$23/SUM('[1]Electricity and CHPs_IN'!Z$22:Z$23)*P86</f>
        <v>0</v>
      </c>
      <c r="Q118" s="1">
        <f>'[1]Electricity and CHPs_IN'!AA$23/SUM('[1]Electricity and CHPs_IN'!AA$22:AA$23)*Q86</f>
        <v>0</v>
      </c>
      <c r="S118" s="3"/>
    </row>
    <row r="119" spans="1:19" x14ac:dyDescent="0.5">
      <c r="A119" s="5" t="str">
        <f t="shared" si="68"/>
        <v>STEM</v>
      </c>
      <c r="B119" s="5" t="str">
        <f t="shared" si="69"/>
        <v>SPS1</v>
      </c>
      <c r="C119" s="5" t="str">
        <f t="shared" si="70"/>
        <v>CH</v>
      </c>
      <c r="D119" t="s">
        <v>617</v>
      </c>
      <c r="E119" t="str">
        <f t="shared" si="130"/>
        <v>PJ/yr.</v>
      </c>
      <c r="F119" s="1">
        <f>'[1]Electricity and CHPs_IN'!P$23/SUM('[1]Electricity and CHPs_IN'!P$22:P$23)*F87</f>
        <v>0</v>
      </c>
      <c r="G119" s="1">
        <f>'[1]Electricity and CHPs_IN'!Q$23/SUM('[1]Electricity and CHPs_IN'!Q$22:Q$23)*G87</f>
        <v>0</v>
      </c>
      <c r="H119" s="1">
        <f>'[1]Electricity and CHPs_IN'!R$23/SUM('[1]Electricity and CHPs_IN'!R$22:R$23)*H87</f>
        <v>0</v>
      </c>
      <c r="I119" s="1">
        <f>'[1]Electricity and CHPs_IN'!S$23/SUM('[1]Electricity and CHPs_IN'!S$22:S$23)*I87</f>
        <v>0</v>
      </c>
      <c r="J119" s="1">
        <f>'[1]Electricity and CHPs_IN'!T$23/SUM('[1]Electricity and CHPs_IN'!T$22:T$23)*J87</f>
        <v>0</v>
      </c>
      <c r="K119" s="1">
        <f>'[1]Electricity and CHPs_IN'!U$23/SUM('[1]Electricity and CHPs_IN'!U$22:U$23)*K87</f>
        <v>0</v>
      </c>
      <c r="L119" s="1">
        <f>'[1]Electricity and CHPs_IN'!V$23/SUM('[1]Electricity and CHPs_IN'!V$22:V$23)*L87</f>
        <v>0</v>
      </c>
      <c r="M119" s="1">
        <f>'[1]Electricity and CHPs_IN'!W$23/SUM('[1]Electricity and CHPs_IN'!W$22:W$23)*M87</f>
        <v>0</v>
      </c>
      <c r="N119" s="1">
        <f>'[1]Electricity and CHPs_IN'!X$23/SUM('[1]Electricity and CHPs_IN'!X$22:X$23)*N87</f>
        <v>0</v>
      </c>
      <c r="O119" s="1">
        <f>'[1]Electricity and CHPs_IN'!Y$23/SUM('[1]Electricity and CHPs_IN'!Y$22:Y$23)*O87</f>
        <v>0</v>
      </c>
      <c r="P119" s="1">
        <f>'[1]Electricity and CHPs_IN'!Z$23/SUM('[1]Electricity and CHPs_IN'!Z$22:Z$23)*P87</f>
        <v>0</v>
      </c>
      <c r="Q119" s="1">
        <f>'[1]Electricity and CHPs_IN'!AA$23/SUM('[1]Electricity and CHPs_IN'!AA$22:AA$23)*Q87</f>
        <v>0</v>
      </c>
      <c r="S119" s="3"/>
    </row>
    <row r="120" spans="1:19" x14ac:dyDescent="0.5">
      <c r="A120" s="5" t="str">
        <f t="shared" si="68"/>
        <v>STEM</v>
      </c>
      <c r="B120" s="5" t="str">
        <f t="shared" si="69"/>
        <v>SPS1</v>
      </c>
      <c r="C120" s="5" t="str">
        <f t="shared" si="70"/>
        <v>CH</v>
      </c>
      <c r="D120" t="s">
        <v>618</v>
      </c>
      <c r="E120" t="str">
        <f t="shared" si="130"/>
        <v>PJ/yr.</v>
      </c>
      <c r="F120" s="1">
        <f>'[1]Electricity and CHPs_IN'!P$23/SUM('[1]Electricity and CHPs_IN'!P$22:P$23)*F88</f>
        <v>1.7153355201748852E-2</v>
      </c>
      <c r="G120" s="1">
        <f>'[1]Electricity and CHPs_IN'!Q$23/SUM('[1]Electricity and CHPs_IN'!Q$22:Q$23)*G88</f>
        <v>1.8170052357497191E-2</v>
      </c>
      <c r="H120" s="1">
        <f>'[1]Electricity and CHPs_IN'!R$23/SUM('[1]Electricity and CHPs_IN'!R$22:R$23)*H88</f>
        <v>3.7290570011195984E-3</v>
      </c>
      <c r="I120" s="1">
        <f>'[1]Electricity and CHPs_IN'!S$23/SUM('[1]Electricity and CHPs_IN'!S$22:S$23)*I88</f>
        <v>7.728538496798343E-3</v>
      </c>
      <c r="J120" s="1">
        <f>'[1]Electricity and CHPs_IN'!T$23/SUM('[1]Electricity and CHPs_IN'!T$22:T$23)*J88</f>
        <v>6.3269384181572821E-3</v>
      </c>
      <c r="K120" s="1">
        <f>'[1]Electricity and CHPs_IN'!U$23/SUM('[1]Electricity and CHPs_IN'!U$22:U$23)*K88</f>
        <v>5.1250380603463028E-2</v>
      </c>
      <c r="L120" s="1">
        <f>'[1]Electricity and CHPs_IN'!V$23/SUM('[1]Electricity and CHPs_IN'!V$22:V$23)*L88</f>
        <v>8.7584847336721866E-2</v>
      </c>
      <c r="M120" s="1">
        <f>'[1]Electricity and CHPs_IN'!W$23/SUM('[1]Electricity and CHPs_IN'!W$22:W$23)*M88</f>
        <v>0.30694785346415582</v>
      </c>
      <c r="N120" s="1">
        <f>'[1]Electricity and CHPs_IN'!X$23/SUM('[1]Electricity and CHPs_IN'!X$22:X$23)*N88</f>
        <v>0.42328169018141393</v>
      </c>
      <c r="O120" s="1">
        <f>'[1]Electricity and CHPs_IN'!Y$23/SUM('[1]Electricity and CHPs_IN'!Y$22:Y$23)*O88</f>
        <v>0.30919659080989964</v>
      </c>
      <c r="P120" s="1">
        <f>'[1]Electricity and CHPs_IN'!Z$23/SUM('[1]Electricity and CHPs_IN'!Z$22:Z$23)*P88</f>
        <v>0.42330432883806141</v>
      </c>
      <c r="Q120" s="1">
        <f>'[1]Electricity and CHPs_IN'!AA$23/SUM('[1]Electricity and CHPs_IN'!AA$22:AA$23)*Q88</f>
        <v>0.42294909739663522</v>
      </c>
      <c r="S120" s="3"/>
    </row>
    <row r="121" spans="1:19" x14ac:dyDescent="0.5">
      <c r="A121" s="5" t="str">
        <f t="shared" si="68"/>
        <v>STEM</v>
      </c>
      <c r="B121" s="5" t="str">
        <f t="shared" si="69"/>
        <v>SPS1</v>
      </c>
      <c r="C121" s="5" t="str">
        <f t="shared" si="70"/>
        <v>CH</v>
      </c>
      <c r="D121" t="s">
        <v>619</v>
      </c>
      <c r="E121" t="str">
        <f t="shared" si="130"/>
        <v>PJ/yr.</v>
      </c>
      <c r="F121" s="1">
        <f>'[1]Electricity and CHPs_IN'!P$23/SUM('[1]Electricity and CHPs_IN'!P$22:P$23)*F89</f>
        <v>0</v>
      </c>
      <c r="G121" s="1">
        <f>'[1]Electricity and CHPs_IN'!Q$23/SUM('[1]Electricity and CHPs_IN'!Q$22:Q$23)*G89</f>
        <v>0</v>
      </c>
      <c r="H121" s="1">
        <f>'[1]Electricity and CHPs_IN'!R$23/SUM('[1]Electricity and CHPs_IN'!R$22:R$23)*H89</f>
        <v>0</v>
      </c>
      <c r="I121" s="1">
        <f>'[1]Electricity and CHPs_IN'!S$23/SUM('[1]Electricity and CHPs_IN'!S$22:S$23)*I89</f>
        <v>0</v>
      </c>
      <c r="J121" s="1">
        <f>'[1]Electricity and CHPs_IN'!T$23/SUM('[1]Electricity and CHPs_IN'!T$22:T$23)*J89</f>
        <v>0</v>
      </c>
      <c r="K121" s="1">
        <f>'[1]Electricity and CHPs_IN'!U$23/SUM('[1]Electricity and CHPs_IN'!U$22:U$23)*K89</f>
        <v>1.3398633163739634E-4</v>
      </c>
      <c r="L121" s="1">
        <f>'[1]Electricity and CHPs_IN'!V$23/SUM('[1]Electricity and CHPs_IN'!V$22:V$23)*L89</f>
        <v>5.0641199787869462E-2</v>
      </c>
      <c r="M121" s="1">
        <f>'[1]Electricity and CHPs_IN'!W$23/SUM('[1]Electricity and CHPs_IN'!W$22:W$23)*M89</f>
        <v>0.1774798885385086</v>
      </c>
      <c r="N121" s="1">
        <f>'[1]Electricity and CHPs_IN'!X$23/SUM('[1]Electricity and CHPs_IN'!X$22:X$23)*N89</f>
        <v>0.24473905301560508</v>
      </c>
      <c r="O121" s="1">
        <f>'[1]Electricity and CHPs_IN'!Y$23/SUM('[1]Electricity and CHPs_IN'!Y$22:Y$23)*O89</f>
        <v>0.17878104178211307</v>
      </c>
      <c r="P121" s="1">
        <f>'[1]Electricity and CHPs_IN'!Z$23/SUM('[1]Electricity and CHPs_IN'!Z$22:Z$23)*P89</f>
        <v>0.24475681935238439</v>
      </c>
      <c r="Q121" s="1">
        <f>'[1]Electricity and CHPs_IN'!AA$23/SUM('[1]Electricity and CHPs_IN'!AA$22:AA$23)*Q89</f>
        <v>0.24454893874998773</v>
      </c>
      <c r="S121" s="3"/>
    </row>
    <row r="122" spans="1:19" x14ac:dyDescent="0.5">
      <c r="A122" s="5" t="str">
        <f t="shared" si="68"/>
        <v>STEM</v>
      </c>
      <c r="B122" s="5" t="str">
        <f t="shared" si="69"/>
        <v>SPS1</v>
      </c>
      <c r="C122" s="5" t="str">
        <f t="shared" si="70"/>
        <v>CH</v>
      </c>
      <c r="D122" t="s">
        <v>620</v>
      </c>
      <c r="E122" t="str">
        <f t="shared" si="130"/>
        <v>PJ/yr.</v>
      </c>
      <c r="F122" s="1">
        <f>'[1]Electricity and CHPs_IN'!P$23/SUM('[1]Electricity and CHPs_IN'!P$22:P$23)*F90</f>
        <v>0</v>
      </c>
      <c r="G122" s="1">
        <f>'[1]Electricity and CHPs_IN'!Q$23/SUM('[1]Electricity and CHPs_IN'!Q$22:Q$23)*G90</f>
        <v>0</v>
      </c>
      <c r="H122" s="1">
        <f>'[1]Electricity and CHPs_IN'!R$23/SUM('[1]Electricity and CHPs_IN'!R$22:R$23)*H90</f>
        <v>0</v>
      </c>
      <c r="I122" s="1">
        <f>'[1]Electricity and CHPs_IN'!S$23/SUM('[1]Electricity and CHPs_IN'!S$22:S$23)*I90</f>
        <v>2.5396438797355069E-6</v>
      </c>
      <c r="J122" s="1">
        <f>'[1]Electricity and CHPs_IN'!T$23/SUM('[1]Electricity and CHPs_IN'!T$22:T$23)*J90</f>
        <v>5.5755875901737185E-6</v>
      </c>
      <c r="K122" s="1">
        <f>'[1]Electricity and CHPs_IN'!U$23/SUM('[1]Electricity and CHPs_IN'!U$22:U$23)*K90</f>
        <v>1.2971411627166814E-4</v>
      </c>
      <c r="L122" s="1">
        <f>'[1]Electricity and CHPs_IN'!V$23/SUM('[1]Electricity and CHPs_IN'!V$22:V$23)*L90</f>
        <v>2.488849550902185E-4</v>
      </c>
      <c r="M122" s="1">
        <f>'[1]Electricity and CHPs_IN'!W$23/SUM('[1]Electricity and CHPs_IN'!W$22:W$23)*M90</f>
        <v>2.8870199656633514E-4</v>
      </c>
      <c r="N122" s="1">
        <f>'[1]Electricity and CHPs_IN'!X$23/SUM('[1]Electricity and CHPs_IN'!X$22:X$23)*N90</f>
        <v>6.8638758955477197E-4</v>
      </c>
      <c r="O122" s="1">
        <f>'[1]Electricity and CHPs_IN'!Y$23/SUM('[1]Electricity and CHPs_IN'!Y$22:Y$23)*O90</f>
        <v>3.7982170060711E-4</v>
      </c>
      <c r="P122" s="1">
        <f>'[1]Electricity and CHPs_IN'!Z$23/SUM('[1]Electricity and CHPs_IN'!Z$22:Z$23)*P90</f>
        <v>3.9157322270836926E-4</v>
      </c>
      <c r="Q122" s="1">
        <f>'[1]Electricity and CHPs_IN'!AA$23/SUM('[1]Electricity and CHPs_IN'!AA$22:AA$23)*Q90</f>
        <v>3.4621788310662164E-4</v>
      </c>
      <c r="S122" s="3"/>
    </row>
    <row r="123" spans="1:19" x14ac:dyDescent="0.5">
      <c r="A123" s="5" t="str">
        <f t="shared" si="68"/>
        <v>STEM</v>
      </c>
      <c r="B123" s="5" t="str">
        <f t="shared" si="69"/>
        <v>SPS1</v>
      </c>
      <c r="C123" s="5" t="str">
        <f t="shared" si="70"/>
        <v>CH</v>
      </c>
      <c r="D123" t="s">
        <v>621</v>
      </c>
      <c r="E123" t="str">
        <f t="shared" si="130"/>
        <v>PJ/yr.</v>
      </c>
      <c r="F123" s="1">
        <f>'[1]Electricity and CHPs_IN'!P$23/SUM('[1]Electricity and CHPs_IN'!P$22:P$23)*F91</f>
        <v>3.3795522283996943E-4</v>
      </c>
      <c r="G123" s="1">
        <f>'[1]Electricity and CHPs_IN'!Q$23/SUM('[1]Electricity and CHPs_IN'!Q$22:Q$23)*G91</f>
        <v>7.3049353479313418E-5</v>
      </c>
      <c r="H123" s="1">
        <f>'[1]Electricity and CHPs_IN'!R$23/SUM('[1]Electricity and CHPs_IN'!R$22:R$23)*H91</f>
        <v>2.7205767383588729E-4</v>
      </c>
      <c r="I123" s="1">
        <f>'[1]Electricity and CHPs_IN'!S$23/SUM('[1]Electricity and CHPs_IN'!S$22:S$23)*I91</f>
        <v>6.0809852194878643E-5</v>
      </c>
      <c r="J123" s="1">
        <f>'[1]Electricity and CHPs_IN'!T$23/SUM('[1]Electricity and CHPs_IN'!T$22:T$23)*J91</f>
        <v>7.8242889499414569E-5</v>
      </c>
      <c r="K123" s="1">
        <f>'[1]Electricity and CHPs_IN'!U$23/SUM('[1]Electricity and CHPs_IN'!U$22:U$23)*K91</f>
        <v>1.5317014762274058E-4</v>
      </c>
      <c r="L123" s="1">
        <f>'[1]Electricity and CHPs_IN'!V$23/SUM('[1]Electricity and CHPs_IN'!V$22:V$23)*L91</f>
        <v>0</v>
      </c>
      <c r="M123" s="1">
        <f>'[1]Electricity and CHPs_IN'!W$23/SUM('[1]Electricity and CHPs_IN'!W$22:W$23)*M91</f>
        <v>0</v>
      </c>
      <c r="N123" s="1">
        <f>'[1]Electricity and CHPs_IN'!X$23/SUM('[1]Electricity and CHPs_IN'!X$22:X$23)*N91</f>
        <v>1.1429631672664237E-3</v>
      </c>
      <c r="O123" s="1">
        <f>'[1]Electricity and CHPs_IN'!Y$23/SUM('[1]Electricity and CHPs_IN'!Y$22:Y$23)*O91</f>
        <v>1.6323565528614124E-3</v>
      </c>
      <c r="P123" s="1">
        <f>'[1]Electricity and CHPs_IN'!Z$23/SUM('[1]Electricity and CHPs_IN'!Z$22:Z$23)*P91</f>
        <v>1.650839468232076E-3</v>
      </c>
      <c r="Q123" s="1">
        <f>'[1]Electricity and CHPs_IN'!AA$23/SUM('[1]Electricity and CHPs_IN'!AA$22:AA$23)*Q91</f>
        <v>1.8478518219739242E-3</v>
      </c>
      <c r="S123" s="3"/>
    </row>
    <row r="124" spans="1:19" x14ac:dyDescent="0.5">
      <c r="A124" s="5" t="str">
        <f t="shared" si="68"/>
        <v>STEM</v>
      </c>
      <c r="B124" s="5" t="str">
        <f t="shared" si="69"/>
        <v>SPS1</v>
      </c>
      <c r="C124" s="5" t="str">
        <f t="shared" si="70"/>
        <v>CH</v>
      </c>
      <c r="D124" t="s">
        <v>622</v>
      </c>
      <c r="E124" t="str">
        <f t="shared" si="130"/>
        <v>PJ/yr.</v>
      </c>
      <c r="F124" s="1">
        <f>'[1]Electricity and CHPs_IN'!P$23/SUM('[1]Electricity and CHPs_IN'!P$22:P$23)*F92</f>
        <v>0</v>
      </c>
      <c r="G124" s="1">
        <f>'[1]Electricity and CHPs_IN'!Q$23/SUM('[1]Electricity and CHPs_IN'!Q$22:Q$23)*G92</f>
        <v>0</v>
      </c>
      <c r="H124" s="1">
        <f>'[1]Electricity and CHPs_IN'!R$23/SUM('[1]Electricity and CHPs_IN'!R$22:R$23)*H92</f>
        <v>0</v>
      </c>
      <c r="I124" s="1">
        <f>'[1]Electricity and CHPs_IN'!S$23/SUM('[1]Electricity and CHPs_IN'!S$22:S$23)*I92</f>
        <v>0</v>
      </c>
      <c r="J124" s="1">
        <f>'[1]Electricity and CHPs_IN'!T$23/SUM('[1]Electricity and CHPs_IN'!T$22:T$23)*J92</f>
        <v>0</v>
      </c>
      <c r="K124" s="1">
        <f>'[1]Electricity and CHPs_IN'!U$23/SUM('[1]Electricity and CHPs_IN'!U$22:U$23)*K92</f>
        <v>0</v>
      </c>
      <c r="L124" s="1">
        <f>'[1]Electricity and CHPs_IN'!V$23/SUM('[1]Electricity and CHPs_IN'!V$22:V$23)*L92</f>
        <v>0</v>
      </c>
      <c r="M124" s="1">
        <f>'[1]Electricity and CHPs_IN'!W$23/SUM('[1]Electricity and CHPs_IN'!W$22:W$23)*M92</f>
        <v>0</v>
      </c>
      <c r="N124" s="1">
        <f>'[1]Electricity and CHPs_IN'!X$23/SUM('[1]Electricity and CHPs_IN'!X$22:X$23)*N92</f>
        <v>3.8642299855870765E-4</v>
      </c>
      <c r="O124" s="1">
        <f>'[1]Electricity and CHPs_IN'!Y$23/SUM('[1]Electricity and CHPs_IN'!Y$22:Y$23)*O92</f>
        <v>6.4730361463785494E-4</v>
      </c>
      <c r="P124" s="1">
        <f>'[1]Electricity and CHPs_IN'!Z$23/SUM('[1]Electricity and CHPs_IN'!Z$22:Z$23)*P92</f>
        <v>6.4985988176495394E-4</v>
      </c>
      <c r="Q124" s="1">
        <f>'[1]Electricity and CHPs_IN'!AA$23/SUM('[1]Electricity and CHPs_IN'!AA$22:AA$23)*Q92</f>
        <v>1.198542414699836E-3</v>
      </c>
      <c r="S124" s="3"/>
    </row>
    <row r="125" spans="1:19" x14ac:dyDescent="0.5">
      <c r="A125" s="5" t="str">
        <f t="shared" si="68"/>
        <v>STEM</v>
      </c>
      <c r="B125" s="5" t="str">
        <f t="shared" si="69"/>
        <v>SPS1</v>
      </c>
      <c r="C125" s="5" t="str">
        <f t="shared" si="70"/>
        <v>CH</v>
      </c>
      <c r="D125" t="s">
        <v>623</v>
      </c>
      <c r="E125" t="str">
        <f t="shared" si="130"/>
        <v>PJ/yr.</v>
      </c>
      <c r="F125" s="1">
        <f>'[1]Electricity and CHPs_IN'!P$23/SUM('[1]Electricity and CHPs_IN'!P$22:P$23)*F93</f>
        <v>7.0814906301312232E-4</v>
      </c>
      <c r="G125" s="1">
        <f>'[1]Electricity and CHPs_IN'!Q$23/SUM('[1]Electricity and CHPs_IN'!Q$22:Q$23)*G93</f>
        <v>1.2317053320955846E-3</v>
      </c>
      <c r="H125" s="1">
        <f>'[1]Electricity and CHPs_IN'!R$23/SUM('[1]Electricity and CHPs_IN'!R$22:R$23)*H93</f>
        <v>8.265044996493557E-3</v>
      </c>
      <c r="I125" s="1">
        <f>'[1]Electricity and CHPs_IN'!S$23/SUM('[1]Electricity and CHPs_IN'!S$22:S$23)*I93</f>
        <v>2.453560315875682E-3</v>
      </c>
      <c r="J125" s="1">
        <f>'[1]Electricity and CHPs_IN'!T$23/SUM('[1]Electricity and CHPs_IN'!T$22:T$23)*J93</f>
        <v>3.3260655018652364E-3</v>
      </c>
      <c r="K125" s="1">
        <f>'[1]Electricity and CHPs_IN'!U$23/SUM('[1]Electricity and CHPs_IN'!U$22:U$23)*K93</f>
        <v>3.7281229354526623E-3</v>
      </c>
      <c r="L125" s="1">
        <f>'[1]Electricity and CHPs_IN'!V$23/SUM('[1]Electricity and CHPs_IN'!V$22:V$23)*L93</f>
        <v>0</v>
      </c>
      <c r="M125" s="1">
        <f>'[1]Electricity and CHPs_IN'!W$23/SUM('[1]Electricity and CHPs_IN'!W$22:W$23)*M93</f>
        <v>0</v>
      </c>
      <c r="N125" s="1">
        <f>'[1]Electricity and CHPs_IN'!X$23/SUM('[1]Electricity and CHPs_IN'!X$22:X$23)*N93</f>
        <v>1.272689332979241E-3</v>
      </c>
      <c r="O125" s="1">
        <f>'[1]Electricity and CHPs_IN'!Y$23/SUM('[1]Electricity and CHPs_IN'!Y$22:Y$23)*O93</f>
        <v>3.1911846925907514E-3</v>
      </c>
      <c r="P125" s="1">
        <f>'[1]Electricity and CHPs_IN'!Z$23/SUM('[1]Electricity and CHPs_IN'!Z$22:Z$23)*P93</f>
        <v>2.1301072819194843E-3</v>
      </c>
      <c r="Q125" s="1">
        <f>'[1]Electricity and CHPs_IN'!AA$23/SUM('[1]Electricity and CHPs_IN'!AA$22:AA$23)*Q93</f>
        <v>2.8768309802813179E-3</v>
      </c>
      <c r="S125" s="3"/>
    </row>
    <row r="126" spans="1:19" x14ac:dyDescent="0.5">
      <c r="A126" s="5" t="str">
        <f t="shared" si="68"/>
        <v>STEM</v>
      </c>
      <c r="B126" s="5" t="str">
        <f t="shared" si="69"/>
        <v>SPS1</v>
      </c>
      <c r="C126" s="5" t="str">
        <f t="shared" si="70"/>
        <v>CH</v>
      </c>
      <c r="D126" t="s">
        <v>624</v>
      </c>
      <c r="E126" t="str">
        <f t="shared" si="130"/>
        <v>PJ/yr.</v>
      </c>
      <c r="F126" s="1">
        <f>'[1]Electricity and CHPs_IN'!P$23/SUM('[1]Electricity and CHPs_IN'!P$22:P$23)*F94</f>
        <v>0</v>
      </c>
      <c r="G126" s="1">
        <f>'[1]Electricity and CHPs_IN'!Q$23/SUM('[1]Electricity and CHPs_IN'!Q$22:Q$23)*G94</f>
        <v>0</v>
      </c>
      <c r="H126" s="1">
        <f>'[1]Electricity and CHPs_IN'!R$23/SUM('[1]Electricity and CHPs_IN'!R$22:R$23)*H94</f>
        <v>0</v>
      </c>
      <c r="I126" s="1">
        <f>'[1]Electricity and CHPs_IN'!S$23/SUM('[1]Electricity and CHPs_IN'!S$22:S$23)*I94</f>
        <v>0</v>
      </c>
      <c r="J126" s="1">
        <f>'[1]Electricity and CHPs_IN'!T$23/SUM('[1]Electricity and CHPs_IN'!T$22:T$23)*J94</f>
        <v>0</v>
      </c>
      <c r="K126" s="1">
        <f>'[1]Electricity and CHPs_IN'!U$23/SUM('[1]Electricity and CHPs_IN'!U$22:U$23)*K94</f>
        <v>0</v>
      </c>
      <c r="L126" s="1">
        <f>'[1]Electricity and CHPs_IN'!V$23/SUM('[1]Electricity and CHPs_IN'!V$22:V$23)*L94</f>
        <v>0</v>
      </c>
      <c r="M126" s="1">
        <f>'[1]Electricity and CHPs_IN'!W$23/SUM('[1]Electricity and CHPs_IN'!W$22:W$23)*M94</f>
        <v>0</v>
      </c>
      <c r="N126" s="1">
        <f>'[1]Electricity and CHPs_IN'!X$23/SUM('[1]Electricity and CHPs_IN'!X$22:X$23)*N94</f>
        <v>9.3680287341518017E-4</v>
      </c>
      <c r="O126" s="1">
        <f>'[1]Electricity and CHPs_IN'!Y$23/SUM('[1]Electricity and CHPs_IN'!Y$22:Y$23)*O94</f>
        <v>1.8099278230461293E-3</v>
      </c>
      <c r="P126" s="1">
        <f>'[1]Electricity and CHPs_IN'!Z$23/SUM('[1]Electricity and CHPs_IN'!Z$22:Z$23)*P94</f>
        <v>1.4022664730090305E-3</v>
      </c>
      <c r="Q126" s="1">
        <f>'[1]Electricity and CHPs_IN'!AA$23/SUM('[1]Electricity and CHPs_IN'!AA$22:AA$23)*Q94</f>
        <v>2.4665594475786743E-3</v>
      </c>
      <c r="S126" s="3"/>
    </row>
    <row r="127" spans="1:19" x14ac:dyDescent="0.5">
      <c r="A127" s="5" t="str">
        <f t="shared" si="68"/>
        <v>STEM</v>
      </c>
      <c r="B127" s="5" t="str">
        <f t="shared" si="69"/>
        <v>SPS1</v>
      </c>
      <c r="C127" s="5" t="str">
        <f t="shared" si="70"/>
        <v>CH</v>
      </c>
      <c r="D127" t="s">
        <v>625</v>
      </c>
      <c r="E127" t="str">
        <f t="shared" si="130"/>
        <v>PJ/yr.</v>
      </c>
      <c r="F127" s="1">
        <f t="shared" ref="F127" si="131">F95</f>
        <v>0.95936493589577942</v>
      </c>
      <c r="G127" s="1">
        <f t="shared" ref="G127:Q127" si="132">G95</f>
        <v>1.1059417555439905</v>
      </c>
      <c r="H127" s="1">
        <f t="shared" si="132"/>
        <v>1.1059832162553229</v>
      </c>
      <c r="I127" s="1">
        <f t="shared" si="132"/>
        <v>1.1059844091620241</v>
      </c>
      <c r="J127" s="1">
        <f t="shared" si="132"/>
        <v>1.1076967880855895</v>
      </c>
      <c r="K127" s="1">
        <f t="shared" si="132"/>
        <v>1.3402525745503058</v>
      </c>
      <c r="L127" s="1">
        <f t="shared" si="132"/>
        <v>2.526454076856965</v>
      </c>
      <c r="M127" s="1">
        <f t="shared" si="132"/>
        <v>3.8368055334813187</v>
      </c>
      <c r="N127" s="1">
        <f t="shared" si="132"/>
        <v>4.2622552558167834</v>
      </c>
      <c r="O127" s="1">
        <f t="shared" si="132"/>
        <v>5.2000120914270589</v>
      </c>
      <c r="P127" s="1">
        <f t="shared" si="132"/>
        <v>5.8224732321660859</v>
      </c>
      <c r="Q127" s="1">
        <f t="shared" si="132"/>
        <v>6.9513599220855751</v>
      </c>
      <c r="S127" s="3"/>
    </row>
    <row r="128" spans="1:19" x14ac:dyDescent="0.5">
      <c r="A128" s="5" t="str">
        <f t="shared" si="68"/>
        <v>STEM</v>
      </c>
      <c r="B128" s="5" t="str">
        <f t="shared" si="69"/>
        <v>SPS1</v>
      </c>
      <c r="C128" s="5" t="str">
        <f t="shared" si="70"/>
        <v>CH</v>
      </c>
      <c r="D128" t="s">
        <v>626</v>
      </c>
      <c r="E128" t="str">
        <f t="shared" si="130"/>
        <v>PJ/yr.</v>
      </c>
      <c r="F128" s="1">
        <f>'[1]Electricity and CHPs_IN'!P$23/SUM('[1]Electricity and CHPs_IN'!P$22:P$23)*F96</f>
        <v>1.5218693699444286E-2</v>
      </c>
      <c r="G128" s="1">
        <f>'[1]Electricity and CHPs_IN'!Q$23/SUM('[1]Electricity and CHPs_IN'!Q$22:Q$23)*G96</f>
        <v>2.6541619017645707E-2</v>
      </c>
      <c r="H128" s="1">
        <f>'[1]Electricity and CHPs_IN'!R$23/SUM('[1]Electricity and CHPs_IN'!R$22:R$23)*H96</f>
        <v>6.8758573372714321E-2</v>
      </c>
      <c r="I128" s="1">
        <f>'[1]Electricity and CHPs_IN'!S$23/SUM('[1]Electricity and CHPs_IN'!S$22:S$23)*I96</f>
        <v>2.3273511205378437E-2</v>
      </c>
      <c r="J128" s="1">
        <f>'[1]Electricity and CHPs_IN'!T$23/SUM('[1]Electricity and CHPs_IN'!T$22:T$23)*J96</f>
        <v>2.8917315894173925E-2</v>
      </c>
      <c r="K128" s="1">
        <f>'[1]Electricity and CHPs_IN'!U$23/SUM('[1]Electricity and CHPs_IN'!U$22:U$23)*K96</f>
        <v>4.7028823743549407E-2</v>
      </c>
      <c r="L128" s="1">
        <f>'[1]Electricity and CHPs_IN'!V$23/SUM('[1]Electricity and CHPs_IN'!V$22:V$23)*L96</f>
        <v>0</v>
      </c>
      <c r="M128" s="1">
        <f>'[1]Electricity and CHPs_IN'!W$23/SUM('[1]Electricity and CHPs_IN'!W$22:W$23)*M96</f>
        <v>0</v>
      </c>
      <c r="N128" s="1">
        <f>'[1]Electricity and CHPs_IN'!X$23/SUM('[1]Electricity and CHPs_IN'!X$22:X$23)*N96</f>
        <v>8.0046390213179121E-4</v>
      </c>
      <c r="O128" s="1">
        <f>'[1]Electricity and CHPs_IN'!Y$23/SUM('[1]Electricity and CHPs_IN'!Y$22:Y$23)*O96</f>
        <v>7.754986623175566E-4</v>
      </c>
      <c r="P128" s="1">
        <f>'[1]Electricity and CHPs_IN'!Z$23/SUM('[1]Electricity and CHPs_IN'!Z$22:Z$23)*P96</f>
        <v>5.4660508163910631E-4</v>
      </c>
      <c r="Q128" s="1">
        <f>'[1]Electricity and CHPs_IN'!AA$23/SUM('[1]Electricity and CHPs_IN'!AA$22:AA$23)*Q96</f>
        <v>9.2365686814664368E-4</v>
      </c>
      <c r="S128" s="3"/>
    </row>
    <row r="129" spans="1:19" x14ac:dyDescent="0.5">
      <c r="A129" s="5" t="str">
        <f t="shared" si="68"/>
        <v>STEM</v>
      </c>
      <c r="B129" s="5" t="str">
        <f t="shared" si="69"/>
        <v>SPS1</v>
      </c>
      <c r="C129" s="5" t="str">
        <f t="shared" si="70"/>
        <v>CH</v>
      </c>
      <c r="D129" t="s">
        <v>627</v>
      </c>
      <c r="E129" t="str">
        <f t="shared" si="130"/>
        <v>PJ/yr.</v>
      </c>
      <c r="F129" s="1">
        <f>'[1]Electricity and CHPs_IN'!P$23/SUM('[1]Electricity and CHPs_IN'!P$22:P$23)*F97</f>
        <v>0</v>
      </c>
      <c r="G129" s="1">
        <f>'[1]Electricity and CHPs_IN'!Q$23/SUM('[1]Electricity and CHPs_IN'!Q$22:Q$23)*G97</f>
        <v>0</v>
      </c>
      <c r="H129" s="1">
        <f>'[1]Electricity and CHPs_IN'!R$23/SUM('[1]Electricity and CHPs_IN'!R$22:R$23)*H97</f>
        <v>0</v>
      </c>
      <c r="I129" s="1">
        <f>'[1]Electricity and CHPs_IN'!S$23/SUM('[1]Electricity and CHPs_IN'!S$22:S$23)*I97</f>
        <v>0</v>
      </c>
      <c r="J129" s="1">
        <f>'[1]Electricity and CHPs_IN'!T$23/SUM('[1]Electricity and CHPs_IN'!T$22:T$23)*J97</f>
        <v>0</v>
      </c>
      <c r="K129" s="1">
        <f>'[1]Electricity and CHPs_IN'!U$23/SUM('[1]Electricity and CHPs_IN'!U$22:U$23)*K97</f>
        <v>0</v>
      </c>
      <c r="L129" s="1">
        <f>'[1]Electricity and CHPs_IN'!V$23/SUM('[1]Electricity and CHPs_IN'!V$22:V$23)*L97</f>
        <v>0</v>
      </c>
      <c r="M129" s="1">
        <f>'[1]Electricity and CHPs_IN'!W$23/SUM('[1]Electricity and CHPs_IN'!W$22:W$23)*M97</f>
        <v>0</v>
      </c>
      <c r="N129" s="1">
        <f>'[1]Electricity and CHPs_IN'!X$23/SUM('[1]Electricity and CHPs_IN'!X$22:X$23)*N97</f>
        <v>3.8978261311009159E-4</v>
      </c>
      <c r="O129" s="1">
        <f>'[1]Electricity and CHPs_IN'!Y$23/SUM('[1]Electricity and CHPs_IN'!Y$22:Y$23)*O97</f>
        <v>6.1885156393567281E-4</v>
      </c>
      <c r="P129" s="1">
        <f>'[1]Electricity and CHPs_IN'!Z$23/SUM('[1]Electricity and CHPs_IN'!Z$22:Z$23)*P97</f>
        <v>5.0444627773207895E-4</v>
      </c>
      <c r="Q129" s="1">
        <f>'[1]Electricity and CHPs_IN'!AA$23/SUM('[1]Electricity and CHPs_IN'!AA$22:AA$23)*Q97</f>
        <v>1.0173795589099165E-3</v>
      </c>
      <c r="S129" s="3"/>
    </row>
    <row r="130" spans="1:19" x14ac:dyDescent="0.5">
      <c r="A130" s="5" t="str">
        <f t="shared" si="68"/>
        <v>STEM</v>
      </c>
      <c r="B130" s="5" t="str">
        <f t="shared" si="69"/>
        <v>SPS1</v>
      </c>
      <c r="C130" s="5" t="str">
        <f t="shared" si="70"/>
        <v>CH</v>
      </c>
      <c r="D130" t="s">
        <v>799</v>
      </c>
      <c r="E130" t="str">
        <f t="shared" si="130"/>
        <v>PJ/yr.</v>
      </c>
      <c r="F130" s="1">
        <f>SUM(F131:F136)</f>
        <v>8.2845898685375019</v>
      </c>
      <c r="G130" s="1">
        <f t="shared" ref="G130:Q130" si="133">SUM(G131:G136)</f>
        <v>8.951707124499503</v>
      </c>
      <c r="H130" s="1">
        <f t="shared" si="133"/>
        <v>9.1903912990322798</v>
      </c>
      <c r="I130" s="1">
        <f t="shared" si="133"/>
        <v>9.1401167067487439</v>
      </c>
      <c r="J130" s="1">
        <f t="shared" si="133"/>
        <v>9.2195156914129832</v>
      </c>
      <c r="K130" s="1">
        <f t="shared" si="133"/>
        <v>9.3458517800660257</v>
      </c>
      <c r="L130" s="1">
        <f t="shared" si="133"/>
        <v>10.722030158401839</v>
      </c>
      <c r="M130" s="1">
        <f t="shared" si="133"/>
        <v>11.101590138123521</v>
      </c>
      <c r="N130" s="1">
        <f t="shared" si="133"/>
        <v>11.110810744849266</v>
      </c>
      <c r="O130" s="1">
        <f t="shared" si="133"/>
        <v>11.114183475769398</v>
      </c>
      <c r="P130" s="1">
        <f t="shared" si="133"/>
        <v>11.11751884867649</v>
      </c>
      <c r="Q130" s="1">
        <f t="shared" si="133"/>
        <v>11.120860487754721</v>
      </c>
      <c r="S130" s="3"/>
    </row>
    <row r="131" spans="1:19" x14ac:dyDescent="0.5">
      <c r="A131" s="5" t="str">
        <f t="shared" si="68"/>
        <v>STEM</v>
      </c>
      <c r="B131" s="5" t="str">
        <f t="shared" si="69"/>
        <v>SPS1</v>
      </c>
      <c r="C131" s="5" t="str">
        <f t="shared" si="70"/>
        <v>CH</v>
      </c>
      <c r="D131" t="s">
        <v>53</v>
      </c>
      <c r="E131" t="str">
        <f>E75</f>
        <v>PJ/yr.</v>
      </c>
      <c r="F131" s="1">
        <f>'[1]Electricity and CHPs'!B19</f>
        <v>6.5070002135127227</v>
      </c>
      <c r="G131" s="1">
        <f>'[1]Electricity and CHPs'!C19</f>
        <v>7.3027683677575075</v>
      </c>
      <c r="H131" s="1">
        <f>'[1]Electricity and CHPs'!D19</f>
        <v>7.4208710058210485</v>
      </c>
      <c r="I131" s="1">
        <f>'[1]Electricity and CHPs'!E19</f>
        <v>7.3981384815112312</v>
      </c>
      <c r="J131" s="1">
        <f>'[1]Electricity and CHPs'!F19</f>
        <v>7.4918604507015676</v>
      </c>
      <c r="K131" s="1">
        <f>'[1]Electricity and CHPs'!G19</f>
        <v>5.435475804058</v>
      </c>
      <c r="L131" s="1">
        <f>'[1]Electricity and CHPs'!H19</f>
        <v>4.4767093206756741</v>
      </c>
      <c r="M131" s="1">
        <f>'[1]Electricity and CHPs'!I19</f>
        <v>4.6534315372815422</v>
      </c>
      <c r="N131" s="1">
        <f>'[1]Electricity and CHPs'!J19</f>
        <v>4.6534303743209433</v>
      </c>
      <c r="O131" s="1">
        <f>'[1]Electricity and CHPs'!K19</f>
        <v>4.6534308982046886</v>
      </c>
      <c r="P131" s="1">
        <f>'[1]Electricity and CHPs'!L19</f>
        <v>4.653430410724023</v>
      </c>
      <c r="Q131" s="1">
        <f>'[1]Electricity and CHPs'!M19</f>
        <v>4.6534306273710868</v>
      </c>
      <c r="S131" s="3"/>
    </row>
    <row r="132" spans="1:19" x14ac:dyDescent="0.5">
      <c r="A132" s="5" t="str">
        <f t="shared" si="68"/>
        <v>STEM</v>
      </c>
      <c r="B132" s="5" t="str">
        <f t="shared" si="69"/>
        <v>SPS1</v>
      </c>
      <c r="C132" s="5" t="str">
        <f t="shared" si="70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'[1]Electricity and CHPs'!F20</f>
        <v>0</v>
      </c>
      <c r="K132" s="1">
        <f>'[1]Electricity and CHPs'!G20</f>
        <v>2.2028358988153127</v>
      </c>
      <c r="L132" s="1">
        <f>'[1]Electricity and CHPs'!H20</f>
        <v>4.2715865685887904</v>
      </c>
      <c r="M132" s="1">
        <f>'[1]Electricity and CHPs'!I20</f>
        <v>4.4441166576250479</v>
      </c>
      <c r="N132" s="1">
        <f>'[1]Electricity and CHPs'!J20</f>
        <v>4.4441160597285521</v>
      </c>
      <c r="O132" s="1">
        <f>'[1]Electricity and CHPs'!K20</f>
        <v>4.4441160604728847</v>
      </c>
      <c r="P132" s="1">
        <f>'[1]Electricity and CHPs'!L20</f>
        <v>4.4441158511268553</v>
      </c>
      <c r="Q132" s="1">
        <f>'[1]Electricity and CHPs'!M20</f>
        <v>4.4441159964733385</v>
      </c>
      <c r="S132" s="3"/>
    </row>
    <row r="133" spans="1:19" x14ac:dyDescent="0.5">
      <c r="A133" s="5" t="str">
        <f t="shared" si="68"/>
        <v>STEM</v>
      </c>
      <c r="B133" s="5" t="str">
        <f t="shared" si="69"/>
        <v>SPS1</v>
      </c>
      <c r="C133" s="5" t="str">
        <f t="shared" si="70"/>
        <v>CH</v>
      </c>
      <c r="D133" t="s">
        <v>51</v>
      </c>
      <c r="E133" t="str">
        <f>E152</f>
        <v>PJ/yr.</v>
      </c>
      <c r="F133" s="1">
        <f>'[1]Electricity and CHPs'!B26</f>
        <v>1.5475483868684117</v>
      </c>
      <c r="G133" s="1">
        <f>'[1]Electricity and CHPs'!C26</f>
        <v>1.4187813676402234</v>
      </c>
      <c r="H133" s="1">
        <f>'[1]Electricity and CHPs'!D26</f>
        <v>1.4328145153101266</v>
      </c>
      <c r="I133" s="1">
        <f>'[1]Electricity and CHPs'!E26</f>
        <v>1.4090328574615725</v>
      </c>
      <c r="J133" s="1">
        <f>'[1]Electricity and CHPs'!F26</f>
        <v>1.3984701274214018</v>
      </c>
      <c r="K133" s="1">
        <f>'[1]Electricity and CHPs'!G26</f>
        <v>1.0246097649246577</v>
      </c>
      <c r="L133" s="1">
        <f>'[1]Electricity and CHPs'!H26</f>
        <v>0.67854828264832878</v>
      </c>
      <c r="M133" s="1">
        <f>'[1]Electricity and CHPs'!I26</f>
        <v>0.69933093172023397</v>
      </c>
      <c r="N133" s="1">
        <f>'[1]Electricity and CHPs'!J26</f>
        <v>0.70858051123363319</v>
      </c>
      <c r="O133" s="1">
        <f>'[1]Electricity and CHPs'!K26</f>
        <v>0.71192447638019218</v>
      </c>
      <c r="P133" s="1">
        <f>'[1]Electricity and CHPs'!L26</f>
        <v>0.71526351807266597</v>
      </c>
      <c r="Q133" s="1">
        <f>'[1]Electricity and CHPs'!M26</f>
        <v>0.71859649693168903</v>
      </c>
      <c r="S133" s="3"/>
    </row>
    <row r="134" spans="1:19" x14ac:dyDescent="0.5">
      <c r="A134" s="5" t="str">
        <f t="shared" si="68"/>
        <v>STEM</v>
      </c>
      <c r="B134" s="5" t="str">
        <f t="shared" si="69"/>
        <v>SPS1</v>
      </c>
      <c r="C134" s="5" t="str">
        <f t="shared" si="70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'[1]Electricity and CHPs'!F27</f>
        <v>0</v>
      </c>
      <c r="K134" s="1">
        <f>'[1]Electricity and CHPs'!G27</f>
        <v>0.36847685376865158</v>
      </c>
      <c r="L134" s="1">
        <f>'[1]Electricity and CHPs'!H27</f>
        <v>0.69932276139691674</v>
      </c>
      <c r="M134" s="1">
        <f>'[1]Electricity and CHPs'!I27</f>
        <v>0.71175178662670202</v>
      </c>
      <c r="N134" s="1">
        <f>'[1]Electricity and CHPs'!J27</f>
        <v>0.71175164152503045</v>
      </c>
      <c r="O134" s="1">
        <f>'[1]Electricity and CHPs'!K27</f>
        <v>0.71175167846824239</v>
      </c>
      <c r="P134" s="1">
        <f>'[1]Electricity and CHPs'!L27</f>
        <v>0.71175161911593943</v>
      </c>
      <c r="Q134" s="1">
        <f>'[1]Electricity and CHPs'!M27</f>
        <v>0.71175168205312189</v>
      </c>
      <c r="S134" s="3"/>
    </row>
    <row r="135" spans="1:19" x14ac:dyDescent="0.5">
      <c r="A135" s="5" t="str">
        <f t="shared" si="68"/>
        <v>STEM</v>
      </c>
      <c r="B135" s="5" t="str">
        <f t="shared" si="69"/>
        <v>SPS1</v>
      </c>
      <c r="C135" s="5" t="str">
        <f t="shared" si="70"/>
        <v>CH</v>
      </c>
      <c r="D135" t="s">
        <v>48</v>
      </c>
      <c r="E135" t="str">
        <f>E155</f>
        <v>PJ/yr.</v>
      </c>
      <c r="F135" s="1">
        <f>'[1]Electricity and CHPs'!B44</f>
        <v>0.2300412681563673</v>
      </c>
      <c r="G135" s="1">
        <f>'[1]Electricity and CHPs'!C44</f>
        <v>0.23015738910177216</v>
      </c>
      <c r="H135" s="1">
        <f>'[1]Electricity and CHPs'!D44</f>
        <v>0.3367057779011039</v>
      </c>
      <c r="I135" s="1">
        <f>'[1]Electricity and CHPs'!E44</f>
        <v>0.33294536777593942</v>
      </c>
      <c r="J135" s="1">
        <f>'[1]Electricity and CHPs'!F44</f>
        <v>0.32918511329001515</v>
      </c>
      <c r="K135" s="1">
        <f>'[1]Electricity and CHPs'!G44</f>
        <v>0.19678762278669815</v>
      </c>
      <c r="L135" s="1">
        <f>'[1]Electricity and CHPs'!H44</f>
        <v>6.324127176100072E-5</v>
      </c>
      <c r="M135" s="1">
        <f>'[1]Electricity and CHPs'!I44</f>
        <v>3.5045437475376407E-5</v>
      </c>
      <c r="N135" s="1">
        <f>'[1]Electricity and CHPs'!J44</f>
        <v>4.5013514105378797E-5</v>
      </c>
      <c r="O135" s="1">
        <f>'[1]Electricity and CHPs'!K44</f>
        <v>2.467576172733334E-5</v>
      </c>
      <c r="P135" s="1">
        <f>'[1]Electricity and CHPs'!L44</f>
        <v>4.2525744106635084E-5</v>
      </c>
      <c r="Q135" s="1">
        <f>'[1]Electricity and CHPs'!M44</f>
        <v>1.8146344697861053E-5</v>
      </c>
      <c r="S135" s="3"/>
    </row>
    <row r="136" spans="1:19" x14ac:dyDescent="0.5">
      <c r="A136" s="5" t="str">
        <f t="shared" si="68"/>
        <v>STEM</v>
      </c>
      <c r="B136" s="5" t="str">
        <f t="shared" si="69"/>
        <v>SPS1</v>
      </c>
      <c r="C136" s="5" t="str">
        <f t="shared" si="70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'[1]Electricity and CHPs'!F45</f>
        <v>0</v>
      </c>
      <c r="K136" s="1">
        <f>'[1]Electricity and CHPs'!G45</f>
        <v>0.1176658357127055</v>
      </c>
      <c r="L136" s="1">
        <f>'[1]Electricity and CHPs'!H45</f>
        <v>0.59579998382036614</v>
      </c>
      <c r="M136" s="1">
        <f>'[1]Electricity and CHPs'!I45</f>
        <v>0.59292417943252118</v>
      </c>
      <c r="N136" s="1">
        <f>'[1]Electricity and CHPs'!J45</f>
        <v>0.59288714452700286</v>
      </c>
      <c r="O136" s="1">
        <f>'[1]Electricity and CHPs'!K45</f>
        <v>0.59293568648166306</v>
      </c>
      <c r="P136" s="1">
        <f>'[1]Electricity and CHPs'!L45</f>
        <v>0.59291492389289813</v>
      </c>
      <c r="Q136" s="1">
        <f>'[1]Electricity and CHPs'!M45</f>
        <v>0.5929475385807873</v>
      </c>
      <c r="S136" s="3"/>
    </row>
    <row r="137" spans="1:19" x14ac:dyDescent="0.5">
      <c r="A137" s="5" t="str">
        <f t="shared" si="68"/>
        <v>STEM</v>
      </c>
      <c r="B137" s="5" t="str">
        <f t="shared" si="69"/>
        <v>SPS1</v>
      </c>
      <c r="C137" s="5" t="str">
        <f t="shared" si="70"/>
        <v>CH</v>
      </c>
      <c r="D137" t="s">
        <v>89</v>
      </c>
      <c r="E137" t="str">
        <f t="shared" ref="E137:E151" si="134">E136</f>
        <v>PJ/yr.</v>
      </c>
      <c r="F137" s="1">
        <f>SUM(F138:F141)</f>
        <v>4.0272743001905669</v>
      </c>
      <c r="G137" s="1">
        <f t="shared" ref="G137:K137" si="135">SUM(G138:G141)</f>
        <v>4.3607748676988658</v>
      </c>
      <c r="H137" s="1">
        <f t="shared" si="135"/>
        <v>4.426842760565588</v>
      </c>
      <c r="I137" s="1">
        <f t="shared" si="135"/>
        <v>4.403585669486402</v>
      </c>
      <c r="J137" s="1">
        <f t="shared" si="135"/>
        <v>4.4451652890614843</v>
      </c>
      <c r="K137" s="1">
        <f t="shared" si="135"/>
        <v>4.5156991607833117</v>
      </c>
      <c r="L137" s="1">
        <f t="shared" ref="L137:O137" si="136">SUM(L138:L141)</f>
        <v>5.0630834666548559</v>
      </c>
      <c r="M137" s="1">
        <f t="shared" si="136"/>
        <v>5.2543154566267631</v>
      </c>
      <c r="N137" s="1">
        <f t="shared" si="136"/>
        <v>5.2589392934040786</v>
      </c>
      <c r="O137" s="1">
        <f t="shared" si="136"/>
        <v>5.2606115567630036</v>
      </c>
      <c r="P137" s="1">
        <f>SUM(P138:P141)</f>
        <v>5.2622806995197422</v>
      </c>
      <c r="Q137" s="1">
        <f>SUM(Q138:Q141)</f>
        <v>5.2639474014146179</v>
      </c>
      <c r="S137" s="3"/>
    </row>
    <row r="138" spans="1:19" x14ac:dyDescent="0.5">
      <c r="A138" s="5" t="str">
        <f t="shared" si="68"/>
        <v>STEM</v>
      </c>
      <c r="B138" s="5" t="str">
        <f t="shared" si="69"/>
        <v>SPS1</v>
      </c>
      <c r="C138" s="5" t="str">
        <f t="shared" si="70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3.2535001067563614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3.6513841838787537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3.7104355029105247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3.6990692407556156</v>
      </c>
      <c r="J138" s="1" cm="1">
        <f t="array" ref="J138">J131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3.7459302253507838</v>
      </c>
      <c r="K138" s="1" cm="1">
        <f t="array" ref="K138">K131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2.717737902029</v>
      </c>
      <c r="L138" s="1" cm="1">
        <f t="array" ref="L138">L131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2.238354660337837</v>
      </c>
      <c r="M138" s="1" cm="1">
        <f t="array" ref="M138">M131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2.3267157686407711</v>
      </c>
      <c r="N138" s="1" cm="1">
        <f t="array" ref="N138">N131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2.3267151871604717</v>
      </c>
      <c r="O138" s="1" cm="1">
        <f t="array" ref="O138">O131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2.3267154491023443</v>
      </c>
      <c r="P138" s="1" cm="1">
        <f t="array" ref="P138">P131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2.3267152053620115</v>
      </c>
      <c r="Q138" s="1" cm="1">
        <f t="array" ref="Q138">Q131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2.3267153136855434</v>
      </c>
      <c r="S138" s="3"/>
    </row>
    <row r="139" spans="1:19" x14ac:dyDescent="0.5">
      <c r="A139" s="5" t="str">
        <f t="shared" si="68"/>
        <v>STEM</v>
      </c>
      <c r="B139" s="5" t="str">
        <f t="shared" si="69"/>
        <v>SPS1</v>
      </c>
      <c r="C139" s="5" t="str">
        <f t="shared" si="70"/>
        <v>CH</v>
      </c>
      <c r="D139" t="s">
        <v>61</v>
      </c>
      <c r="E139" t="str">
        <f t="shared" si="134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39" s="1" cm="1">
        <f t="array" ref="K139">K132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1.1014179494076564</v>
      </c>
      <c r="L139" s="1" cm="1">
        <f t="array" ref="L139">L132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2.1357932842943952</v>
      </c>
      <c r="M139" s="1" cm="1">
        <f t="array" ref="M139">M132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2.222058328812524</v>
      </c>
      <c r="N139" s="1" cm="1">
        <f t="array" ref="N139">N132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2.222058029864276</v>
      </c>
      <c r="O139" s="1" cm="1">
        <f t="array" ref="O139">O132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2.2220580302364423</v>
      </c>
      <c r="P139" s="1" cm="1">
        <f t="array" ref="P139">P132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2.2220579255634276</v>
      </c>
      <c r="Q139" s="1" cm="1">
        <f t="array" ref="Q139">Q132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2.2220579982366693</v>
      </c>
      <c r="S139" s="3"/>
    </row>
    <row r="140" spans="1:19" x14ac:dyDescent="0.5">
      <c r="A140" s="5" t="str">
        <f t="shared" si="68"/>
        <v>STEM</v>
      </c>
      <c r="B140" s="5" t="str">
        <f t="shared" si="69"/>
        <v>SPS1</v>
      </c>
      <c r="C140" s="5" t="str">
        <f t="shared" si="70"/>
        <v>CH</v>
      </c>
      <c r="D140" t="s">
        <v>62</v>
      </c>
      <c r="E140" t="str">
        <f t="shared" si="134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0.77377419343420584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0.70939068382011172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0.7164072576550633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0.70451642873078613</v>
      </c>
      <c r="J140" s="1" cm="1">
        <f t="array" ref="J140">J133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0.69923506371070077</v>
      </c>
      <c r="K140" s="1" cm="1">
        <f t="array" ref="K140">K133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0.51230488246232886</v>
      </c>
      <c r="L140" s="1" cm="1">
        <f t="array" ref="L140">L133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0.33927414132416439</v>
      </c>
      <c r="M140" s="1" cm="1">
        <f t="array" ref="M140">M133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0.34966546586011699</v>
      </c>
      <c r="N140" s="1" cm="1">
        <f t="array" ref="N140">N133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0.3542902556168166</v>
      </c>
      <c r="O140" s="1" cm="1">
        <f t="array" ref="O140">O133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0.35596223819009609</v>
      </c>
      <c r="P140" s="1" cm="1">
        <f t="array" ref="P140">P133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0.35763175903633299</v>
      </c>
      <c r="Q140" s="1" cm="1">
        <f t="array" ref="Q140">Q133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0.35929824846584452</v>
      </c>
      <c r="S140" s="3"/>
    </row>
    <row r="141" spans="1:19" x14ac:dyDescent="0.5">
      <c r="A141" s="5" t="str">
        <f t="shared" si="68"/>
        <v>STEM</v>
      </c>
      <c r="B141" s="5" t="str">
        <f t="shared" si="69"/>
        <v>SPS1</v>
      </c>
      <c r="C141" s="5" t="str">
        <f t="shared" si="70"/>
        <v>CH</v>
      </c>
      <c r="D141" t="s">
        <v>63</v>
      </c>
      <c r="E141" t="str">
        <f t="shared" si="134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41" s="1" cm="1">
        <f t="array" ref="K141">K134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0.18423842688432579</v>
      </c>
      <c r="L141" s="1" cm="1">
        <f t="array" ref="L141">L134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0.34966138069845831</v>
      </c>
      <c r="M141" s="1" cm="1">
        <f t="array" ref="M141">M134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0.35587589331335101</v>
      </c>
      <c r="N141" s="1" cm="1">
        <f t="array" ref="N141">N134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0.35587582076251528</v>
      </c>
      <c r="O141" s="1" cm="1">
        <f t="array" ref="O141">O134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0.35587583923412125</v>
      </c>
      <c r="P141" s="1" cm="1">
        <f t="array" ref="P141">P134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0.35587580955796971</v>
      </c>
      <c r="Q141" s="1" cm="1">
        <f t="array" ref="Q141">Q134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0.35587584102656095</v>
      </c>
      <c r="S141" s="3"/>
    </row>
    <row r="142" spans="1:19" x14ac:dyDescent="0.5">
      <c r="A142" s="5" t="str">
        <f t="shared" si="68"/>
        <v>STEM</v>
      </c>
      <c r="B142" s="5" t="str">
        <f t="shared" si="69"/>
        <v>SPS1</v>
      </c>
      <c r="C142" s="5" t="str">
        <f t="shared" si="70"/>
        <v>CH</v>
      </c>
      <c r="D142" t="s">
        <v>64</v>
      </c>
      <c r="E142" t="str">
        <f t="shared" si="134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S142" s="3"/>
    </row>
    <row r="143" spans="1:19" x14ac:dyDescent="0.5">
      <c r="A143" s="5" t="str">
        <f t="shared" si="68"/>
        <v>STEM</v>
      </c>
      <c r="B143" s="5" t="str">
        <f t="shared" si="69"/>
        <v>SPS1</v>
      </c>
      <c r="C143" s="5" t="str">
        <f t="shared" si="70"/>
        <v>CH</v>
      </c>
      <c r="D143" t="s">
        <v>65</v>
      </c>
      <c r="E143" t="str">
        <f t="shared" si="134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S143" s="3"/>
    </row>
    <row r="144" spans="1:19" x14ac:dyDescent="0.5">
      <c r="A144" s="5" t="str">
        <f t="shared" si="68"/>
        <v>STEM</v>
      </c>
      <c r="B144" s="5" t="str">
        <f t="shared" si="69"/>
        <v>SPS1</v>
      </c>
      <c r="C144" s="5" t="str">
        <f t="shared" si="70"/>
        <v>CH</v>
      </c>
      <c r="D144" t="s">
        <v>800</v>
      </c>
      <c r="E144" t="str">
        <f>E143</f>
        <v>PJ/yr.</v>
      </c>
      <c r="F144" s="1">
        <f>SUM(F145:F150)</f>
        <v>4.2573155683469341</v>
      </c>
      <c r="G144" s="1">
        <f t="shared" ref="G144:K144" si="137">SUM(G145:G150)</f>
        <v>4.5909322568006381</v>
      </c>
      <c r="H144" s="1">
        <f t="shared" si="137"/>
        <v>4.7635485384666909</v>
      </c>
      <c r="I144" s="1">
        <f t="shared" si="137"/>
        <v>4.736531037262341</v>
      </c>
      <c r="J144" s="1">
        <f t="shared" si="137"/>
        <v>4.7743504023515007</v>
      </c>
      <c r="K144" s="1">
        <f t="shared" si="137"/>
        <v>4.8301526192827158</v>
      </c>
      <c r="L144" s="1">
        <f t="shared" ref="L144:O144" si="138">SUM(L145:L150)</f>
        <v>5.6589466917469826</v>
      </c>
      <c r="M144" s="1">
        <f t="shared" si="138"/>
        <v>5.84727468149676</v>
      </c>
      <c r="N144" s="1">
        <f t="shared" si="138"/>
        <v>5.8518714514451871</v>
      </c>
      <c r="O144" s="1">
        <f t="shared" si="138"/>
        <v>5.8535719190063942</v>
      </c>
      <c r="P144" s="1">
        <f>SUM(P145:P150)</f>
        <v>5.8552381491567473</v>
      </c>
      <c r="Q144" s="1">
        <f>SUM(Q145:Q150)</f>
        <v>5.8569130863401035</v>
      </c>
      <c r="S144" s="3"/>
    </row>
    <row r="145" spans="1:19" x14ac:dyDescent="0.5">
      <c r="A145" s="5" t="str">
        <f t="shared" si="68"/>
        <v>STEM</v>
      </c>
      <c r="B145" s="5" t="str">
        <f t="shared" si="69"/>
        <v>SPS1</v>
      </c>
      <c r="C145" s="5" t="str">
        <f t="shared" si="70"/>
        <v>CH</v>
      </c>
      <c r="D145" t="s">
        <v>56</v>
      </c>
      <c r="E145" t="str">
        <f>E144</f>
        <v>PJ/yr.</v>
      </c>
      <c r="F145" s="1">
        <f>F131-F138</f>
        <v>3.2535001067563614</v>
      </c>
      <c r="G145" s="1">
        <f t="shared" ref="G145:K145" si="139">G131-G138</f>
        <v>3.6513841838787537</v>
      </c>
      <c r="H145" s="1">
        <f t="shared" si="139"/>
        <v>3.7104355029105238</v>
      </c>
      <c r="I145" s="1">
        <f t="shared" si="139"/>
        <v>3.6990692407556156</v>
      </c>
      <c r="J145" s="1">
        <f t="shared" si="139"/>
        <v>3.7459302253507838</v>
      </c>
      <c r="K145" s="1">
        <f t="shared" si="139"/>
        <v>2.717737902029</v>
      </c>
      <c r="L145" s="1">
        <f t="shared" ref="L145:O145" si="140">L131-L138</f>
        <v>2.238354660337837</v>
      </c>
      <c r="M145" s="1">
        <f t="shared" si="140"/>
        <v>2.3267157686407711</v>
      </c>
      <c r="N145" s="1">
        <f t="shared" si="140"/>
        <v>2.3267151871604717</v>
      </c>
      <c r="O145" s="1">
        <f t="shared" si="140"/>
        <v>2.3267154491023443</v>
      </c>
      <c r="P145" s="1">
        <f t="shared" ref="P145:Q150" si="141">P131-P138</f>
        <v>2.3267152053620115</v>
      </c>
      <c r="Q145" s="1">
        <f t="shared" si="141"/>
        <v>2.3267153136855434</v>
      </c>
      <c r="S145" s="3"/>
    </row>
    <row r="146" spans="1:19" x14ac:dyDescent="0.5">
      <c r="A146" s="5" t="str">
        <f t="shared" si="68"/>
        <v>STEM</v>
      </c>
      <c r="B146" s="5" t="str">
        <f t="shared" si="69"/>
        <v>SPS1</v>
      </c>
      <c r="C146" s="5" t="str">
        <f t="shared" si="70"/>
        <v>CH</v>
      </c>
      <c r="D146" t="s">
        <v>57</v>
      </c>
      <c r="E146" t="str">
        <f t="shared" si="134"/>
        <v>PJ/yr.</v>
      </c>
      <c r="F146" s="1">
        <f t="shared" ref="F146:K146" si="142">F132-F139</f>
        <v>0</v>
      </c>
      <c r="G146" s="1">
        <f t="shared" si="142"/>
        <v>0</v>
      </c>
      <c r="H146" s="1">
        <f t="shared" si="142"/>
        <v>0</v>
      </c>
      <c r="I146" s="1">
        <f t="shared" si="142"/>
        <v>0</v>
      </c>
      <c r="J146" s="1">
        <f t="shared" si="142"/>
        <v>0</v>
      </c>
      <c r="K146" s="1">
        <f t="shared" si="142"/>
        <v>1.1014179494076564</v>
      </c>
      <c r="L146" s="1">
        <f t="shared" ref="L146:O146" si="143">L132-L139</f>
        <v>2.1357932842943952</v>
      </c>
      <c r="M146" s="1">
        <f t="shared" si="143"/>
        <v>2.222058328812524</v>
      </c>
      <c r="N146" s="1">
        <f t="shared" si="143"/>
        <v>2.222058029864276</v>
      </c>
      <c r="O146" s="1">
        <f t="shared" si="143"/>
        <v>2.2220580302364423</v>
      </c>
      <c r="P146" s="1">
        <f t="shared" si="141"/>
        <v>2.2220579255634276</v>
      </c>
      <c r="Q146" s="1">
        <f t="shared" si="141"/>
        <v>2.2220579982366693</v>
      </c>
      <c r="S146" s="3"/>
    </row>
    <row r="147" spans="1:19" x14ac:dyDescent="0.5">
      <c r="A147" s="5" t="str">
        <f t="shared" si="68"/>
        <v>STEM</v>
      </c>
      <c r="B147" s="5" t="str">
        <f t="shared" si="69"/>
        <v>SPS1</v>
      </c>
      <c r="C147" s="5" t="str">
        <f t="shared" si="70"/>
        <v>CH</v>
      </c>
      <c r="D147" t="s">
        <v>58</v>
      </c>
      <c r="E147" t="str">
        <f t="shared" si="134"/>
        <v>PJ/yr.</v>
      </c>
      <c r="F147" s="1">
        <f t="shared" ref="F147:K147" si="144">F133-F140</f>
        <v>0.77377419343420584</v>
      </c>
      <c r="G147" s="1">
        <f t="shared" si="144"/>
        <v>0.70939068382011172</v>
      </c>
      <c r="H147" s="1">
        <f t="shared" si="144"/>
        <v>0.7164072576550633</v>
      </c>
      <c r="I147" s="1">
        <f t="shared" si="144"/>
        <v>0.70451642873078635</v>
      </c>
      <c r="J147" s="1">
        <f t="shared" si="144"/>
        <v>0.69923506371070099</v>
      </c>
      <c r="K147" s="1">
        <f t="shared" si="144"/>
        <v>0.51230488246232886</v>
      </c>
      <c r="L147" s="1">
        <f t="shared" ref="L147:O147" si="145">L133-L140</f>
        <v>0.33927414132416439</v>
      </c>
      <c r="M147" s="1">
        <f t="shared" si="145"/>
        <v>0.34966546586011699</v>
      </c>
      <c r="N147" s="1">
        <f t="shared" si="145"/>
        <v>0.3542902556168166</v>
      </c>
      <c r="O147" s="1">
        <f t="shared" si="145"/>
        <v>0.35596223819009609</v>
      </c>
      <c r="P147" s="1">
        <f t="shared" si="141"/>
        <v>0.35763175903633299</v>
      </c>
      <c r="Q147" s="1">
        <f t="shared" si="141"/>
        <v>0.35929824846584452</v>
      </c>
      <c r="S147" s="3"/>
    </row>
    <row r="148" spans="1:19" x14ac:dyDescent="0.5">
      <c r="A148" s="5" t="str">
        <f t="shared" si="68"/>
        <v>STEM</v>
      </c>
      <c r="B148" s="5" t="str">
        <f t="shared" si="69"/>
        <v>SPS1</v>
      </c>
      <c r="C148" s="5" t="str">
        <f t="shared" si="70"/>
        <v>CH</v>
      </c>
      <c r="D148" t="s">
        <v>59</v>
      </c>
      <c r="E148" t="str">
        <f t="shared" si="134"/>
        <v>PJ/yr.</v>
      </c>
      <c r="F148" s="1">
        <f t="shared" ref="F148:K148" si="146">F134-F141</f>
        <v>0</v>
      </c>
      <c r="G148" s="1">
        <f t="shared" si="146"/>
        <v>0</v>
      </c>
      <c r="H148" s="1">
        <f t="shared" si="146"/>
        <v>0</v>
      </c>
      <c r="I148" s="1">
        <f t="shared" si="146"/>
        <v>0</v>
      </c>
      <c r="J148" s="1">
        <f t="shared" si="146"/>
        <v>0</v>
      </c>
      <c r="K148" s="1">
        <f t="shared" si="146"/>
        <v>0.18423842688432579</v>
      </c>
      <c r="L148" s="1">
        <f t="shared" ref="L148:O148" si="147">L134-L141</f>
        <v>0.34966138069845842</v>
      </c>
      <c r="M148" s="1">
        <f t="shared" si="147"/>
        <v>0.35587589331335101</v>
      </c>
      <c r="N148" s="1">
        <f t="shared" si="147"/>
        <v>0.35587582076251517</v>
      </c>
      <c r="O148" s="1">
        <f t="shared" si="147"/>
        <v>0.35587583923412114</v>
      </c>
      <c r="P148" s="1">
        <f t="shared" si="141"/>
        <v>0.35587580955796971</v>
      </c>
      <c r="Q148" s="1">
        <f t="shared" si="141"/>
        <v>0.35587584102656095</v>
      </c>
      <c r="S148" s="3"/>
    </row>
    <row r="149" spans="1:19" x14ac:dyDescent="0.5">
      <c r="A149" s="5" t="str">
        <f t="shared" si="68"/>
        <v>STEM</v>
      </c>
      <c r="B149" s="5" t="str">
        <f t="shared" si="69"/>
        <v>SPS1</v>
      </c>
      <c r="C149" s="5" t="str">
        <f t="shared" si="70"/>
        <v>CH</v>
      </c>
      <c r="D149" t="s">
        <v>54</v>
      </c>
      <c r="E149" t="str">
        <f t="shared" si="134"/>
        <v>PJ/yr.</v>
      </c>
      <c r="F149" s="1">
        <f t="shared" ref="F149:K149" si="148">F135-F142</f>
        <v>0.2300412681563673</v>
      </c>
      <c r="G149" s="1">
        <f t="shared" si="148"/>
        <v>0.23015738910177216</v>
      </c>
      <c r="H149" s="1">
        <f t="shared" si="148"/>
        <v>0.3367057779011039</v>
      </c>
      <c r="I149" s="1">
        <f t="shared" si="148"/>
        <v>0.33294536777593942</v>
      </c>
      <c r="J149" s="1">
        <f t="shared" si="148"/>
        <v>0.32918511329001515</v>
      </c>
      <c r="K149" s="1">
        <f t="shared" si="148"/>
        <v>0.19678762278669815</v>
      </c>
      <c r="L149" s="1">
        <f t="shared" ref="L149:O149" si="149">L135-L142</f>
        <v>6.324127176100072E-5</v>
      </c>
      <c r="M149" s="1">
        <f t="shared" si="149"/>
        <v>3.5045437475376407E-5</v>
      </c>
      <c r="N149" s="1">
        <f t="shared" si="149"/>
        <v>4.5013514105378797E-5</v>
      </c>
      <c r="O149" s="1">
        <f t="shared" si="149"/>
        <v>2.467576172733334E-5</v>
      </c>
      <c r="P149" s="1">
        <f t="shared" si="141"/>
        <v>4.2525744106635084E-5</v>
      </c>
      <c r="Q149" s="1">
        <f t="shared" si="141"/>
        <v>1.8146344697861053E-5</v>
      </c>
      <c r="S149" s="3"/>
    </row>
    <row r="150" spans="1:19" x14ac:dyDescent="0.5">
      <c r="A150" s="5" t="str">
        <f t="shared" ref="A150:A181" si="150">A149</f>
        <v>STEM</v>
      </c>
      <c r="B150" s="5" t="str">
        <f t="shared" ref="B150:B181" si="151">B149</f>
        <v>SPS1</v>
      </c>
      <c r="C150" s="5" t="str">
        <f t="shared" ref="C150:C181" si="152">C149</f>
        <v>CH</v>
      </c>
      <c r="D150" t="s">
        <v>55</v>
      </c>
      <c r="E150" t="str">
        <f t="shared" si="134"/>
        <v>PJ/yr.</v>
      </c>
      <c r="F150" s="1">
        <f t="shared" ref="F150:K150" si="153">F136-F143</f>
        <v>0</v>
      </c>
      <c r="G150" s="1">
        <f t="shared" si="153"/>
        <v>0</v>
      </c>
      <c r="H150" s="1">
        <f t="shared" si="153"/>
        <v>0</v>
      </c>
      <c r="I150" s="1">
        <f t="shared" si="153"/>
        <v>0</v>
      </c>
      <c r="J150" s="1">
        <f t="shared" si="153"/>
        <v>0</v>
      </c>
      <c r="K150" s="1">
        <f t="shared" si="153"/>
        <v>0.1176658357127055</v>
      </c>
      <c r="L150" s="1">
        <f t="shared" ref="L150:O150" si="154">L136-L143</f>
        <v>0.59579998382036614</v>
      </c>
      <c r="M150" s="1">
        <f t="shared" si="154"/>
        <v>0.59292417943252118</v>
      </c>
      <c r="N150" s="1">
        <f t="shared" si="154"/>
        <v>0.59288714452700286</v>
      </c>
      <c r="O150" s="1">
        <f t="shared" si="154"/>
        <v>0.59293568648166306</v>
      </c>
      <c r="P150" s="1">
        <f t="shared" si="141"/>
        <v>0.59291492389289813</v>
      </c>
      <c r="Q150" s="1">
        <f t="shared" si="141"/>
        <v>0.5929475385807873</v>
      </c>
      <c r="S150" s="3"/>
    </row>
    <row r="151" spans="1:19" x14ac:dyDescent="0.5">
      <c r="A151" s="5" t="str">
        <f t="shared" si="150"/>
        <v>STEM</v>
      </c>
      <c r="B151" s="5" t="str">
        <f t="shared" si="151"/>
        <v>SPS1</v>
      </c>
      <c r="C151" s="5" t="str">
        <f t="shared" si="152"/>
        <v>CH</v>
      </c>
      <c r="D151" t="s">
        <v>801</v>
      </c>
      <c r="E151" t="str">
        <f t="shared" si="134"/>
        <v>PJ/yr.</v>
      </c>
      <c r="F151" s="1">
        <f>SUM(F152:F158)</f>
        <v>0.23828684169535491</v>
      </c>
      <c r="G151" s="1">
        <f t="shared" ref="G151:K151" si="155">SUM(G152:G158)</f>
        <v>0.23828551491304797</v>
      </c>
      <c r="H151" s="1">
        <f t="shared" si="155"/>
        <v>1.1425245489162208</v>
      </c>
      <c r="I151" s="1">
        <f t="shared" si="155"/>
        <v>1.5911984466585201</v>
      </c>
      <c r="J151" s="1">
        <f t="shared" si="155"/>
        <v>1.591200989852309</v>
      </c>
      <c r="K151" s="1">
        <f t="shared" si="155"/>
        <v>3.2320152049219968</v>
      </c>
      <c r="L151" s="1">
        <f t="shared" ref="L151:O151" si="156">SUM(L152:L158)</f>
        <v>5.2145135259954705</v>
      </c>
      <c r="M151" s="1">
        <f t="shared" si="156"/>
        <v>5.8867558110138063</v>
      </c>
      <c r="N151" s="1">
        <f t="shared" si="156"/>
        <v>5.8303807459678563</v>
      </c>
      <c r="O151" s="1">
        <f t="shared" si="156"/>
        <v>5.8867556601005022</v>
      </c>
      <c r="P151" s="1">
        <f>SUM(P152:P158)</f>
        <v>5.8698019344575902</v>
      </c>
      <c r="Q151" s="1">
        <f>SUM(Q152:Q158)</f>
        <v>5.886774925741574</v>
      </c>
      <c r="S151" s="3"/>
    </row>
    <row r="152" spans="1:19" x14ac:dyDescent="0.5">
      <c r="A152" s="5" t="str">
        <f t="shared" si="150"/>
        <v>STEM</v>
      </c>
      <c r="B152" s="5" t="str">
        <f t="shared" si="151"/>
        <v>SPS1</v>
      </c>
      <c r="C152" s="5" t="str">
        <f t="shared" si="152"/>
        <v>CH</v>
      </c>
      <c r="D152" t="s">
        <v>66</v>
      </c>
      <c r="E152" t="str">
        <f>E86</f>
        <v>PJ/yr.</v>
      </c>
      <c r="F152" s="1">
        <f>'[1]Electricity and CHPs'!B25</f>
        <v>6.5825573619662611E-2</v>
      </c>
      <c r="G152" s="1">
        <f>'[1]Electricity and CHPs'!C25</f>
        <v>1.113913652158503E-4</v>
      </c>
      <c r="H152" s="1">
        <f>'[1]Electricity and CHPs'!D25</f>
        <v>1.0762145406833663E-2</v>
      </c>
      <c r="I152" s="1">
        <f>'[1]Electricity and CHPs'!E25</f>
        <v>3.7848249755051243E-4</v>
      </c>
      <c r="J152" s="1">
        <f>'[1]Electricity and CHPs'!F25</f>
        <v>6.2088121081391645E-4</v>
      </c>
      <c r="K152" s="1">
        <f>'[1]Electricity and CHPs'!G25</f>
        <v>0.89869155062909212</v>
      </c>
      <c r="L152" s="1">
        <f>'[1]Electricity and CHPs'!H25</f>
        <v>1.2578555870172252</v>
      </c>
      <c r="M152" s="1">
        <f>'[1]Electricity and CHPs'!I25</f>
        <v>1.0606238240911614</v>
      </c>
      <c r="N152" s="1">
        <f>'[1]Electricity and CHPs'!J25</f>
        <v>1.0511314165166132</v>
      </c>
      <c r="O152" s="1">
        <f>'[1]Electricity and CHPs'!K25</f>
        <v>1.0523867536180753</v>
      </c>
      <c r="P152" s="1">
        <f>'[1]Electricity and CHPs'!L25</f>
        <v>1.0518484314340111</v>
      </c>
      <c r="Q152" s="1">
        <f>'[1]Electricity and CHPs'!M25</f>
        <v>1.0520961550474148</v>
      </c>
      <c r="S152" s="3"/>
    </row>
    <row r="153" spans="1:19" x14ac:dyDescent="0.5">
      <c r="A153" s="5" t="str">
        <f t="shared" si="150"/>
        <v>STEM</v>
      </c>
      <c r="B153" s="5" t="str">
        <f t="shared" si="151"/>
        <v>SPS1</v>
      </c>
      <c r="C153" s="5" t="str">
        <f t="shared" si="152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'[1]Electricity and CHPs'!F31</f>
        <v>0</v>
      </c>
      <c r="K153" s="1">
        <f>'[1]Electricity and CHPs'!G31</f>
        <v>1.4627267074867362E-4</v>
      </c>
      <c r="L153" s="1">
        <f>'[1]Electricity and CHPs'!H31</f>
        <v>2.5243081270522161E-2</v>
      </c>
      <c r="M153" s="1">
        <f>'[1]Electricity and CHPs'!I31</f>
        <v>0.43795972370874542</v>
      </c>
      <c r="N153" s="1">
        <f>'[1]Electricity and CHPs'!J31</f>
        <v>0.45039689583182074</v>
      </c>
      <c r="O153" s="1">
        <f>'[1]Electricity and CHPs'!K31</f>
        <v>0.45090436383363547</v>
      </c>
      <c r="P153" s="1">
        <f>'[1]Electricity and CHPs'!L31</f>
        <v>0.45071312205340647</v>
      </c>
      <c r="Q153" s="1">
        <f>'[1]Electricity and CHPs'!M31</f>
        <v>0.45057646345910979</v>
      </c>
      <c r="S153" s="3"/>
    </row>
    <row r="154" spans="1:19" x14ac:dyDescent="0.5">
      <c r="A154" s="5" t="str">
        <f t="shared" si="150"/>
        <v>STEM</v>
      </c>
      <c r="B154" s="5" t="str">
        <f t="shared" si="151"/>
        <v>SPS1</v>
      </c>
      <c r="C154" s="5" t="str">
        <f t="shared" si="152"/>
        <v>CH</v>
      </c>
      <c r="D154" t="s">
        <v>68</v>
      </c>
      <c r="E154" t="str">
        <f>E77</f>
        <v>PJ/yr.</v>
      </c>
      <c r="F154" s="1">
        <f>'[1]Electricity and CHPs'!B42</f>
        <v>0.17246126807569231</v>
      </c>
      <c r="G154" s="1">
        <f>'[1]Electricity and CHPs'!C42</f>
        <v>0.23817412354783213</v>
      </c>
      <c r="H154" s="1">
        <f>'[1]Electricity and CHPs'!D42</f>
        <v>1.1317624035093872</v>
      </c>
      <c r="I154" s="1">
        <f>'[1]Electricity and CHPs'!E42</f>
        <v>1.5900467247938288</v>
      </c>
      <c r="J154" s="1">
        <f>'[1]Electricity and CHPs'!F42</f>
        <v>1.5894016828777582</v>
      </c>
      <c r="K154" s="1">
        <f>'[1]Electricity and CHPs'!G42</f>
        <v>0.63599296185989274</v>
      </c>
      <c r="L154" s="1">
        <f>'[1]Electricity and CHPs'!H42</f>
        <v>0.21472289275339088</v>
      </c>
      <c r="M154" s="1">
        <f>'[1]Electricity and CHPs'!I42</f>
        <v>3.334235045832864E-4</v>
      </c>
      <c r="N154" s="1">
        <f>'[1]Electricity and CHPs'!J42</f>
        <v>3.3361279959143327E-4</v>
      </c>
      <c r="O154" s="1">
        <f>'[1]Electricity and CHPs'!K42</f>
        <v>5.195384837129286E-4</v>
      </c>
      <c r="P154" s="1">
        <f>'[1]Electricity and CHPs'!L42</f>
        <v>3.05509821754741E-4</v>
      </c>
      <c r="Q154" s="1">
        <f>'[1]Electricity and CHPs'!M42</f>
        <v>3.9934267763656954E-4</v>
      </c>
      <c r="S154" s="3"/>
    </row>
    <row r="155" spans="1:19" x14ac:dyDescent="0.5">
      <c r="A155" s="5" t="str">
        <f t="shared" si="150"/>
        <v>STEM</v>
      </c>
      <c r="B155" s="5" t="str">
        <f t="shared" si="151"/>
        <v>SPS1</v>
      </c>
      <c r="C155" s="5" t="str">
        <f t="shared" si="152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'[1]Electricity and CHPs'!F43</f>
        <v>0</v>
      </c>
      <c r="K155" s="1">
        <f>'[1]Electricity and CHPs'!G43</f>
        <v>1.6408064797670174</v>
      </c>
      <c r="L155" s="1">
        <f>'[1]Electricity and CHPs'!H43</f>
        <v>3.6233054437658372</v>
      </c>
      <c r="M155" s="1">
        <f>'[1]Electricity and CHPs'!I43</f>
        <v>4.2955479757675104</v>
      </c>
      <c r="N155" s="1">
        <f>'[1]Electricity and CHPs'!J43</f>
        <v>4.2391773081949378</v>
      </c>
      <c r="O155" s="1">
        <f>'[1]Electricity and CHPs'!K43</f>
        <v>4.2955498471678659</v>
      </c>
      <c r="P155" s="1">
        <f>'[1]Electricity and CHPs'!L43</f>
        <v>4.2785982353192482</v>
      </c>
      <c r="Q155" s="1">
        <f>'[1]Electricity and CHPs'!M43</f>
        <v>4.2955509522021371</v>
      </c>
      <c r="S155" s="3"/>
    </row>
    <row r="156" spans="1:19" x14ac:dyDescent="0.5">
      <c r="A156" s="5" t="str">
        <f t="shared" si="150"/>
        <v>STEM</v>
      </c>
      <c r="B156" s="5" t="str">
        <f t="shared" si="151"/>
        <v>SPS1</v>
      </c>
      <c r="C156" s="5" t="str">
        <f t="shared" si="152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2.1562655422128129E-4</v>
      </c>
      <c r="J156" s="1">
        <f>'[1]Electricity and CHPs'!F50</f>
        <v>3.5902144041362208E-4</v>
      </c>
      <c r="K156" s="1">
        <f>'[1]Electricity and CHPs'!G50</f>
        <v>1.2501916331407381E-3</v>
      </c>
      <c r="L156" s="1">
        <f>'[1]Electricity and CHPs'!H50</f>
        <v>2.4221253469735517E-3</v>
      </c>
      <c r="M156" s="1">
        <f>'[1]Electricity and CHPs'!I50</f>
        <v>2.8034770988487837E-3</v>
      </c>
      <c r="N156" s="1">
        <f>'[1]Electricity and CHPs'!J50</f>
        <v>1.8311879358364675E-3</v>
      </c>
      <c r="O156" s="1">
        <f>'[1]Electricity and CHPs'!K50</f>
        <v>1.1397896267725956E-3</v>
      </c>
      <c r="P156" s="1">
        <f>'[1]Electricity and CHPs'!L50</f>
        <v>1.0760303054151974E-3</v>
      </c>
      <c r="Q156" s="1">
        <f>'[1]Electricity and CHPs'!M50</f>
        <v>1.6756747669847583E-3</v>
      </c>
      <c r="S156" s="3"/>
    </row>
    <row r="157" spans="1:19" x14ac:dyDescent="0.5">
      <c r="A157" s="5" t="str">
        <f t="shared" si="150"/>
        <v>STEM</v>
      </c>
      <c r="B157" s="5" t="str">
        <f t="shared" si="151"/>
        <v>SPS1</v>
      </c>
      <c r="C157" s="5" t="str">
        <f t="shared" si="152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3.1633032701331679E-4</v>
      </c>
      <c r="J157" s="1">
        <f>'[1]Electricity and CHPs'!F53</f>
        <v>5.5999290099706433E-4</v>
      </c>
      <c r="K157" s="1">
        <f>'[1]Electricity and CHPs'!G53</f>
        <v>5.2959123186333425E-2</v>
      </c>
      <c r="L157" s="1">
        <f>'[1]Electricity and CHPs'!H53</f>
        <v>8.8954611377336429E-2</v>
      </c>
      <c r="M157" s="1">
        <f>'[1]Electricity and CHPs'!I53</f>
        <v>8.82440184675298E-2</v>
      </c>
      <c r="N157" s="1">
        <f>'[1]Electricity and CHPs'!J53</f>
        <v>8.6844481640914864E-2</v>
      </c>
      <c r="O157" s="1">
        <f>'[1]Electricity and CHPs'!K53</f>
        <v>8.5551949631043345E-2</v>
      </c>
      <c r="P157" s="1">
        <f>'[1]Electricity and CHPs'!L53</f>
        <v>8.6619479210714403E-2</v>
      </c>
      <c r="Q157" s="1">
        <f>'[1]Electricity and CHPs'!M53</f>
        <v>8.5406835199300535E-2</v>
      </c>
      <c r="S157" s="3"/>
    </row>
    <row r="158" spans="1:19" x14ac:dyDescent="0.5">
      <c r="A158" s="5" t="str">
        <f t="shared" si="150"/>
        <v>STEM</v>
      </c>
      <c r="B158" s="5" t="str">
        <f t="shared" si="151"/>
        <v>SPS1</v>
      </c>
      <c r="C158" s="5" t="str">
        <f t="shared" si="152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2.4128248590611498E-4</v>
      </c>
      <c r="J158" s="1">
        <f>'[1]Electricity and CHPs'!F56</f>
        <v>2.5941142232589726E-4</v>
      </c>
      <c r="K158" s="1">
        <f>'[1]Electricity and CHPs'!G56</f>
        <v>2.1686251757717084E-3</v>
      </c>
      <c r="L158" s="1">
        <f>'[1]Electricity and CHPs'!H56</f>
        <v>2.0097844641842263E-3</v>
      </c>
      <c r="M158" s="1">
        <f>'[1]Electricity and CHPs'!I56</f>
        <v>1.2433683754265136E-3</v>
      </c>
      <c r="N158" s="1">
        <f>'[1]Electricity and CHPs'!J56</f>
        <v>6.6584304814154463E-4</v>
      </c>
      <c r="O158" s="1">
        <f>'[1]Electricity and CHPs'!K56</f>
        <v>7.0341773939620693E-4</v>
      </c>
      <c r="P158" s="1">
        <f>'[1]Electricity and CHPs'!L56</f>
        <v>6.4112631303956703E-4</v>
      </c>
      <c r="Q158" s="1">
        <f>'[1]Electricity and CHPs'!M56</f>
        <v>1.069502388990127E-3</v>
      </c>
      <c r="S158" s="3"/>
    </row>
    <row r="159" spans="1:19" x14ac:dyDescent="0.5">
      <c r="A159" s="5" t="str">
        <f t="shared" si="150"/>
        <v>STEM</v>
      </c>
      <c r="B159" s="5" t="str">
        <f t="shared" si="151"/>
        <v>SPS1</v>
      </c>
      <c r="C159" s="5" t="str">
        <f t="shared" si="152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O159" si="157">G160</f>
        <v>0.54529201541730321</v>
      </c>
      <c r="H159" s="1">
        <f t="shared" si="157"/>
        <v>0.50316461375085242</v>
      </c>
      <c r="I159" s="1">
        <f t="shared" si="157"/>
        <v>2.0502580118443223</v>
      </c>
      <c r="J159" s="1">
        <f t="shared" si="157"/>
        <v>2.6087278270265699</v>
      </c>
      <c r="K159" s="1">
        <f t="shared" si="157"/>
        <v>2.6087303278524723</v>
      </c>
      <c r="L159" s="1">
        <f t="shared" si="157"/>
        <v>3.02629808325768</v>
      </c>
      <c r="M159" s="1">
        <f t="shared" si="157"/>
        <v>3.0263334704456639</v>
      </c>
      <c r="N159" s="1">
        <f t="shared" si="157"/>
        <v>3.0263347098079607</v>
      </c>
      <c r="O159" s="1">
        <f t="shared" si="157"/>
        <v>3.0264180288717606</v>
      </c>
      <c r="P159" s="1">
        <f>P160</f>
        <v>3.0268161257046819</v>
      </c>
      <c r="Q159" s="1">
        <f>Q160</f>
        <v>3.0270610836370531</v>
      </c>
      <c r="S159" s="3"/>
    </row>
    <row r="160" spans="1:19" x14ac:dyDescent="0.5">
      <c r="A160" s="5" t="str">
        <f t="shared" si="150"/>
        <v>STEM</v>
      </c>
      <c r="B160" s="5" t="str">
        <f t="shared" si="151"/>
        <v>SPS1</v>
      </c>
      <c r="C160" s="5" t="str">
        <f t="shared" si="152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0.54529201541730321</v>
      </c>
      <c r="H160" s="1">
        <f>'[1]Electricity and CHPs'!D33</f>
        <v>0.50316461375085242</v>
      </c>
      <c r="I160" s="1">
        <f>'[1]Electricity and CHPs'!E33</f>
        <v>2.0502580118443223</v>
      </c>
      <c r="J160" s="1">
        <f>'[1]Electricity and CHPs'!F33</f>
        <v>2.6087278270265699</v>
      </c>
      <c r="K160" s="1">
        <f>'[1]Electricity and CHPs'!G33</f>
        <v>2.6087303278524723</v>
      </c>
      <c r="L160" s="1">
        <f>'[1]Electricity and CHPs'!H33</f>
        <v>3.02629808325768</v>
      </c>
      <c r="M160" s="1">
        <f>'[1]Electricity and CHPs'!I33</f>
        <v>3.0263334704456639</v>
      </c>
      <c r="N160" s="1">
        <f>'[1]Electricity and CHPs'!J33</f>
        <v>3.0263347098079607</v>
      </c>
      <c r="O160" s="1">
        <f>'[1]Electricity and CHPs'!K33</f>
        <v>3.0264180288717606</v>
      </c>
      <c r="P160" s="1">
        <f>'[1]Electricity and CHPs'!L33</f>
        <v>3.0268161257046819</v>
      </c>
      <c r="Q160" s="1">
        <f>'[1]Electricity and CHPs'!M33</f>
        <v>3.0270610836370531</v>
      </c>
      <c r="S160" s="3"/>
    </row>
    <row r="161" spans="1:19" x14ac:dyDescent="0.5">
      <c r="A161" s="5" t="str">
        <f t="shared" si="150"/>
        <v>STEM</v>
      </c>
      <c r="B161" s="5" t="str">
        <f t="shared" si="151"/>
        <v>SPS1</v>
      </c>
      <c r="C161" s="5" t="str">
        <f t="shared" si="152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8">SUM(G162:G166)</f>
        <v>12.821330483791327</v>
      </c>
      <c r="H161" s="1">
        <f t="shared" si="158"/>
        <v>28.800000863153848</v>
      </c>
      <c r="I161" s="1">
        <f t="shared" si="158"/>
        <v>54.747142053291533</v>
      </c>
      <c r="J161" s="1">
        <f t="shared" si="158"/>
        <v>81.326298072036266</v>
      </c>
      <c r="K161" s="1">
        <f t="shared" si="158"/>
        <v>87.354510227626662</v>
      </c>
      <c r="L161" s="1">
        <f t="shared" ref="L161:O161" si="159">SUM(L162:L166)</f>
        <v>96.367606739289371</v>
      </c>
      <c r="M161" s="1">
        <f t="shared" si="159"/>
        <v>106.01015920767045</v>
      </c>
      <c r="N161" s="1">
        <f t="shared" si="159"/>
        <v>110.41825128779602</v>
      </c>
      <c r="O161" s="1">
        <f t="shared" si="159"/>
        <v>114.47916669640969</v>
      </c>
      <c r="P161" s="1">
        <f>SUM(P162:P166)</f>
        <v>119.49419983720229</v>
      </c>
      <c r="Q161" s="1">
        <f>SUM(Q162:Q166)</f>
        <v>123.76405360681655</v>
      </c>
      <c r="S161" s="3"/>
    </row>
    <row r="162" spans="1:19" x14ac:dyDescent="0.5">
      <c r="A162" s="5" t="str">
        <f t="shared" si="150"/>
        <v>STEM</v>
      </c>
      <c r="B162" s="5" t="str">
        <f t="shared" si="151"/>
        <v>SPS1</v>
      </c>
      <c r="C162" s="5" t="str">
        <f t="shared" si="152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0.15619207185326314</v>
      </c>
      <c r="I162" s="1">
        <f>'[1]Electricity and CHPs'!E34</f>
        <v>0.64200371044621907</v>
      </c>
      <c r="J162" s="1">
        <f>'[1]Electricity and CHPs'!F34</f>
        <v>2.3202395754064646</v>
      </c>
      <c r="K162" s="1">
        <f>'[1]Electricity and CHPs'!G34</f>
        <v>3.0679891737690017</v>
      </c>
      <c r="L162" s="1">
        <f>'[1]Electricity and CHPs'!H34</f>
        <v>7.7816154149580532</v>
      </c>
      <c r="M162" s="1">
        <f>'[1]Electricity and CHPs'!I34</f>
        <v>12.905384321944524</v>
      </c>
      <c r="N162" s="1">
        <f>'[1]Electricity and CHPs'!J34</f>
        <v>12.564192617371187</v>
      </c>
      <c r="O162" s="1">
        <f>'[1]Electricity and CHPs'!K34</f>
        <v>11.633556415844186</v>
      </c>
      <c r="P162" s="1">
        <f>'[1]Electricity and CHPs'!L34</f>
        <v>11.402419710409172</v>
      </c>
      <c r="Q162" s="1">
        <f>'[1]Electricity and CHPs'!M34</f>
        <v>10.158133846573097</v>
      </c>
      <c r="S162" s="3"/>
    </row>
    <row r="163" spans="1:19" x14ac:dyDescent="0.5">
      <c r="A163" s="5" t="str">
        <f t="shared" si="150"/>
        <v>STEM</v>
      </c>
      <c r="B163" s="5" t="str">
        <f t="shared" si="151"/>
        <v>SPS1</v>
      </c>
      <c r="C163" s="5" t="str">
        <f t="shared" si="152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4.8486222317880792</v>
      </c>
      <c r="H163" s="1">
        <f>'[1]Electricity and CHPs'!D35</f>
        <v>11.927075264761642</v>
      </c>
      <c r="I163" s="1">
        <f>'[1]Electricity and CHPs'!E35</f>
        <v>14.11662421317634</v>
      </c>
      <c r="J163" s="1">
        <f>'[1]Electricity and CHPs'!F35</f>
        <v>19.784680653789398</v>
      </c>
      <c r="K163" s="1">
        <f>'[1]Electricity and CHPs'!G35</f>
        <v>20.793899372673938</v>
      </c>
      <c r="L163" s="1">
        <f>'[1]Electricity and CHPs'!H35</f>
        <v>21.854597760987033</v>
      </c>
      <c r="M163" s="1">
        <f>'[1]Electricity and CHPs'!I35</f>
        <v>22.969402308816292</v>
      </c>
      <c r="N163" s="1">
        <f>'[1]Electricity and CHPs'!J35</f>
        <v>24.141072964450984</v>
      </c>
      <c r="O163" s="1">
        <f>'[1]Electricity and CHPs'!K35</f>
        <v>25.372510578218783</v>
      </c>
      <c r="P163" s="1">
        <f>'[1]Electricity and CHPs'!L35</f>
        <v>26.666763841702945</v>
      </c>
      <c r="Q163" s="1">
        <f>'[1]Electricity and CHPs'!M35</f>
        <v>28.027037153395895</v>
      </c>
      <c r="S163" s="3"/>
    </row>
    <row r="164" spans="1:19" x14ac:dyDescent="0.5">
      <c r="A164" s="5" t="str">
        <f t="shared" si="150"/>
        <v>STEM</v>
      </c>
      <c r="B164" s="5" t="str">
        <f t="shared" si="151"/>
        <v>SPS1</v>
      </c>
      <c r="C164" s="5" t="str">
        <f t="shared" si="152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3.3906677965880174</v>
      </c>
      <c r="H164" s="1">
        <f>'[1]Electricity and CHPs'!D36</f>
        <v>4.317899359575466</v>
      </c>
      <c r="I164" s="1">
        <f>'[1]Electricity and CHPs'!E36</f>
        <v>18.917594622614914</v>
      </c>
      <c r="J164" s="1">
        <f>'[1]Electricity and CHPs'!F36</f>
        <v>19.882586928798681</v>
      </c>
      <c r="K164" s="1">
        <f>'[1]Electricity and CHPs'!G36</f>
        <v>20.896798949908288</v>
      </c>
      <c r="L164" s="1">
        <f>'[1]Electricity and CHPs'!H36</f>
        <v>21.962746706891227</v>
      </c>
      <c r="M164" s="1">
        <f>'[1]Electricity and CHPs'!I36</f>
        <v>23.083071197112371</v>
      </c>
      <c r="N164" s="1">
        <f>'[1]Electricity and CHPs'!J36</f>
        <v>24.260541662721149</v>
      </c>
      <c r="O164" s="1">
        <f>'[1]Electricity and CHPs'!K36</f>
        <v>25.498079912401227</v>
      </c>
      <c r="P164" s="1">
        <f>'[1]Electricity and CHPs'!L36</f>
        <v>26.798743556109635</v>
      </c>
      <c r="Q164" s="1">
        <f>'[1]Electricity and CHPs'!M36</f>
        <v>28.166099323931</v>
      </c>
      <c r="S164" s="3"/>
    </row>
    <row r="165" spans="1:19" x14ac:dyDescent="0.5">
      <c r="A165" s="5" t="str">
        <f t="shared" si="150"/>
        <v>STEM</v>
      </c>
      <c r="B165" s="5" t="str">
        <f t="shared" si="151"/>
        <v>SPS1</v>
      </c>
      <c r="C165" s="5" t="str">
        <f t="shared" si="152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1.287585404580073</v>
      </c>
      <c r="H165" s="1">
        <f>'[1]Electricity and CHPs'!D37</f>
        <v>5.8101383398366746</v>
      </c>
      <c r="I165" s="1">
        <f>'[1]Electricity and CHPs'!E37</f>
        <v>13.46065870031693</v>
      </c>
      <c r="J165" s="1">
        <f>'[1]Electricity and CHPs'!F37</f>
        <v>14.147297290901427</v>
      </c>
      <c r="K165" s="1">
        <f>'[1]Electricity and CHPs'!G37</f>
        <v>14.868952473924839</v>
      </c>
      <c r="L165" s="1">
        <f>'[1]Electricity and CHPs'!H37</f>
        <v>15.627420627348634</v>
      </c>
      <c r="M165" s="1">
        <f>'[1]Electricity and CHPs'!I37</f>
        <v>16.424578182911205</v>
      </c>
      <c r="N165" s="1">
        <f>'[1]Electricity and CHPs'!J37</f>
        <v>17.262398113239961</v>
      </c>
      <c r="O165" s="1">
        <f>'[1]Electricity and CHPs'!K37</f>
        <v>18.142956858653015</v>
      </c>
      <c r="P165" s="1">
        <f>'[1]Electricity and CHPs'!L37</f>
        <v>19.068433390353412</v>
      </c>
      <c r="Q165" s="1">
        <f>'[1]Electricity and CHPs'!M37</f>
        <v>20.041134622302931</v>
      </c>
      <c r="S165" s="3"/>
    </row>
    <row r="166" spans="1:19" x14ac:dyDescent="0.5">
      <c r="A166" s="5" t="str">
        <f t="shared" si="150"/>
        <v>STEM</v>
      </c>
      <c r="B166" s="5" t="str">
        <f t="shared" si="151"/>
        <v>SPS1</v>
      </c>
      <c r="C166" s="5" t="str">
        <f t="shared" si="152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3.294455050835158</v>
      </c>
      <c r="H166" s="1">
        <f>'[1]Electricity and CHPs'!D38</f>
        <v>6.5886958271267977</v>
      </c>
      <c r="I166" s="1">
        <f>'[1]Electricity and CHPs'!E38</f>
        <v>7.610260806737136</v>
      </c>
      <c r="J166" s="1">
        <f>'[1]Electricity and CHPs'!F38</f>
        <v>25.191493623140293</v>
      </c>
      <c r="K166" s="1">
        <f>'[1]Electricity and CHPs'!G38</f>
        <v>27.726870257350591</v>
      </c>
      <c r="L166" s="1">
        <f>'[1]Electricity and CHPs'!H38</f>
        <v>29.141226229104419</v>
      </c>
      <c r="M166" s="1">
        <f>'[1]Electricity and CHPs'!I38</f>
        <v>30.62772319688607</v>
      </c>
      <c r="N166" s="1">
        <f>'[1]Electricity and CHPs'!J38</f>
        <v>32.190045930012744</v>
      </c>
      <c r="O166" s="1">
        <f>'[1]Electricity and CHPs'!K38</f>
        <v>33.832062931292477</v>
      </c>
      <c r="P166" s="1">
        <f>'[1]Electricity and CHPs'!L38</f>
        <v>35.557839338627119</v>
      </c>
      <c r="Q166" s="1">
        <f>'[1]Electricity and CHPs'!M38</f>
        <v>37.371648660613616</v>
      </c>
      <c r="S166" s="3"/>
    </row>
    <row r="167" spans="1:19" x14ac:dyDescent="0.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'[1]Electricity and CHPs'!F32</f>
        <v>0</v>
      </c>
      <c r="K167" s="1">
        <f>'[1]Electricity and CHPs'!G32</f>
        <v>0</v>
      </c>
      <c r="L167" s="1">
        <f>'[1]Electricity and CHPs'!H32</f>
        <v>8.3358520273324761E-3</v>
      </c>
      <c r="M167" s="1">
        <f>'[1]Electricity and CHPs'!I32</f>
        <v>8.3877235679145623E-3</v>
      </c>
      <c r="N167" s="1">
        <f>'[1]Electricity and CHPs'!J32</f>
        <v>8.3917018339525126E-3</v>
      </c>
      <c r="O167" s="1">
        <f>'[1]Electricity and CHPs'!K32</f>
        <v>8.3947143860961856E-3</v>
      </c>
      <c r="P167" s="1">
        <f>'[1]Electricity and CHPs'!L32</f>
        <v>8.4257902671997422E-3</v>
      </c>
      <c r="Q167" s="1">
        <f>'[1]Electricity and CHPs'!M32</f>
        <v>8.5744288931562419E-3</v>
      </c>
      <c r="S167" s="3"/>
    </row>
    <row r="168" spans="1:19" x14ac:dyDescent="0.5">
      <c r="A168" s="5" t="str">
        <f t="shared" ref="A168" si="160">A167</f>
        <v>STEM</v>
      </c>
      <c r="B168" s="5" t="str">
        <f t="shared" ref="B168" si="161">B167</f>
        <v>SPS1</v>
      </c>
      <c r="C168" s="5" t="str">
        <f t="shared" ref="C168" si="162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63">G167</f>
        <v>0</v>
      </c>
      <c r="H168" s="1">
        <f t="shared" si="163"/>
        <v>0</v>
      </c>
      <c r="I168" s="1">
        <f t="shared" si="163"/>
        <v>0</v>
      </c>
      <c r="J168" s="1">
        <f t="shared" si="163"/>
        <v>0</v>
      </c>
      <c r="K168" s="1">
        <f t="shared" si="163"/>
        <v>0</v>
      </c>
      <c r="L168" s="1">
        <f t="shared" ref="L168:O168" si="164">L167</f>
        <v>8.3358520273324761E-3</v>
      </c>
      <c r="M168" s="1">
        <f t="shared" si="164"/>
        <v>8.3877235679145623E-3</v>
      </c>
      <c r="N168" s="1">
        <f t="shared" si="164"/>
        <v>8.3917018339525126E-3</v>
      </c>
      <c r="O168" s="1">
        <f t="shared" si="164"/>
        <v>8.3947143860961856E-3</v>
      </c>
      <c r="P168" s="1">
        <f>P167</f>
        <v>8.4257902671997422E-3</v>
      </c>
      <c r="Q168" s="1">
        <f>Q167</f>
        <v>8.5744288931562419E-3</v>
      </c>
      <c r="S168" s="3"/>
    </row>
    <row r="169" spans="1:19" x14ac:dyDescent="0.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65">SUM(F170:F172)</f>
        <v>0</v>
      </c>
      <c r="G169" s="1">
        <f t="shared" si="165"/>
        <v>0</v>
      </c>
      <c r="H169" s="1">
        <f t="shared" si="165"/>
        <v>0</v>
      </c>
      <c r="I169" s="1">
        <f t="shared" si="165"/>
        <v>3.0210900305031622E-3</v>
      </c>
      <c r="J169" s="1">
        <f t="shared" si="165"/>
        <v>0.68033608208517282</v>
      </c>
      <c r="K169" s="1">
        <f t="shared" si="165"/>
        <v>3.641374456982744</v>
      </c>
      <c r="L169" s="1">
        <f t="shared" ref="L169:O169" si="166">SUM(L170:L172)</f>
        <v>4.8690602444972937</v>
      </c>
      <c r="M169" s="1">
        <f t="shared" si="166"/>
        <v>5.9927263845153895</v>
      </c>
      <c r="N169" s="1">
        <f t="shared" si="166"/>
        <v>6.0053102053158343</v>
      </c>
      <c r="O169" s="1">
        <f t="shared" si="166"/>
        <v>6.0051777991437216</v>
      </c>
      <c r="P169" s="1">
        <f>SUM(P170:P172)</f>
        <v>5.9895985815494228</v>
      </c>
      <c r="Q169" s="1">
        <f>SUM(Q170:Q172)</f>
        <v>6.0462687084486557</v>
      </c>
      <c r="S169" s="3"/>
    </row>
    <row r="170" spans="1:19" x14ac:dyDescent="0.5">
      <c r="A170" s="5" t="str">
        <f t="shared" si="150"/>
        <v>STEM</v>
      </c>
      <c r="B170" s="5" t="str">
        <f t="shared" si="151"/>
        <v>SPS1</v>
      </c>
      <c r="C170" s="5" t="str">
        <f t="shared" si="152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'[1]Electricity and CHPs'!F30</f>
        <v>0</v>
      </c>
      <c r="K170" s="1">
        <f>'[1]Electricity and CHPs'!G30</f>
        <v>0.27207118109220191</v>
      </c>
      <c r="L170" s="1">
        <f>'[1]Electricity and CHPs'!H30</f>
        <v>0.76610780447809179</v>
      </c>
      <c r="M170" s="1">
        <f>'[1]Electricity and CHPs'!I30</f>
        <v>1.131861465879255</v>
      </c>
      <c r="N170" s="1">
        <f>'[1]Electricity and CHPs'!J30</f>
        <v>1.1326722663625644</v>
      </c>
      <c r="O170" s="1">
        <f>'[1]Electricity and CHPs'!K30</f>
        <v>1.1330299895149512</v>
      </c>
      <c r="P170" s="1">
        <f>'[1]Electricity and CHPs'!L30</f>
        <v>1.1330304581354413</v>
      </c>
      <c r="Q170" s="1">
        <f>'[1]Electricity and CHPs'!M30</f>
        <v>1.1331509379214393</v>
      </c>
      <c r="S170" s="3"/>
    </row>
    <row r="171" spans="1:19" x14ac:dyDescent="0.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2.5731122505309179E-3</v>
      </c>
      <c r="J171" s="1">
        <f>'[1]Electricity and CHPs'!F46</f>
        <v>0.67865945031001174</v>
      </c>
      <c r="K171" s="1">
        <f>'[1]Electricity and CHPs'!G46</f>
        <v>3.3667071685303029</v>
      </c>
      <c r="L171" s="1">
        <f>'[1]Electricity and CHPs'!H46</f>
        <v>4.0998599840379519</v>
      </c>
      <c r="M171" s="1">
        <f>'[1]Electricity and CHPs'!I46</f>
        <v>4.844904172368377</v>
      </c>
      <c r="N171" s="1">
        <f>'[1]Electricity and CHPs'!J46</f>
        <v>4.8449072809991547</v>
      </c>
      <c r="O171" s="1">
        <f>'[1]Electricity and CHPs'!K46</f>
        <v>4.8449066965237124</v>
      </c>
      <c r="P171" s="1">
        <f>'[1]Electricity and CHPs'!L46</f>
        <v>4.8449073393689117</v>
      </c>
      <c r="Q171" s="1">
        <f>'[1]Electricity and CHPs'!M46</f>
        <v>4.8449084426978821</v>
      </c>
      <c r="S171" s="3"/>
    </row>
    <row r="172" spans="1:19" x14ac:dyDescent="0.5">
      <c r="A172" s="5" t="str">
        <f t="shared" si="150"/>
        <v>STEM</v>
      </c>
      <c r="B172" s="5" t="str">
        <f t="shared" si="151"/>
        <v>SPS1</v>
      </c>
      <c r="C172" s="5" t="str">
        <f t="shared" si="152"/>
        <v>CH</v>
      </c>
      <c r="D172" t="s">
        <v>234</v>
      </c>
      <c r="E172" t="str">
        <f t="shared" ref="E172:E180" si="167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4.4797777997224452E-4</v>
      </c>
      <c r="J172" s="1">
        <f>'[1]Electricity and CHPs'!F57</f>
        <v>1.6766317751610532E-3</v>
      </c>
      <c r="K172" s="1">
        <f>'[1]Electricity and CHPs'!G57</f>
        <v>2.5961073602389006E-3</v>
      </c>
      <c r="L172" s="1">
        <f>'[1]Electricity and CHPs'!H57</f>
        <v>3.0924559812498136E-3</v>
      </c>
      <c r="M172" s="1">
        <f>'[1]Electricity and CHPs'!I57</f>
        <v>1.5960746267757234E-2</v>
      </c>
      <c r="N172" s="1">
        <f>'[1]Electricity and CHPs'!J57</f>
        <v>2.7730657954115466E-2</v>
      </c>
      <c r="O172" s="1">
        <f>'[1]Electricity and CHPs'!K57</f>
        <v>2.7241113105057752E-2</v>
      </c>
      <c r="P172" s="1">
        <f>'[1]Electricity and CHPs'!L57</f>
        <v>1.1660784045069881E-2</v>
      </c>
      <c r="Q172" s="1">
        <f>'[1]Electricity and CHPs'!M57</f>
        <v>6.8209327829334546E-2</v>
      </c>
      <c r="S172" s="3"/>
    </row>
    <row r="173" spans="1:19" x14ac:dyDescent="0.5">
      <c r="A173" s="5" t="str">
        <f t="shared" si="150"/>
        <v>STEM</v>
      </c>
      <c r="B173" s="5" t="str">
        <f t="shared" si="151"/>
        <v>SPS1</v>
      </c>
      <c r="C173" s="5" t="str">
        <f t="shared" si="152"/>
        <v>CH</v>
      </c>
      <c r="D173" t="s">
        <v>806</v>
      </c>
      <c r="E173" t="str">
        <f t="shared" si="167"/>
        <v>PJ/yr.</v>
      </c>
      <c r="F173" s="1">
        <f>SUM(F174:F180)</f>
        <v>9.8300972009867246E-2</v>
      </c>
      <c r="G173" s="1">
        <f t="shared" ref="G173:K173" si="168">SUM(G174:G180)</f>
        <v>1.0695257418889237E-2</v>
      </c>
      <c r="H173" s="1">
        <f t="shared" si="168"/>
        <v>8.4894118075744762E-2</v>
      </c>
      <c r="I173" s="1">
        <f t="shared" si="168"/>
        <v>0.21112971075185402</v>
      </c>
      <c r="J173" s="1">
        <f t="shared" si="168"/>
        <v>1.2318631084351828</v>
      </c>
      <c r="K173" s="1">
        <f t="shared" si="168"/>
        <v>1.6189478383881486</v>
      </c>
      <c r="L173" s="1">
        <f t="shared" ref="L173:O173" si="169">SUM(L174:L180)</f>
        <v>2.6693863828337658</v>
      </c>
      <c r="M173" s="1">
        <f t="shared" si="169"/>
        <v>3.8660612838053172</v>
      </c>
      <c r="N173" s="1">
        <f t="shared" si="169"/>
        <v>5.386945025690526</v>
      </c>
      <c r="O173" s="1">
        <f t="shared" si="169"/>
        <v>5.4171925585087548</v>
      </c>
      <c r="P173" s="1">
        <f>SUM(P174:P180)</f>
        <v>5.922329718065237</v>
      </c>
      <c r="Q173" s="1">
        <f>SUM(Q174:Q180)</f>
        <v>6.4859337427576165</v>
      </c>
      <c r="S173" s="3"/>
    </row>
    <row r="174" spans="1:19" x14ac:dyDescent="0.5">
      <c r="A174" s="5" t="str">
        <f t="shared" si="150"/>
        <v>STEM</v>
      </c>
      <c r="B174" s="5" t="str">
        <f t="shared" si="151"/>
        <v>SPS1</v>
      </c>
      <c r="C174" s="5" t="str">
        <f t="shared" si="152"/>
        <v>CH</v>
      </c>
      <c r="D174" t="s">
        <v>79</v>
      </c>
      <c r="E174" t="str">
        <f t="shared" si="167"/>
        <v>PJ/yr.</v>
      </c>
      <c r="F174" s="1">
        <f>'[1]Electricity and CHPs'!B70</f>
        <v>9.4508217838747174E-2</v>
      </c>
      <c r="G174" s="1">
        <f>'[1]Electricity and CHPs'!C70</f>
        <v>7.2899756046386661E-3</v>
      </c>
      <c r="H174" s="1">
        <f>'[1]Electricity and CHPs'!D70</f>
        <v>8.1130065720600608E-2</v>
      </c>
      <c r="I174" s="1">
        <f>'[1]Electricity and CHPs'!E70</f>
        <v>4.4301428067518932E-2</v>
      </c>
      <c r="J174" s="1">
        <f>'[1]Electricity and CHPs'!F70</f>
        <v>3.4340610071854988E-2</v>
      </c>
      <c r="K174" s="1">
        <f>'[1]Electricity and CHPs'!G70</f>
        <v>2.4005100947742643E-2</v>
      </c>
      <c r="L174" s="1">
        <f>'[1]Electricity and CHPs'!H70</f>
        <v>2.7802789759560995E-2</v>
      </c>
      <c r="M174" s="1">
        <f>'[1]Electricity and CHPs'!I70</f>
        <v>9.4480333081112339E-2</v>
      </c>
      <c r="N174" s="1">
        <f>'[1]Electricity and CHPs'!J70</f>
        <v>9.4498044153493888E-2</v>
      </c>
      <c r="O174" s="1">
        <f>'[1]Electricity and CHPs'!K70</f>
        <v>9.4495897155678604E-2</v>
      </c>
      <c r="P174" s="1">
        <f>'[1]Electricity and CHPs'!L70</f>
        <v>9.4495799488665225E-2</v>
      </c>
      <c r="Q174" s="1">
        <f>'[1]Electricity and CHPs'!M70</f>
        <v>9.4496025685118903E-2</v>
      </c>
      <c r="S174" s="3"/>
    </row>
    <row r="175" spans="1:19" x14ac:dyDescent="0.5">
      <c r="A175" s="5" t="str">
        <f t="shared" si="150"/>
        <v>STEM</v>
      </c>
      <c r="B175" s="5" t="str">
        <f t="shared" si="151"/>
        <v>SPS1</v>
      </c>
      <c r="C175" s="5" t="str">
        <f t="shared" si="152"/>
        <v>CH</v>
      </c>
      <c r="D175" t="s">
        <v>80</v>
      </c>
      <c r="E175" t="str">
        <f t="shared" si="167"/>
        <v>PJ/yr.</v>
      </c>
      <c r="F175" s="1">
        <f>'[1]Electricity and CHPs'!B71</f>
        <v>1.0329958047662487E-3</v>
      </c>
      <c r="G175" s="1">
        <f>'[1]Electricity and CHPs'!C71</f>
        <v>8.2877843048332299E-4</v>
      </c>
      <c r="H175" s="1">
        <f>'[1]Electricity and CHPs'!D71</f>
        <v>1.0194886159321718E-3</v>
      </c>
      <c r="I175" s="1">
        <f>'[1]Electricity and CHPs'!E71</f>
        <v>1.0303401656017925E-3</v>
      </c>
      <c r="J175" s="1">
        <f>'[1]Electricity and CHPs'!F71</f>
        <v>0.7834310770354701</v>
      </c>
      <c r="K175" s="1">
        <f>'[1]Electricity and CHPs'!G71</f>
        <v>1.1008340934030159</v>
      </c>
      <c r="L175" s="1">
        <f>'[1]Electricity and CHPs'!H71</f>
        <v>1.1010482848954182</v>
      </c>
      <c r="M175" s="1">
        <f>'[1]Electricity and CHPs'!I71</f>
        <v>1.5002443913590482</v>
      </c>
      <c r="N175" s="1">
        <f>'[1]Electricity and CHPs'!J71</f>
        <v>1.7442987381446133</v>
      </c>
      <c r="O175" s="1">
        <f>'[1]Electricity and CHPs'!K71</f>
        <v>1.7853183029090101</v>
      </c>
      <c r="P175" s="1">
        <f>'[1]Electricity and CHPs'!L71</f>
        <v>1.9884892842262727</v>
      </c>
      <c r="Q175" s="1">
        <f>'[1]Electricity and CHPs'!M71</f>
        <v>2.0179202523231008</v>
      </c>
      <c r="S175" s="3"/>
    </row>
    <row r="176" spans="1:19" x14ac:dyDescent="0.5">
      <c r="A176" s="5" t="str">
        <f t="shared" si="150"/>
        <v>STEM</v>
      </c>
      <c r="B176" s="5" t="str">
        <f t="shared" si="151"/>
        <v>SPS1</v>
      </c>
      <c r="C176" s="5" t="str">
        <f t="shared" si="152"/>
        <v>CH</v>
      </c>
      <c r="D176" t="s">
        <v>81</v>
      </c>
      <c r="E176" t="str">
        <f t="shared" si="167"/>
        <v>PJ/yr.</v>
      </c>
      <c r="F176" s="1">
        <f>'[1]Electricity and CHPs'!B72</f>
        <v>9.3815147459513709E-4</v>
      </c>
      <c r="G176" s="1">
        <f>'[1]Electricity and CHPs'!C72</f>
        <v>7.5613276214147478E-4</v>
      </c>
      <c r="H176" s="1">
        <f>'[1]Electricity and CHPs'!D72</f>
        <v>9.1853707396935297E-4</v>
      </c>
      <c r="I176" s="1">
        <f>'[1]Electricity and CHPs'!E72</f>
        <v>9.6869787214046068E-4</v>
      </c>
      <c r="J176" s="1">
        <f>'[1]Electricity and CHPs'!F72</f>
        <v>1.2561646898472055E-2</v>
      </c>
      <c r="K176" s="1">
        <f>'[1]Electricity and CHPs'!G72</f>
        <v>1.8302360848023003E-2</v>
      </c>
      <c r="L176" s="1">
        <f>'[1]Electricity and CHPs'!H72</f>
        <v>1.0666244012692276</v>
      </c>
      <c r="M176" s="1">
        <f>'[1]Electricity and CHPs'!I72</f>
        <v>1.6805950604913313</v>
      </c>
      <c r="N176" s="1">
        <f>'[1]Electricity and CHPs'!J72</f>
        <v>2.8492944700224276</v>
      </c>
      <c r="O176" s="1">
        <f>'[1]Electricity and CHPs'!K72</f>
        <v>2.8035916191934671</v>
      </c>
      <c r="P176" s="1">
        <f>'[1]Electricity and CHPs'!L72</f>
        <v>3.1060357056832966</v>
      </c>
      <c r="Q176" s="1">
        <f>'[1]Electricity and CHPs'!M72</f>
        <v>3.5616835515549656</v>
      </c>
      <c r="S176" s="3"/>
    </row>
    <row r="177" spans="1:19" x14ac:dyDescent="0.5">
      <c r="A177" s="5" t="str">
        <f t="shared" si="150"/>
        <v>STEM</v>
      </c>
      <c r="B177" s="5" t="str">
        <f t="shared" si="151"/>
        <v>SPS1</v>
      </c>
      <c r="C177" s="5" t="str">
        <f t="shared" si="152"/>
        <v>CH</v>
      </c>
      <c r="D177" t="s">
        <v>82</v>
      </c>
      <c r="E177" t="str">
        <f t="shared" si="167"/>
        <v>PJ/yr.</v>
      </c>
      <c r="F177" s="1">
        <f>'[1]Electricity and CHPs'!B73</f>
        <v>3.0265920242216951E-4</v>
      </c>
      <c r="G177" s="1">
        <f>'[1]Electricity and CHPs'!C73</f>
        <v>3.0245531761112049E-4</v>
      </c>
      <c r="H177" s="1">
        <f>'[1]Electricity and CHPs'!D73</f>
        <v>3.0340396600480137E-4</v>
      </c>
      <c r="I177" s="1">
        <f>'[1]Electricity and CHPs'!E73</f>
        <v>7.6771122307751433E-2</v>
      </c>
      <c r="J177" s="1">
        <f>'[1]Electricity and CHPs'!F73</f>
        <v>0.20619285648349897</v>
      </c>
      <c r="K177" s="1">
        <f>'[1]Electricity and CHPs'!G73</f>
        <v>0.33468630998116028</v>
      </c>
      <c r="L177" s="1">
        <f>'[1]Electricity and CHPs'!H73</f>
        <v>0.36784099512709095</v>
      </c>
      <c r="M177" s="1">
        <f>'[1]Electricity and CHPs'!I73</f>
        <v>0.28521232695389376</v>
      </c>
      <c r="N177" s="1">
        <f>'[1]Electricity and CHPs'!J73</f>
        <v>0.42325574147540512</v>
      </c>
      <c r="O177" s="1">
        <f>'[1]Electricity and CHPs'!K73</f>
        <v>0.47700929720892549</v>
      </c>
      <c r="P177" s="1">
        <f>'[1]Electricity and CHPs'!L73</f>
        <v>0.44925984359674653</v>
      </c>
      <c r="Q177" s="1">
        <f>'[1]Electricity and CHPs'!M73</f>
        <v>0.40293265726838307</v>
      </c>
      <c r="S177" s="3"/>
    </row>
    <row r="178" spans="1:19" x14ac:dyDescent="0.5">
      <c r="A178" s="5" t="str">
        <f t="shared" si="150"/>
        <v>STEM</v>
      </c>
      <c r="B178" s="5" t="str">
        <f t="shared" si="151"/>
        <v>SPS1</v>
      </c>
      <c r="C178" s="5" t="str">
        <f t="shared" si="152"/>
        <v>CH</v>
      </c>
      <c r="D178" t="s">
        <v>1852</v>
      </c>
      <c r="E178" t="str">
        <f t="shared" si="167"/>
        <v>PJ/yr.</v>
      </c>
      <c r="F178" s="1">
        <f>'[1]Electricity and CHPs'!B74</f>
        <v>6.0768191781202462E-4</v>
      </c>
      <c r="G178" s="1">
        <f>'[1]Electricity and CHPs'!C74</f>
        <v>6.0726879309636733E-4</v>
      </c>
      <c r="H178" s="1">
        <f>'[1]Electricity and CHPs'!D74</f>
        <v>6.0920951656065535E-4</v>
      </c>
      <c r="I178" s="1">
        <f>'[1]Electricity and CHPs'!E74</f>
        <v>2.4128273911752804E-2</v>
      </c>
      <c r="J178" s="1">
        <f>'[1]Electricity and CHPs'!F74</f>
        <v>3.7392712349514481E-2</v>
      </c>
      <c r="K178" s="1">
        <f>'[1]Electricity and CHPs'!G74</f>
        <v>2.5160708888050928E-2</v>
      </c>
      <c r="L178" s="1">
        <f>'[1]Electricity and CHPs'!H74</f>
        <v>3.543431106816812E-2</v>
      </c>
      <c r="M178" s="1">
        <f>'[1]Electricity and CHPs'!I74</f>
        <v>4.6523323468268325E-2</v>
      </c>
      <c r="N178" s="1">
        <f>'[1]Electricity and CHPs'!J74</f>
        <v>2.9972828176240876E-2</v>
      </c>
      <c r="O178" s="1">
        <f>'[1]Electricity and CHPs'!K74</f>
        <v>4.9842778659879433E-2</v>
      </c>
      <c r="P178" s="1">
        <f>'[1]Electricity and CHPs'!L74</f>
        <v>4.7216466707786744E-2</v>
      </c>
      <c r="Q178" s="1">
        <f>'[1]Electricity and CHPs'!M74</f>
        <v>7.6662728598738905E-2</v>
      </c>
      <c r="S178" s="3"/>
    </row>
    <row r="179" spans="1:19" x14ac:dyDescent="0.5">
      <c r="A179" s="5" t="str">
        <f t="shared" si="150"/>
        <v>STEM</v>
      </c>
      <c r="B179" s="5" t="str">
        <f t="shared" si="151"/>
        <v>SPS1</v>
      </c>
      <c r="C179" s="5" t="str">
        <f t="shared" si="152"/>
        <v>CH</v>
      </c>
      <c r="D179" t="s">
        <v>83</v>
      </c>
      <c r="E179" t="str">
        <f t="shared" si="167"/>
        <v>PJ/yr.</v>
      </c>
      <c r="F179" s="1">
        <f>'[1]Electricity and CHPs'!B75</f>
        <v>6.0744168834381371E-4</v>
      </c>
      <c r="G179" s="1">
        <f>'[1]Electricity and CHPs'!C75</f>
        <v>6.0702454627620695E-4</v>
      </c>
      <c r="H179" s="1">
        <f>'[1]Electricity and CHPs'!D75</f>
        <v>6.0888513524597608E-4</v>
      </c>
      <c r="I179" s="1">
        <f>'[1]Electricity and CHPs'!E75</f>
        <v>3.9341439093620506E-2</v>
      </c>
      <c r="J179" s="1">
        <f>'[1]Electricity and CHPs'!F75</f>
        <v>7.7830539230980864E-2</v>
      </c>
      <c r="K179" s="1">
        <f>'[1]Electricity and CHPs'!G75</f>
        <v>6.0906302106327193E-2</v>
      </c>
      <c r="L179" s="1">
        <f>'[1]Electricity and CHPs'!H75</f>
        <v>4.2300480994044043E-2</v>
      </c>
      <c r="M179" s="1">
        <f>'[1]Electricity and CHPs'!I75</f>
        <v>0.12471885274290062</v>
      </c>
      <c r="N179" s="1">
        <f>'[1]Electricity and CHPs'!J75</f>
        <v>0.11277915204497077</v>
      </c>
      <c r="O179" s="1">
        <f>'[1]Electricity and CHPs'!K75</f>
        <v>0.11090881012968179</v>
      </c>
      <c r="P179" s="1">
        <f>'[1]Electricity and CHPs'!L75</f>
        <v>0.12109404678329475</v>
      </c>
      <c r="Q179" s="1">
        <f>'[1]Electricity and CHPs'!M75</f>
        <v>0.18460358521630049</v>
      </c>
      <c r="S179" s="3"/>
    </row>
    <row r="180" spans="1:19" x14ac:dyDescent="0.5">
      <c r="A180" s="5" t="str">
        <f t="shared" si="150"/>
        <v>STEM</v>
      </c>
      <c r="B180" s="5" t="str">
        <f t="shared" si="151"/>
        <v>SPS1</v>
      </c>
      <c r="C180" s="5" t="str">
        <f t="shared" si="152"/>
        <v>CH</v>
      </c>
      <c r="D180" t="s">
        <v>87</v>
      </c>
      <c r="E180" t="str">
        <f t="shared" si="167"/>
        <v>PJ/yr.</v>
      </c>
      <c r="F180" s="1">
        <f>'[1]Electricity and CHPs'!B76</f>
        <v>3.0382408318067427E-4</v>
      </c>
      <c r="G180" s="1">
        <f>'[1]Electricity and CHPs'!C76</f>
        <v>3.0362196464207928E-4</v>
      </c>
      <c r="H180" s="1">
        <f>'[1]Electricity and CHPs'!D76</f>
        <v>3.0452804743120435E-4</v>
      </c>
      <c r="I180" s="1">
        <f>'[1]Electricity and CHPs'!E76</f>
        <v>2.4588409333468095E-2</v>
      </c>
      <c r="J180" s="1">
        <f>'[1]Electricity and CHPs'!F76</f>
        <v>8.0113666365391287E-2</v>
      </c>
      <c r="K180" s="1">
        <f>'[1]Electricity and CHPs'!G76</f>
        <v>5.5052962213828494E-2</v>
      </c>
      <c r="L180" s="1">
        <f>'[1]Electricity and CHPs'!H76</f>
        <v>2.8335119720255514E-2</v>
      </c>
      <c r="M180" s="1">
        <f>'[1]Electricity and CHPs'!I76</f>
        <v>0.13428699570876287</v>
      </c>
      <c r="N180" s="1">
        <f>'[1]Electricity and CHPs'!J76</f>
        <v>0.13284605167337393</v>
      </c>
      <c r="O180" s="1">
        <f>'[1]Electricity and CHPs'!K76</f>
        <v>9.602585325211177E-2</v>
      </c>
      <c r="P180" s="1">
        <f>'[1]Electricity and CHPs'!L76</f>
        <v>0.11573857157917368</v>
      </c>
      <c r="Q180" s="1">
        <f>'[1]Electricity and CHPs'!M76</f>
        <v>0.14763494211100861</v>
      </c>
      <c r="S180" s="3"/>
    </row>
    <row r="181" spans="1:19" x14ac:dyDescent="0.5">
      <c r="A181" s="9" t="str">
        <f t="shared" si="150"/>
        <v>STEM</v>
      </c>
      <c r="B181" s="9" t="str">
        <f t="shared" si="151"/>
        <v>SPS1</v>
      </c>
      <c r="C181" s="2" t="str">
        <f t="shared" si="152"/>
        <v>CH</v>
      </c>
      <c r="D181" s="2" t="s">
        <v>152</v>
      </c>
      <c r="E181" s="2" t="str">
        <f>E169</f>
        <v>PJ/yr.</v>
      </c>
      <c r="F181" s="3">
        <f>SUM(F182,F233)</f>
        <v>31.007409227657334</v>
      </c>
      <c r="G181" s="3">
        <f t="shared" ref="G181:K181" si="170">SUM(G182,G233)</f>
        <v>36.917952045201886</v>
      </c>
      <c r="H181" s="3">
        <f t="shared" si="170"/>
        <v>38.064539641999801</v>
      </c>
      <c r="I181" s="3">
        <f t="shared" si="170"/>
        <v>34.415408786639951</v>
      </c>
      <c r="J181" s="3">
        <f t="shared" si="170"/>
        <v>33.910123271385416</v>
      </c>
      <c r="K181" s="3">
        <f t="shared" si="170"/>
        <v>36.001521087146273</v>
      </c>
      <c r="L181" s="3">
        <f t="shared" ref="L181:O181" si="171">SUM(L182,L233)</f>
        <v>40.923535918922255</v>
      </c>
      <c r="M181" s="3">
        <f t="shared" si="171"/>
        <v>45.154602801881396</v>
      </c>
      <c r="N181" s="3">
        <f t="shared" si="171"/>
        <v>45.642531804137441</v>
      </c>
      <c r="O181" s="3">
        <f t="shared" si="171"/>
        <v>54.286951974855711</v>
      </c>
      <c r="P181" s="3">
        <f>SUM(P182,P233)</f>
        <v>58.016516507835775</v>
      </c>
      <c r="Q181" s="3">
        <f>SUM(Q182,Q233)</f>
        <v>61.825520827250841</v>
      </c>
      <c r="S181" s="3"/>
    </row>
    <row r="182" spans="1:19" x14ac:dyDescent="0.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72">F183+F210</f>
        <v>24.507883818156881</v>
      </c>
      <c r="G182" s="1">
        <f t="shared" si="172"/>
        <v>29.277409643019428</v>
      </c>
      <c r="H182" s="1">
        <f t="shared" si="172"/>
        <v>29.068004740818406</v>
      </c>
      <c r="I182" s="1">
        <f t="shared" si="172"/>
        <v>24.080642425312696</v>
      </c>
      <c r="J182" s="1">
        <f t="shared" si="172"/>
        <v>24.106759632107895</v>
      </c>
      <c r="K182" s="1">
        <f t="shared" si="172"/>
        <v>24.427006711199297</v>
      </c>
      <c r="L182" s="1">
        <f t="shared" ref="L182:O182" si="173">L183+L210</f>
        <v>24.735612067453971</v>
      </c>
      <c r="M182" s="1">
        <f t="shared" si="173"/>
        <v>27.150697008115486</v>
      </c>
      <c r="N182" s="1">
        <f t="shared" si="173"/>
        <v>27.357910941857728</v>
      </c>
      <c r="O182" s="1">
        <f t="shared" si="173"/>
        <v>35.226827380837662</v>
      </c>
      <c r="P182" s="1">
        <f>P183+P210</f>
        <v>37.862001242564318</v>
      </c>
      <c r="Q182" s="1">
        <f>Q183+Q210</f>
        <v>40.572200178111544</v>
      </c>
      <c r="S182" s="3"/>
    </row>
    <row r="183" spans="1:19" x14ac:dyDescent="0.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74">SUM(F185,F189,F190,F198,F199,F207,F209)</f>
        <v>16.732086951935788</v>
      </c>
      <c r="G183" s="1">
        <f t="shared" si="174"/>
        <v>13.3006574208848</v>
      </c>
      <c r="H183" s="1">
        <f t="shared" si="174"/>
        <v>13.383693399055378</v>
      </c>
      <c r="I183" s="1">
        <f t="shared" si="174"/>
        <v>12.78116223118767</v>
      </c>
      <c r="J183" s="1">
        <f t="shared" si="174"/>
        <v>12.344832929655009</v>
      </c>
      <c r="K183" s="1">
        <f t="shared" si="174"/>
        <v>14.66988375946484</v>
      </c>
      <c r="L183" s="1">
        <f t="shared" ref="L183:O183" si="175">SUM(L185,L189,L190,L198,L199,L207,L209)</f>
        <v>15.12554523427551</v>
      </c>
      <c r="M183" s="1">
        <f t="shared" si="175"/>
        <v>16.278650000964944</v>
      </c>
      <c r="N183" s="1">
        <f t="shared" si="175"/>
        <v>16.335806593315873</v>
      </c>
      <c r="O183" s="1">
        <f t="shared" si="175"/>
        <v>16.258720965820832</v>
      </c>
      <c r="P183" s="1">
        <f>SUM(P185,P189,P190,P198,P199,P207,P209)</f>
        <v>16.338592151427331</v>
      </c>
      <c r="Q183" s="1">
        <f>SUM(Q185,Q189,Q190,Q198,Q199,Q207,Q209)</f>
        <v>16.48405335771049</v>
      </c>
      <c r="S183" s="3"/>
    </row>
    <row r="184" spans="1:19" x14ac:dyDescent="0.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9.2597338578950944E-3</v>
      </c>
      <c r="G184" s="1">
        <f t="shared" ref="G184:O184" si="176">G185</f>
        <v>4.4090932569691263E-5</v>
      </c>
      <c r="H184" s="1">
        <f t="shared" si="176"/>
        <v>1.374413016757742E-3</v>
      </c>
      <c r="I184" s="1">
        <f t="shared" si="176"/>
        <v>5.03258113491933E-4</v>
      </c>
      <c r="J184" s="1">
        <f t="shared" si="176"/>
        <v>1.9235284842674823E-4</v>
      </c>
      <c r="K184" s="1">
        <f t="shared" si="176"/>
        <v>1.0402828549478051E-3</v>
      </c>
      <c r="L184" s="1">
        <f t="shared" si="176"/>
        <v>9.1747129787257253E-4</v>
      </c>
      <c r="M184" s="1">
        <f t="shared" si="176"/>
        <v>5.3939834334347328E-6</v>
      </c>
      <c r="N184" s="1">
        <f t="shared" si="176"/>
        <v>1.5001514110353888E-4</v>
      </c>
      <c r="O184" s="1">
        <f t="shared" si="176"/>
        <v>1.4962650092200608E-4</v>
      </c>
      <c r="P184" s="1">
        <f>P185</f>
        <v>1.4848226217511362E-4</v>
      </c>
      <c r="Q184" s="1">
        <f>Q185</f>
        <v>1.5766303496977737E-4</v>
      </c>
      <c r="S184" s="3"/>
    </row>
    <row r="185" spans="1:19" x14ac:dyDescent="0.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9.2597338578950944E-3</v>
      </c>
      <c r="G185" s="1">
        <f>'[1]Electricity and CHPs'!C$94</f>
        <v>4.4090932569691263E-5</v>
      </c>
      <c r="H185" s="1">
        <f>'[1]Electricity and CHPs'!D$94</f>
        <v>1.374413016757742E-3</v>
      </c>
      <c r="I185" s="1">
        <f>'[1]Electricity and CHPs'!E$94</f>
        <v>5.03258113491933E-4</v>
      </c>
      <c r="J185" s="1">
        <f>'[1]Electricity and CHPs'!F$94</f>
        <v>1.9235284842674823E-4</v>
      </c>
      <c r="K185" s="1">
        <f>'[1]Electricity and CHPs'!G$94</f>
        <v>1.0402828549478051E-3</v>
      </c>
      <c r="L185" s="1">
        <f>'[1]Electricity and CHPs'!H$94</f>
        <v>9.1747129787257253E-4</v>
      </c>
      <c r="M185" s="1">
        <f>'[1]Electricity and CHPs'!I$94</f>
        <v>5.3939834334347328E-6</v>
      </c>
      <c r="N185" s="1">
        <f>'[1]Electricity and CHPs'!J$94</f>
        <v>1.5001514110353888E-4</v>
      </c>
      <c r="O185" s="1">
        <f>'[1]Electricity and CHPs'!K$94</f>
        <v>1.4962650092200608E-4</v>
      </c>
      <c r="P185" s="1">
        <f>'[1]Electricity and CHPs'!L$94</f>
        <v>1.4848226217511362E-4</v>
      </c>
      <c r="Q185" s="1">
        <f>'[1]Electricity and CHPs'!M$94</f>
        <v>1.5766303496977737E-4</v>
      </c>
      <c r="S185" s="3"/>
    </row>
    <row r="186" spans="1:19" x14ac:dyDescent="0.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9.2597338578950944E-3</v>
      </c>
      <c r="G186" s="1">
        <f t="shared" ref="G186:K186" si="177">G185-G187</f>
        <v>4.4090932569691263E-5</v>
      </c>
      <c r="H186" s="1">
        <f t="shared" si="177"/>
        <v>1.374413016757742E-3</v>
      </c>
      <c r="I186" s="1">
        <f t="shared" si="177"/>
        <v>5.03258113491933E-4</v>
      </c>
      <c r="J186" s="1">
        <f t="shared" si="177"/>
        <v>1.9235284842674823E-4</v>
      </c>
      <c r="K186" s="1">
        <f t="shared" si="177"/>
        <v>1.0402828549478051E-3</v>
      </c>
      <c r="L186" s="1">
        <f t="shared" ref="L186:O186" si="178">L185-L187</f>
        <v>9.1747129787257253E-4</v>
      </c>
      <c r="M186" s="1">
        <f t="shared" si="178"/>
        <v>5.3939834334347328E-6</v>
      </c>
      <c r="N186" s="1">
        <f t="shared" si="178"/>
        <v>1.5001514110353888E-4</v>
      </c>
      <c r="O186" s="1">
        <f t="shared" si="178"/>
        <v>1.4962650092200608E-4</v>
      </c>
      <c r="P186" s="1">
        <f>P185-P187</f>
        <v>1.4848226217511362E-4</v>
      </c>
      <c r="Q186" s="1">
        <f>Q185-Q187</f>
        <v>1.5766303496977737E-4</v>
      </c>
      <c r="S186" s="3"/>
    </row>
    <row r="187" spans="1:19" x14ac:dyDescent="0.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9">F185*IFERROR(F80/F76,0)</f>
        <v>0</v>
      </c>
      <c r="G187" s="1">
        <f t="shared" si="179"/>
        <v>0</v>
      </c>
      <c r="H187" s="1">
        <f t="shared" si="179"/>
        <v>0</v>
      </c>
      <c r="I187" s="1">
        <f t="shared" si="179"/>
        <v>0</v>
      </c>
      <c r="J187" s="1">
        <f t="shared" si="179"/>
        <v>0</v>
      </c>
      <c r="K187" s="1">
        <f t="shared" si="179"/>
        <v>0</v>
      </c>
      <c r="L187" s="1">
        <f t="shared" ref="L187:O187" si="180">L185*IFERROR(L80/L76,0)</f>
        <v>0</v>
      </c>
      <c r="M187" s="1">
        <f t="shared" si="180"/>
        <v>0</v>
      </c>
      <c r="N187" s="1">
        <f t="shared" si="180"/>
        <v>0</v>
      </c>
      <c r="O187" s="1">
        <f t="shared" si="180"/>
        <v>0</v>
      </c>
      <c r="P187" s="1">
        <f>P185*IFERROR(P80/P76,0)</f>
        <v>0</v>
      </c>
      <c r="Q187" s="1">
        <f>Q185*IFERROR(Q80/Q76,0)</f>
        <v>0</v>
      </c>
      <c r="S187" s="3"/>
    </row>
    <row r="188" spans="1:19" x14ac:dyDescent="0.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1.8035507547076934</v>
      </c>
      <c r="G188" s="1">
        <f t="shared" ref="G188:K188" si="181">SUM(G189:G190)</f>
        <v>1.5059188149097683E-4</v>
      </c>
      <c r="H188" s="1">
        <f t="shared" si="181"/>
        <v>8.8879303485418066E-4</v>
      </c>
      <c r="I188" s="1">
        <f t="shared" si="181"/>
        <v>0</v>
      </c>
      <c r="J188" s="1">
        <f t="shared" si="181"/>
        <v>0</v>
      </c>
      <c r="K188" s="1">
        <f t="shared" si="181"/>
        <v>0</v>
      </c>
      <c r="L188" s="1">
        <f t="shared" ref="L188:O188" si="182">SUM(L189:L190)</f>
        <v>0</v>
      </c>
      <c r="M188" s="1">
        <f t="shared" si="182"/>
        <v>0</v>
      </c>
      <c r="N188" s="1">
        <f t="shared" si="182"/>
        <v>0</v>
      </c>
      <c r="O188" s="1">
        <f t="shared" si="182"/>
        <v>0</v>
      </c>
      <c r="P188" s="1">
        <f>SUM(P189:P190)</f>
        <v>0</v>
      </c>
      <c r="Q188" s="1">
        <f>SUM(Q189:Q190)</f>
        <v>0</v>
      </c>
      <c r="S188" s="3"/>
    </row>
    <row r="189" spans="1:19" x14ac:dyDescent="0.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1.8035507547076934</v>
      </c>
      <c r="G189" s="1">
        <f>'[1]Electricity and CHPs'!C$91</f>
        <v>1.5059188149097683E-4</v>
      </c>
      <c r="H189" s="1">
        <f>'[1]Electricity and CHPs'!D$91</f>
        <v>8.8879303485418066E-4</v>
      </c>
      <c r="I189" s="1">
        <f>'[1]Electricity and CHPs'!E$91</f>
        <v>0</v>
      </c>
      <c r="J189" s="1">
        <f>'[1]Electricity and CHPs'!F$91</f>
        <v>0</v>
      </c>
      <c r="K189" s="1">
        <f>'[1]Electricity and CHPs'!G$91</f>
        <v>0</v>
      </c>
      <c r="L189" s="1">
        <f>'[1]Electricity and CHPs'!H$91</f>
        <v>0</v>
      </c>
      <c r="M189" s="1">
        <f>'[1]Electricity and CHPs'!I$91</f>
        <v>0</v>
      </c>
      <c r="N189" s="1">
        <f>'[1]Electricity and CHPs'!J$91</f>
        <v>0</v>
      </c>
      <c r="O189" s="1">
        <f>'[1]Electricity and CHPs'!K$91</f>
        <v>0</v>
      </c>
      <c r="P189" s="1">
        <f>'[1]Electricity and CHPs'!L$91</f>
        <v>0</v>
      </c>
      <c r="Q189" s="1">
        <f>'[1]Electricity and CHPs'!M$91</f>
        <v>0</v>
      </c>
      <c r="S189" s="3"/>
    </row>
    <row r="190" spans="1:19" x14ac:dyDescent="0.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'[1]Electricity and CHPs'!F$95</f>
        <v>0</v>
      </c>
      <c r="K190" s="1">
        <f>'[1]Electricity and CHPs'!G$95</f>
        <v>0</v>
      </c>
      <c r="L190" s="1">
        <f>'[1]Electricity and CHPs'!H$95</f>
        <v>0</v>
      </c>
      <c r="M190" s="1">
        <f>'[1]Electricity and CHPs'!I$95</f>
        <v>0</v>
      </c>
      <c r="N190" s="1">
        <f>'[1]Electricity and CHPs'!J$95</f>
        <v>0</v>
      </c>
      <c r="O190" s="1">
        <f>'[1]Electricity and CHPs'!K$95</f>
        <v>0</v>
      </c>
      <c r="P190" s="1">
        <f>'[1]Electricity and CHPs'!L$95</f>
        <v>0</v>
      </c>
      <c r="Q190" s="1">
        <f>'[1]Electricity and CHPs'!M$95</f>
        <v>0</v>
      </c>
      <c r="S190" s="3"/>
    </row>
    <row r="191" spans="1:19" x14ac:dyDescent="0.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1.7573736066139602</v>
      </c>
      <c r="G191" s="1">
        <f t="shared" ref="G191:K191" si="183">SUM(G192:G193)</f>
        <v>1.4420560360783814E-4</v>
      </c>
      <c r="H191" s="1">
        <f t="shared" si="183"/>
        <v>8.2516539715270015E-4</v>
      </c>
      <c r="I191" s="1">
        <f t="shared" si="183"/>
        <v>0</v>
      </c>
      <c r="J191" s="1">
        <f t="shared" si="183"/>
        <v>0</v>
      </c>
      <c r="K191" s="1">
        <f t="shared" si="183"/>
        <v>0</v>
      </c>
      <c r="L191" s="1">
        <f t="shared" ref="L191:O191" si="184">SUM(L192:L193)</f>
        <v>0</v>
      </c>
      <c r="M191" s="1">
        <f t="shared" si="184"/>
        <v>0</v>
      </c>
      <c r="N191" s="1">
        <f t="shared" si="184"/>
        <v>0</v>
      </c>
      <c r="O191" s="1">
        <f t="shared" si="184"/>
        <v>0</v>
      </c>
      <c r="P191" s="1">
        <f>SUM(P192:P193)</f>
        <v>0</v>
      </c>
      <c r="Q191" s="1">
        <f>SUM(Q192:Q193)</f>
        <v>0</v>
      </c>
      <c r="S191" s="3"/>
    </row>
    <row r="192" spans="1:19" x14ac:dyDescent="0.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1.7573736066139602</v>
      </c>
      <c r="G192" s="1">
        <f t="shared" ref="G192:K192" si="185">G189-G195</f>
        <v>1.4420560360783814E-4</v>
      </c>
      <c r="H192" s="1">
        <f t="shared" si="185"/>
        <v>8.2516539715270015E-4</v>
      </c>
      <c r="I192" s="1">
        <f t="shared" si="185"/>
        <v>0</v>
      </c>
      <c r="J192" s="1">
        <f t="shared" si="185"/>
        <v>0</v>
      </c>
      <c r="K192" s="1">
        <f t="shared" si="185"/>
        <v>0</v>
      </c>
      <c r="L192" s="1">
        <f t="shared" ref="L192:O192" si="186">L189-L195</f>
        <v>0</v>
      </c>
      <c r="M192" s="1">
        <f t="shared" si="186"/>
        <v>0</v>
      </c>
      <c r="N192" s="1">
        <f t="shared" si="186"/>
        <v>0</v>
      </c>
      <c r="O192" s="1">
        <f t="shared" si="186"/>
        <v>0</v>
      </c>
      <c r="P192" s="1">
        <f>P189-P195</f>
        <v>0</v>
      </c>
      <c r="Q192" s="1">
        <f>Q189-Q195</f>
        <v>0</v>
      </c>
      <c r="S192" s="3"/>
    </row>
    <row r="193" spans="1:19" x14ac:dyDescent="0.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87">F190-F196</f>
        <v>0</v>
      </c>
      <c r="G193" s="1">
        <f t="shared" si="187"/>
        <v>0</v>
      </c>
      <c r="H193" s="1">
        <f t="shared" si="187"/>
        <v>0</v>
      </c>
      <c r="I193" s="1">
        <f t="shared" si="187"/>
        <v>0</v>
      </c>
      <c r="J193" s="1">
        <f t="shared" si="187"/>
        <v>0</v>
      </c>
      <c r="K193" s="1">
        <f t="shared" si="187"/>
        <v>0</v>
      </c>
      <c r="L193" s="1">
        <f t="shared" ref="L193:O193" si="188">L190-L196</f>
        <v>0</v>
      </c>
      <c r="M193" s="1">
        <f t="shared" si="188"/>
        <v>0</v>
      </c>
      <c r="N193" s="1">
        <f t="shared" si="188"/>
        <v>0</v>
      </c>
      <c r="O193" s="1">
        <f t="shared" si="188"/>
        <v>0</v>
      </c>
      <c r="P193" s="1">
        <f>P190-P196</f>
        <v>0</v>
      </c>
      <c r="Q193" s="1">
        <f>Q190-Q196</f>
        <v>0</v>
      </c>
      <c r="S193" s="3"/>
    </row>
    <row r="194" spans="1:19" x14ac:dyDescent="0.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4.6177148093733113E-2</v>
      </c>
      <c r="G194" s="1">
        <f t="shared" ref="G194:K194" si="189">SUM(G195:G196)</f>
        <v>6.3862778831386818E-6</v>
      </c>
      <c r="H194" s="1">
        <f t="shared" si="189"/>
        <v>6.3627637701480522E-5</v>
      </c>
      <c r="I194" s="1">
        <f t="shared" si="189"/>
        <v>0</v>
      </c>
      <c r="J194" s="1">
        <f t="shared" si="189"/>
        <v>0</v>
      </c>
      <c r="K194" s="1">
        <f t="shared" si="189"/>
        <v>0</v>
      </c>
      <c r="L194" s="1">
        <f t="shared" ref="L194:O194" si="190">SUM(L195:L196)</f>
        <v>0</v>
      </c>
      <c r="M194" s="1">
        <f t="shared" si="190"/>
        <v>0</v>
      </c>
      <c r="N194" s="1">
        <f t="shared" si="190"/>
        <v>0</v>
      </c>
      <c r="O194" s="1">
        <f t="shared" si="190"/>
        <v>0</v>
      </c>
      <c r="P194" s="1">
        <f>SUM(P195:P196)</f>
        <v>0</v>
      </c>
      <c r="Q194" s="1">
        <f>SUM(Q195:Q196)</f>
        <v>0</v>
      </c>
      <c r="S194" s="3"/>
    </row>
    <row r="195" spans="1:19" x14ac:dyDescent="0.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91">F189*IFERROR(F118/F86,0)</f>
        <v>4.6177148093733113E-2</v>
      </c>
      <c r="G195" s="1">
        <f t="shared" si="191"/>
        <v>6.3862778831386818E-6</v>
      </c>
      <c r="H195" s="1">
        <f t="shared" si="191"/>
        <v>6.3627637701480522E-5</v>
      </c>
      <c r="I195" s="1">
        <f t="shared" si="191"/>
        <v>0</v>
      </c>
      <c r="J195" s="1">
        <f t="shared" si="191"/>
        <v>0</v>
      </c>
      <c r="K195" s="1">
        <f t="shared" si="191"/>
        <v>0</v>
      </c>
      <c r="L195" s="1">
        <f t="shared" ref="L195:O195" si="192">L189*IFERROR(L118/L86,0)</f>
        <v>0</v>
      </c>
      <c r="M195" s="1">
        <f t="shared" si="192"/>
        <v>0</v>
      </c>
      <c r="N195" s="1">
        <f t="shared" si="192"/>
        <v>0</v>
      </c>
      <c r="O195" s="1">
        <f t="shared" si="192"/>
        <v>0</v>
      </c>
      <c r="P195" s="1">
        <f>P189*IFERROR(P118/P86,0)</f>
        <v>0</v>
      </c>
      <c r="Q195" s="1">
        <f>Q189*IFERROR(Q118/Q86,0)</f>
        <v>0</v>
      </c>
      <c r="S195" s="3"/>
    </row>
    <row r="196" spans="1:19" x14ac:dyDescent="0.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91"/>
        <v>0</v>
      </c>
      <c r="G196" s="1">
        <f t="shared" si="191"/>
        <v>0</v>
      </c>
      <c r="H196" s="1">
        <f t="shared" si="191"/>
        <v>0</v>
      </c>
      <c r="I196" s="1">
        <f t="shared" si="191"/>
        <v>0</v>
      </c>
      <c r="J196" s="1">
        <f t="shared" si="191"/>
        <v>0</v>
      </c>
      <c r="K196" s="1">
        <f t="shared" si="191"/>
        <v>0</v>
      </c>
      <c r="L196" s="1">
        <f t="shared" ref="L196:O196" si="193">L190*IFERROR(L119/L87,0)</f>
        <v>0</v>
      </c>
      <c r="M196" s="1">
        <f t="shared" si="193"/>
        <v>0</v>
      </c>
      <c r="N196" s="1">
        <f t="shared" si="193"/>
        <v>0</v>
      </c>
      <c r="O196" s="1">
        <f t="shared" si="193"/>
        <v>0</v>
      </c>
      <c r="P196" s="1">
        <f>P190*IFERROR(P119/P87,0)</f>
        <v>0</v>
      </c>
      <c r="Q196" s="1">
        <f>Q190*IFERROR(Q119/Q87,0)</f>
        <v>0</v>
      </c>
      <c r="S196" s="3"/>
    </row>
    <row r="197" spans="1:19" x14ac:dyDescent="0.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14.461260745686962</v>
      </c>
      <c r="G197" s="1">
        <f t="shared" ref="G197:K197" si="194">SUM(G198:G199)</f>
        <v>13.051647707454439</v>
      </c>
      <c r="H197" s="1">
        <f t="shared" si="194"/>
        <v>13.166421397581127</v>
      </c>
      <c r="I197" s="1">
        <f t="shared" si="194"/>
        <v>12.779633941215595</v>
      </c>
      <c r="J197" s="1">
        <f t="shared" si="194"/>
        <v>12.342946483352721</v>
      </c>
      <c r="K197" s="1">
        <f t="shared" si="194"/>
        <v>11.988154258861959</v>
      </c>
      <c r="L197" s="1">
        <f t="shared" ref="L197:O197" si="195">SUM(L198:L199)</f>
        <v>10.886520882570363</v>
      </c>
      <c r="M197" s="1">
        <f t="shared" si="195"/>
        <v>10.757713100279821</v>
      </c>
      <c r="N197" s="1">
        <f t="shared" si="195"/>
        <v>10.757711364483406</v>
      </c>
      <c r="O197" s="1">
        <f t="shared" si="195"/>
        <v>10.757710835956559</v>
      </c>
      <c r="P197" s="1">
        <f>SUM(P198:P199)</f>
        <v>10.757710573279503</v>
      </c>
      <c r="Q197" s="1">
        <f>SUM(Q198:Q199)</f>
        <v>10.757711811650486</v>
      </c>
      <c r="S197" s="3"/>
    </row>
    <row r="198" spans="1:19" x14ac:dyDescent="0.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14.461260745686962</v>
      </c>
      <c r="G198" s="1">
        <f>'[1]Electricity and CHPs'!C$93-G199</f>
        <v>13.051647707454439</v>
      </c>
      <c r="H198" s="1">
        <f>'[1]Electricity and CHPs'!D$93-H199</f>
        <v>13.166421397581127</v>
      </c>
      <c r="I198" s="1">
        <f>'[1]Electricity and CHPs'!E$93-I199</f>
        <v>12.779633941215595</v>
      </c>
      <c r="J198" s="1">
        <f>'[1]Electricity and CHPs'!F$93-J199</f>
        <v>12.342946483352721</v>
      </c>
      <c r="K198" s="1">
        <f>'[1]Electricity and CHPs'!G$93-K199</f>
        <v>8.5308576964055032</v>
      </c>
      <c r="L198" s="1">
        <f>'[1]Electricity and CHPs'!H$93-L199</f>
        <v>4.5077638537133371</v>
      </c>
      <c r="M198" s="1">
        <f>'[1]Electricity and CHPs'!I$93-M199</f>
        <v>4.4515922707672368</v>
      </c>
      <c r="N198" s="1">
        <f>'[1]Electricity and CHPs'!J$93-N199</f>
        <v>4.451591820571636</v>
      </c>
      <c r="O198" s="1">
        <f>'[1]Electricity and CHPs'!K$93-O199</f>
        <v>4.4515909647279264</v>
      </c>
      <c r="P198" s="1">
        <f>'[1]Electricity and CHPs'!L$93-P199</f>
        <v>4.4515912279122842</v>
      </c>
      <c r="Q198" s="1">
        <f>'[1]Electricity and CHPs'!M$93-Q199</f>
        <v>4.4515919086598288</v>
      </c>
      <c r="S198" s="3"/>
    </row>
    <row r="199" spans="1:19" x14ac:dyDescent="0.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SUMPRODUCT(("CHPWSTCCS"=[1]OUT_Electricity_CHP!$B$1:$B$10000)*1,([1]OUT_Electricity_CHP!$C$1:$C$10000="Var_Fout")*1,([1]OUT_Electricity_CHP!$D$1:$D$10000="LTH")*1,[1]OUT_Electricity_CHP!I$1:I$10000)</f>
        <v>0</v>
      </c>
      <c r="K199" s="1" cm="1">
        <f t="array" ref="K199">SUMPRODUCT(("CHPWSTCCS"=[1]OUT_Electricity_CHP!$B$1:$B$10000)*1,([1]OUT_Electricity_CHP!$C$1:$C$10000="Var_Fout")*1,([1]OUT_Electricity_CHP!$D$1:$D$10000="LTH")*1,[1]OUT_Electricity_CHP!J$1:J$10000)</f>
        <v>3.4572965624564564</v>
      </c>
      <c r="L199" s="1" cm="1">
        <f t="array" ref="L199">SUMPRODUCT(("CHPWSTCCS"=[1]OUT_Electricity_CHP!$B$1:$B$10000)*1,([1]OUT_Electricity_CHP!$C$1:$C$10000="Var_Fout")*1,([1]OUT_Electricity_CHP!$D$1:$D$10000="LTH")*1,[1]OUT_Electricity_CHP!K$1:K$10000)</f>
        <v>6.3787570288570254</v>
      </c>
      <c r="M199" s="1" cm="1">
        <f t="array" ref="M199">SUMPRODUCT(("CHPWSTCCS"=[1]OUT_Electricity_CHP!$B$1:$B$10000)*1,([1]OUT_Electricity_CHP!$C$1:$C$10000="Var_Fout")*1,([1]OUT_Electricity_CHP!$D$1:$D$10000="LTH")*1,[1]OUT_Electricity_CHP!L$1:L$10000)</f>
        <v>6.3061208295125839</v>
      </c>
      <c r="N199" s="1" cm="1">
        <f t="array" ref="N199">SUMPRODUCT(("CHPWSTCCS"=[1]OUT_Electricity_CHP!$B$1:$B$10000)*1,([1]OUT_Electricity_CHP!$C$1:$C$10000="Var_Fout")*1,([1]OUT_Electricity_CHP!$D$1:$D$10000="LTH")*1,[1]OUT_Electricity_CHP!M$1:M$10000)</f>
        <v>6.3061195439117697</v>
      </c>
      <c r="O199" s="1" cm="1">
        <f t="array" ref="O199">SUMPRODUCT(("CHPWSTCCS"=[1]OUT_Electricity_CHP!$B$1:$B$10000)*1,([1]OUT_Electricity_CHP!$C$1:$C$10000="Var_Fout")*1,([1]OUT_Electricity_CHP!$D$1:$D$10000="LTH")*1,[1]OUT_Electricity_CHP!N$1:N$10000)</f>
        <v>6.3061198712286322</v>
      </c>
      <c r="P199" s="1" cm="1">
        <f t="array" ref="P199">SUMPRODUCT(("CHPWSTCCS"=[1]OUT_Electricity_CHP!$B$1:$B$10000)*1,([1]OUT_Electricity_CHP!$C$1:$C$10000="Var_Fout")*1,([1]OUT_Electricity_CHP!$D$1:$D$10000="LTH")*1,[1]OUT_Electricity_CHP!O$1:O$10000)</f>
        <v>6.3061193453672191</v>
      </c>
      <c r="Q199" s="1" cm="1">
        <f t="array" ref="Q199">SUMPRODUCT(("CHPWSTCCS"=[1]OUT_Electricity_CHP!$B$1:$B$10000)*1,([1]OUT_Electricity_CHP!$C$1:$C$10000="Var_Fout")*1,([1]OUT_Electricity_CHP!$D$1:$D$10000="LTH")*1,[1]OUT_Electricity_CHP!P$1:P$10000)</f>
        <v>6.3061199029906572</v>
      </c>
      <c r="S199" s="3"/>
    </row>
    <row r="200" spans="1:19" x14ac:dyDescent="0.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7.2306303728434811</v>
      </c>
      <c r="G200" s="1">
        <f t="shared" ref="G200:K200" si="196">SUM(G201:G202)</f>
        <v>6.5258238537272195</v>
      </c>
      <c r="H200" s="1">
        <f t="shared" si="196"/>
        <v>6.5832106987905625</v>
      </c>
      <c r="I200" s="1">
        <f t="shared" si="196"/>
        <v>6.3898169706077965</v>
      </c>
      <c r="J200" s="1">
        <f t="shared" si="196"/>
        <v>6.1714732416763605</v>
      </c>
      <c r="K200" s="1">
        <f t="shared" si="196"/>
        <v>5.9940771294309796</v>
      </c>
      <c r="L200" s="1">
        <f t="shared" ref="L200:O200" si="197">SUM(L201:L202)</f>
        <v>5.4432604412851813</v>
      </c>
      <c r="M200" s="1">
        <f t="shared" si="197"/>
        <v>5.3788565501399104</v>
      </c>
      <c r="N200" s="1">
        <f t="shared" si="197"/>
        <v>5.3788556822417037</v>
      </c>
      <c r="O200" s="1">
        <f t="shared" si="197"/>
        <v>5.3788554179782802</v>
      </c>
      <c r="P200" s="1">
        <f>SUM(P201:P202)</f>
        <v>5.3788552866397517</v>
      </c>
      <c r="Q200" s="1">
        <f>SUM(Q201:Q202)</f>
        <v>5.378855905825243</v>
      </c>
      <c r="S200" s="3"/>
    </row>
    <row r="201" spans="1:19" x14ac:dyDescent="0.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8">F198*F140/F133</f>
        <v>7.2306303728434811</v>
      </c>
      <c r="G201" s="1">
        <f t="shared" si="198"/>
        <v>6.5258238537272195</v>
      </c>
      <c r="H201" s="1">
        <f t="shared" si="198"/>
        <v>6.5832106987905625</v>
      </c>
      <c r="I201" s="1">
        <f t="shared" si="198"/>
        <v>6.3898169706077965</v>
      </c>
      <c r="J201" s="1">
        <f t="shared" si="198"/>
        <v>6.1714732416763605</v>
      </c>
      <c r="K201" s="1">
        <f t="shared" si="198"/>
        <v>4.2654288482027516</v>
      </c>
      <c r="L201" s="1">
        <f t="shared" ref="L201:O201" si="199">L198*L140/L133</f>
        <v>2.2538819268566685</v>
      </c>
      <c r="M201" s="1">
        <f t="shared" si="199"/>
        <v>2.2257961353836184</v>
      </c>
      <c r="N201" s="1">
        <f t="shared" si="199"/>
        <v>2.225795910285818</v>
      </c>
      <c r="O201" s="1">
        <f t="shared" si="199"/>
        <v>2.2257954823639632</v>
      </c>
      <c r="P201" s="1">
        <f>P198*P140/P133</f>
        <v>2.2257956139561421</v>
      </c>
      <c r="Q201" s="1">
        <f>Q198*Q140/Q133</f>
        <v>2.2257959543299144</v>
      </c>
      <c r="S201" s="3"/>
    </row>
    <row r="202" spans="1:19" x14ac:dyDescent="0.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200">F199*IFERROR(F141/F134,0)</f>
        <v>0</v>
      </c>
      <c r="G202" s="1">
        <f t="shared" si="200"/>
        <v>0</v>
      </c>
      <c r="H202" s="1">
        <f t="shared" si="200"/>
        <v>0</v>
      </c>
      <c r="I202" s="1">
        <f t="shared" si="200"/>
        <v>0</v>
      </c>
      <c r="J202" s="1">
        <f t="shared" si="200"/>
        <v>0</v>
      </c>
      <c r="K202" s="1">
        <f t="shared" si="200"/>
        <v>1.7286482812282282</v>
      </c>
      <c r="L202" s="1">
        <f t="shared" ref="L202:O202" si="201">L199*IFERROR(L141/L134,0)</f>
        <v>3.1893785144285123</v>
      </c>
      <c r="M202" s="1">
        <f t="shared" si="201"/>
        <v>3.153060414756292</v>
      </c>
      <c r="N202" s="1">
        <f t="shared" si="201"/>
        <v>3.1530597719558857</v>
      </c>
      <c r="O202" s="1">
        <f t="shared" si="201"/>
        <v>3.153059935614317</v>
      </c>
      <c r="P202" s="1">
        <f>P199*IFERROR(P141/P134,0)</f>
        <v>3.1530596726836095</v>
      </c>
      <c r="Q202" s="1">
        <f>Q199*IFERROR(Q141/Q134,0)</f>
        <v>3.1530599514953286</v>
      </c>
      <c r="S202" s="3"/>
    </row>
    <row r="203" spans="1:19" x14ac:dyDescent="0.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7.2306303728434811</v>
      </c>
      <c r="G203" s="1">
        <f t="shared" ref="G203:K203" si="202">SUM(G204:G205)</f>
        <v>6.5258238537272195</v>
      </c>
      <c r="H203" s="1">
        <f t="shared" si="202"/>
        <v>6.5832106987905643</v>
      </c>
      <c r="I203" s="1">
        <f t="shared" si="202"/>
        <v>6.3898169706077983</v>
      </c>
      <c r="J203" s="1">
        <f t="shared" si="202"/>
        <v>6.1714732416763605</v>
      </c>
      <c r="K203" s="1">
        <f t="shared" si="202"/>
        <v>5.9940771294309796</v>
      </c>
      <c r="L203" s="1">
        <f t="shared" ref="L203:O203" si="203">SUM(L204:L205)</f>
        <v>5.4432604412851813</v>
      </c>
      <c r="M203" s="1">
        <f t="shared" si="203"/>
        <v>5.3788565501399104</v>
      </c>
      <c r="N203" s="1">
        <f t="shared" si="203"/>
        <v>5.378855682241702</v>
      </c>
      <c r="O203" s="1">
        <f t="shared" si="203"/>
        <v>5.3788554179782784</v>
      </c>
      <c r="P203" s="1">
        <f>SUM(P204:P205)</f>
        <v>5.3788552866397517</v>
      </c>
      <c r="Q203" s="1">
        <f>SUM(Q204:Q205)</f>
        <v>5.378855905825243</v>
      </c>
      <c r="S203" s="3"/>
    </row>
    <row r="204" spans="1:19" x14ac:dyDescent="0.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204">F198-F201</f>
        <v>7.2306303728434811</v>
      </c>
      <c r="G204" s="1">
        <f t="shared" si="204"/>
        <v>6.5258238537272195</v>
      </c>
      <c r="H204" s="1">
        <f t="shared" si="204"/>
        <v>6.5832106987905643</v>
      </c>
      <c r="I204" s="1">
        <f t="shared" si="204"/>
        <v>6.3898169706077983</v>
      </c>
      <c r="J204" s="1">
        <f t="shared" si="204"/>
        <v>6.1714732416763605</v>
      </c>
      <c r="K204" s="1">
        <f t="shared" si="204"/>
        <v>4.2654288482027516</v>
      </c>
      <c r="L204" s="1">
        <f t="shared" ref="L204:O204" si="205">L198-L201</f>
        <v>2.2538819268566685</v>
      </c>
      <c r="M204" s="1">
        <f t="shared" si="205"/>
        <v>2.2257961353836184</v>
      </c>
      <c r="N204" s="1">
        <f t="shared" si="205"/>
        <v>2.225795910285818</v>
      </c>
      <c r="O204" s="1">
        <f t="shared" si="205"/>
        <v>2.2257954823639632</v>
      </c>
      <c r="P204" s="1">
        <f>P198-P201</f>
        <v>2.2257956139561421</v>
      </c>
      <c r="Q204" s="1">
        <f>Q198-Q201</f>
        <v>2.2257959543299144</v>
      </c>
      <c r="S204" s="3"/>
    </row>
    <row r="205" spans="1:19" x14ac:dyDescent="0.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204"/>
        <v>0</v>
      </c>
      <c r="G205" s="1">
        <f t="shared" si="204"/>
        <v>0</v>
      </c>
      <c r="H205" s="1">
        <f t="shared" si="204"/>
        <v>0</v>
      </c>
      <c r="I205" s="1">
        <f t="shared" si="204"/>
        <v>0</v>
      </c>
      <c r="J205" s="1">
        <f t="shared" si="204"/>
        <v>0</v>
      </c>
      <c r="K205" s="1">
        <f t="shared" si="204"/>
        <v>1.7286482812282282</v>
      </c>
      <c r="L205" s="1">
        <f t="shared" ref="L205:O205" si="206">L199-L202</f>
        <v>3.1893785144285132</v>
      </c>
      <c r="M205" s="1">
        <f t="shared" si="206"/>
        <v>3.153060414756292</v>
      </c>
      <c r="N205" s="1">
        <f t="shared" si="206"/>
        <v>3.1530597719558839</v>
      </c>
      <c r="O205" s="1">
        <f t="shared" si="206"/>
        <v>3.1530599356143152</v>
      </c>
      <c r="P205" s="1">
        <f>P199-P202</f>
        <v>3.1530596726836095</v>
      </c>
      <c r="Q205" s="1">
        <f>Q199-Q202</f>
        <v>3.1530599514953286</v>
      </c>
      <c r="S205" s="3"/>
    </row>
    <row r="206" spans="1:19" x14ac:dyDescent="0.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0.45801571768323734</v>
      </c>
      <c r="G206" s="1">
        <f t="shared" ref="G206:O206" si="207">G207</f>
        <v>0.24881503061630164</v>
      </c>
      <c r="H206" s="1">
        <f t="shared" si="207"/>
        <v>0.21500879542263965</v>
      </c>
      <c r="I206" s="1">
        <f t="shared" si="207"/>
        <v>1.0250318585827436E-3</v>
      </c>
      <c r="J206" s="1">
        <f t="shared" si="207"/>
        <v>1.694093453862107E-3</v>
      </c>
      <c r="K206" s="1">
        <f t="shared" si="207"/>
        <v>2.3503170692788329</v>
      </c>
      <c r="L206" s="1">
        <f t="shared" si="207"/>
        <v>3.289592455815352</v>
      </c>
      <c r="M206" s="1">
        <f t="shared" si="207"/>
        <v>4.0926301330921548</v>
      </c>
      <c r="N206" s="1">
        <f t="shared" si="207"/>
        <v>4.148620687090987</v>
      </c>
      <c r="O206" s="1">
        <f t="shared" si="207"/>
        <v>4.0710845642135336</v>
      </c>
      <c r="P206" s="1">
        <f>P207</f>
        <v>4.1509565653814064</v>
      </c>
      <c r="Q206" s="1">
        <f>Q207</f>
        <v>4.2962553185051258</v>
      </c>
      <c r="S206" s="3"/>
    </row>
    <row r="207" spans="1:19" x14ac:dyDescent="0.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0.45801571768323734</v>
      </c>
      <c r="G207" s="1">
        <f>'[1]Electricity and CHPs'!C$92</f>
        <v>0.24881503061630164</v>
      </c>
      <c r="H207" s="1">
        <f>'[1]Electricity and CHPs'!D$92</f>
        <v>0.21500879542263965</v>
      </c>
      <c r="I207" s="1">
        <f>'[1]Electricity and CHPs'!E$92</f>
        <v>1.0250318585827436E-3</v>
      </c>
      <c r="J207" s="1">
        <f>'[1]Electricity and CHPs'!F$92</f>
        <v>1.694093453862107E-3</v>
      </c>
      <c r="K207" s="1">
        <f>'[1]Electricity and CHPs'!G$92</f>
        <v>2.3503170692788329</v>
      </c>
      <c r="L207" s="1">
        <f>'[1]Electricity and CHPs'!H$92</f>
        <v>3.289592455815352</v>
      </c>
      <c r="M207" s="1">
        <f>'[1]Electricity and CHPs'!I$92</f>
        <v>4.0926301330921548</v>
      </c>
      <c r="N207" s="1">
        <f>'[1]Electricity and CHPs'!J$92</f>
        <v>4.148620687090987</v>
      </c>
      <c r="O207" s="1">
        <f>'[1]Electricity and CHPs'!K$92</f>
        <v>4.0710845642135336</v>
      </c>
      <c r="P207" s="1">
        <f>'[1]Electricity and CHPs'!L$92</f>
        <v>4.1509565653814064</v>
      </c>
      <c r="Q207" s="1">
        <f>'[1]Electricity and CHPs'!M$92</f>
        <v>4.2962553185051258</v>
      </c>
      <c r="S207" s="3"/>
    </row>
    <row r="208" spans="1:19" x14ac:dyDescent="0.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O208" si="208">+G209</f>
        <v>0</v>
      </c>
      <c r="H208" s="1">
        <f t="shared" si="208"/>
        <v>0</v>
      </c>
      <c r="I208" s="1">
        <f t="shared" si="208"/>
        <v>0</v>
      </c>
      <c r="J208" s="1">
        <f t="shared" si="208"/>
        <v>0</v>
      </c>
      <c r="K208" s="1">
        <f t="shared" si="208"/>
        <v>0.33037214846910129</v>
      </c>
      <c r="L208" s="1">
        <f t="shared" si="208"/>
        <v>0.94851442459192192</v>
      </c>
      <c r="M208" s="1">
        <f t="shared" si="208"/>
        <v>1.4283013736095338</v>
      </c>
      <c r="N208" s="1">
        <f t="shared" si="208"/>
        <v>1.4293245266003773</v>
      </c>
      <c r="O208" s="1">
        <f t="shared" si="208"/>
        <v>1.429775939149819</v>
      </c>
      <c r="P208" s="1">
        <f>+P209</f>
        <v>1.4297765305042451</v>
      </c>
      <c r="Q208" s="1">
        <f>+Q209</f>
        <v>1.4299285645199096</v>
      </c>
      <c r="S208" s="3"/>
    </row>
    <row r="209" spans="1:20" x14ac:dyDescent="0.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'[1]Electricity and CHPs'!F$96</f>
        <v>0</v>
      </c>
      <c r="K209" s="1">
        <f>'[1]Electricity and CHPs'!G$96</f>
        <v>0.33037214846910129</v>
      </c>
      <c r="L209" s="1">
        <f>'[1]Electricity and CHPs'!H$96</f>
        <v>0.94851442459192192</v>
      </c>
      <c r="M209" s="1">
        <f>'[1]Electricity and CHPs'!I$96</f>
        <v>1.4283013736095338</v>
      </c>
      <c r="N209" s="1">
        <f>'[1]Electricity and CHPs'!J$96</f>
        <v>1.4293245266003773</v>
      </c>
      <c r="O209" s="1">
        <f>'[1]Electricity and CHPs'!K$96</f>
        <v>1.429775939149819</v>
      </c>
      <c r="P209" s="1">
        <f>'[1]Electricity and CHPs'!L$96</f>
        <v>1.4297765305042451</v>
      </c>
      <c r="Q209" s="1">
        <f>'[1]Electricity and CHPs'!M$96</f>
        <v>1.4299285645199096</v>
      </c>
      <c r="S209" s="3"/>
    </row>
    <row r="210" spans="1:20" x14ac:dyDescent="0.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7.7757968662210928</v>
      </c>
      <c r="G210" s="1">
        <f t="shared" ref="G210:K210" si="209">SUM(G211,G217,G219,G225,G227,G229,G231)</f>
        <v>15.976752222134628</v>
      </c>
      <c r="H210" s="1">
        <f t="shared" si="209"/>
        <v>15.684311341763028</v>
      </c>
      <c r="I210" s="1">
        <f t="shared" si="209"/>
        <v>11.299480194125026</v>
      </c>
      <c r="J210" s="1">
        <f t="shared" si="209"/>
        <v>11.761926702452884</v>
      </c>
      <c r="K210" s="1">
        <f t="shared" si="209"/>
        <v>9.7571229517344555</v>
      </c>
      <c r="L210" s="1">
        <f t="shared" ref="L210:O210" si="210">SUM(L211,L217,L219,L225,L227,L229,L231)</f>
        <v>9.6100668331784629</v>
      </c>
      <c r="M210" s="1">
        <f t="shared" si="210"/>
        <v>10.872047007150544</v>
      </c>
      <c r="N210" s="1">
        <f t="shared" si="210"/>
        <v>11.022104348541856</v>
      </c>
      <c r="O210" s="1">
        <f t="shared" si="210"/>
        <v>18.968106415016834</v>
      </c>
      <c r="P210" s="1">
        <f>SUM(P211,P217,P219,P225,P227,P229,P231)</f>
        <v>21.52340909113699</v>
      </c>
      <c r="Q210" s="1">
        <f>SUM(Q211,Q217,Q219,Q225,Q227,Q229,Q231)</f>
        <v>24.088146820401057</v>
      </c>
      <c r="S210" s="3"/>
    </row>
    <row r="211" spans="1:20" x14ac:dyDescent="0.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2.634674665213093</v>
      </c>
      <c r="G211" s="1">
        <f t="shared" ref="G211:O211" si="211">+G212</f>
        <v>2.3911035767247069</v>
      </c>
      <c r="H211" s="1">
        <f t="shared" si="211"/>
        <v>2.376750696702675</v>
      </c>
      <c r="I211" s="1">
        <f t="shared" si="211"/>
        <v>0.90177409567001077</v>
      </c>
      <c r="J211" s="1">
        <f t="shared" si="211"/>
        <v>0.90177458769010976</v>
      </c>
      <c r="K211" s="1">
        <f t="shared" si="211"/>
        <v>0.90177468519084092</v>
      </c>
      <c r="L211" s="1">
        <f t="shared" si="211"/>
        <v>0.90177296959634701</v>
      </c>
      <c r="M211" s="1">
        <f t="shared" si="211"/>
        <v>0.90177469961006462</v>
      </c>
      <c r="N211" s="1">
        <f t="shared" si="211"/>
        <v>0.90177301817347089</v>
      </c>
      <c r="O211" s="1">
        <f t="shared" si="211"/>
        <v>4.5186837109373723</v>
      </c>
      <c r="P211" s="1">
        <f>+P212</f>
        <v>6.5515812582438153</v>
      </c>
      <c r="Q211" s="1">
        <f>+Q212</f>
        <v>8.5178643940116014</v>
      </c>
      <c r="S211" s="3"/>
    </row>
    <row r="212" spans="1:20" x14ac:dyDescent="0.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2.634674665213093</v>
      </c>
      <c r="G212" s="1">
        <f>'[1]Electricity and CHPs'!C$97+G216</f>
        <v>2.3911035767247069</v>
      </c>
      <c r="H212" s="1">
        <f>'[1]Electricity and CHPs'!D$97+H216</f>
        <v>2.376750696702675</v>
      </c>
      <c r="I212" s="1">
        <f>'[1]Electricity and CHPs'!E$97+I216</f>
        <v>0.90177409567001077</v>
      </c>
      <c r="J212" s="1">
        <f>'[1]Electricity and CHPs'!F$97+J216</f>
        <v>0.90177458769010976</v>
      </c>
      <c r="K212" s="1">
        <f>'[1]Electricity and CHPs'!G$97+K216</f>
        <v>0.90177468519084092</v>
      </c>
      <c r="L212" s="1">
        <f>'[1]Electricity and CHPs'!H$97+L216</f>
        <v>0.90177296959634701</v>
      </c>
      <c r="M212" s="1">
        <f>'[1]Electricity and CHPs'!I$97+M216</f>
        <v>0.90177469961006462</v>
      </c>
      <c r="N212" s="1">
        <f>'[1]Electricity and CHPs'!J$97+N216</f>
        <v>0.90177301817347089</v>
      </c>
      <c r="O212" s="1">
        <f>'[1]Electricity and CHPs'!K$97+O216</f>
        <v>4.5186837109373723</v>
      </c>
      <c r="P212" s="1">
        <f>'[1]Electricity and CHPs'!L$97+P216</f>
        <v>6.5515812582438153</v>
      </c>
      <c r="Q212" s="1">
        <f>'[1]Electricity and CHPs'!M$97+Q216</f>
        <v>8.5178643940116014</v>
      </c>
      <c r="S212" s="3"/>
    </row>
    <row r="213" spans="1:20" x14ac:dyDescent="0.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1.7328995569212777</v>
      </c>
      <c r="G213" s="1">
        <f t="shared" ref="G213:O213" si="212">G214</f>
        <v>1.4893295948494873</v>
      </c>
      <c r="H213" s="1">
        <f t="shared" si="212"/>
        <v>1.4749765943912718</v>
      </c>
      <c r="I213" s="1">
        <f t="shared" si="212"/>
        <v>0</v>
      </c>
      <c r="J213" s="1">
        <f t="shared" si="212"/>
        <v>0</v>
      </c>
      <c r="K213" s="1">
        <f t="shared" si="212"/>
        <v>0</v>
      </c>
      <c r="L213" s="1">
        <f t="shared" si="212"/>
        <v>0</v>
      </c>
      <c r="M213" s="1">
        <f t="shared" si="212"/>
        <v>0</v>
      </c>
      <c r="N213" s="1">
        <f t="shared" si="212"/>
        <v>0</v>
      </c>
      <c r="O213" s="1">
        <f t="shared" si="212"/>
        <v>0</v>
      </c>
      <c r="P213" s="1">
        <f>P214</f>
        <v>0</v>
      </c>
      <c r="Q213" s="1">
        <f>Q214</f>
        <v>0</v>
      </c>
      <c r="S213" s="3"/>
    </row>
    <row r="214" spans="1:20" x14ac:dyDescent="0.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1.7328995569212777</v>
      </c>
      <c r="G214" s="1">
        <f t="shared" ref="G214:K214" si="213">G212-G216</f>
        <v>1.4893295948494873</v>
      </c>
      <c r="H214" s="1">
        <f t="shared" si="213"/>
        <v>1.4749765943912718</v>
      </c>
      <c r="I214" s="1">
        <f t="shared" si="213"/>
        <v>0</v>
      </c>
      <c r="J214" s="1">
        <f t="shared" si="213"/>
        <v>0</v>
      </c>
      <c r="K214" s="1">
        <f t="shared" si="213"/>
        <v>0</v>
      </c>
      <c r="L214" s="1">
        <f t="shared" ref="L214:O214" si="214">L212-L216</f>
        <v>0</v>
      </c>
      <c r="M214" s="1">
        <f t="shared" si="214"/>
        <v>0</v>
      </c>
      <c r="N214" s="1">
        <f t="shared" si="214"/>
        <v>0</v>
      </c>
      <c r="O214" s="1">
        <f t="shared" si="214"/>
        <v>0</v>
      </c>
      <c r="P214" s="1">
        <f>P212-P216</f>
        <v>0</v>
      </c>
      <c r="Q214" s="1">
        <f>Q212-Q216</f>
        <v>0</v>
      </c>
      <c r="S214" s="3"/>
    </row>
    <row r="215" spans="1:20" x14ac:dyDescent="0.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0.90177510829181529</v>
      </c>
      <c r="G215" s="1">
        <f t="shared" ref="G215:O215" si="215">G216</f>
        <v>0.90177398187521951</v>
      </c>
      <c r="H215" s="1">
        <f t="shared" si="215"/>
        <v>0.9017741023114032</v>
      </c>
      <c r="I215" s="1">
        <f t="shared" si="215"/>
        <v>0.90177409567001077</v>
      </c>
      <c r="J215" s="1">
        <f t="shared" si="215"/>
        <v>0.90177458769010976</v>
      </c>
      <c r="K215" s="1">
        <f t="shared" si="215"/>
        <v>0.90177468519084092</v>
      </c>
      <c r="L215" s="1">
        <f t="shared" si="215"/>
        <v>0.90177296959634701</v>
      </c>
      <c r="M215" s="1">
        <f t="shared" si="215"/>
        <v>0.90177469961006462</v>
      </c>
      <c r="N215" s="1">
        <f t="shared" si="215"/>
        <v>0.90177301817347089</v>
      </c>
      <c r="O215" s="1">
        <f t="shared" si="215"/>
        <v>4.5186837109373723</v>
      </c>
      <c r="P215" s="1">
        <f>P216</f>
        <v>6.5515812582438153</v>
      </c>
      <c r="Q215" s="1">
        <f>Q216</f>
        <v>8.5178643940116014</v>
      </c>
      <c r="S215" s="3"/>
    </row>
    <row r="216" spans="1:20" x14ac:dyDescent="0.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0.90177510829181529</v>
      </c>
      <c r="G216" s="1">
        <f>'[1]Electricity and CHPs'!C$98</f>
        <v>0.90177398187521951</v>
      </c>
      <c r="H216" s="1">
        <f>'[1]Electricity and CHPs'!D$98</f>
        <v>0.9017741023114032</v>
      </c>
      <c r="I216" s="1">
        <f>'[1]Electricity and CHPs'!E$98</f>
        <v>0.90177409567001077</v>
      </c>
      <c r="J216" s="1">
        <f>'[1]Electricity and CHPs'!F$98</f>
        <v>0.90177458769010976</v>
      </c>
      <c r="K216" s="1">
        <f>'[1]Electricity and CHPs'!G$98</f>
        <v>0.90177468519084092</v>
      </c>
      <c r="L216" s="1">
        <f>'[1]Electricity and CHPs'!H$98</f>
        <v>0.90177296959634701</v>
      </c>
      <c r="M216" s="1">
        <f>'[1]Electricity and CHPs'!I$98</f>
        <v>0.90177469961006462</v>
      </c>
      <c r="N216" s="1">
        <f>'[1]Electricity and CHPs'!J$98</f>
        <v>0.90177301817347089</v>
      </c>
      <c r="O216" s="1">
        <f>'[1]Electricity and CHPs'!K$98</f>
        <v>4.5186837109373723</v>
      </c>
      <c r="P216" s="1">
        <f>'[1]Electricity and CHPs'!L$98</f>
        <v>6.5515812582438153</v>
      </c>
      <c r="Q216" s="1">
        <f>'[1]Electricity and CHPs'!M$98</f>
        <v>8.5178643940116014</v>
      </c>
      <c r="S216" s="3"/>
    </row>
    <row r="217" spans="1:20" x14ac:dyDescent="0.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2.9000120813914632</v>
      </c>
      <c r="G217" s="1">
        <f t="shared" ref="G217:O217" si="216">+G218</f>
        <v>7.6038005716900443</v>
      </c>
      <c r="H217" s="1">
        <f t="shared" si="216"/>
        <v>7.6035071363454128</v>
      </c>
      <c r="I217" s="1">
        <f t="shared" si="216"/>
        <v>2.3005228408152822</v>
      </c>
      <c r="J217" s="1">
        <f t="shared" si="216"/>
        <v>1.6982584261347644</v>
      </c>
      <c r="K217" s="1">
        <f t="shared" si="216"/>
        <v>0</v>
      </c>
      <c r="L217" s="1">
        <f t="shared" si="216"/>
        <v>0</v>
      </c>
      <c r="M217" s="1">
        <f t="shared" si="216"/>
        <v>0</v>
      </c>
      <c r="N217" s="1">
        <f t="shared" si="216"/>
        <v>0</v>
      </c>
      <c r="O217" s="1">
        <f t="shared" si="216"/>
        <v>0</v>
      </c>
      <c r="P217" s="1">
        <f>+P218</f>
        <v>0</v>
      </c>
      <c r="Q217" s="1">
        <f>+Q218</f>
        <v>0</v>
      </c>
      <c r="S217" s="3"/>
    </row>
    <row r="218" spans="1:20" x14ac:dyDescent="0.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2.9000120813914632</v>
      </c>
      <c r="G218" s="1">
        <f>'[1]Electricity and CHPs'!C$99</f>
        <v>7.6038005716900443</v>
      </c>
      <c r="H218" s="1">
        <f>'[1]Electricity and CHPs'!D$99</f>
        <v>7.6035071363454128</v>
      </c>
      <c r="I218" s="1">
        <f>'[1]Electricity and CHPs'!E$99</f>
        <v>2.3005228408152822</v>
      </c>
      <c r="J218" s="1">
        <f>'[1]Electricity and CHPs'!F$99</f>
        <v>1.6982584261347644</v>
      </c>
      <c r="K218" s="1">
        <f>'[1]Electricity and CHPs'!G$99</f>
        <v>0</v>
      </c>
      <c r="L218" s="1">
        <f>'[1]Electricity and CHPs'!H$99</f>
        <v>0</v>
      </c>
      <c r="M218" s="1">
        <f>'[1]Electricity and CHPs'!I$99</f>
        <v>0</v>
      </c>
      <c r="N218" s="1">
        <f>'[1]Electricity and CHPs'!J$99</f>
        <v>0</v>
      </c>
      <c r="O218" s="1">
        <f>'[1]Electricity and CHPs'!K$99</f>
        <v>0</v>
      </c>
      <c r="P218" s="1">
        <f>'[1]Electricity and CHPs'!L$99</f>
        <v>0</v>
      </c>
      <c r="Q218" s="1">
        <f>'[1]Electricity and CHPs'!M$99</f>
        <v>0</v>
      </c>
      <c r="S218" s="3"/>
    </row>
    <row r="219" spans="1:20" x14ac:dyDescent="0.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0.18406587926606541</v>
      </c>
      <c r="G219" s="1">
        <f t="shared" ref="G219:O219" si="217">+G220</f>
        <v>0.18586337060125313</v>
      </c>
      <c r="H219" s="1">
        <f t="shared" si="217"/>
        <v>5.346827961875926E-2</v>
      </c>
      <c r="I219" s="1">
        <f t="shared" si="217"/>
        <v>5.3631234756674688E-2</v>
      </c>
      <c r="J219" s="1">
        <f t="shared" si="217"/>
        <v>1.88998906927503E-4</v>
      </c>
      <c r="K219" s="1">
        <f t="shared" si="217"/>
        <v>2.4372143362802935E-5</v>
      </c>
      <c r="L219" s="1">
        <f t="shared" si="217"/>
        <v>5.0293491263287009E-5</v>
      </c>
      <c r="M219" s="1">
        <f t="shared" si="217"/>
        <v>3.1458405265468248E-5</v>
      </c>
      <c r="N219" s="1">
        <f t="shared" si="217"/>
        <v>3.1958637704679582E-7</v>
      </c>
      <c r="O219" s="1">
        <f t="shared" si="217"/>
        <v>0</v>
      </c>
      <c r="P219" s="1">
        <f>+P220</f>
        <v>5.1194888462321799E-8</v>
      </c>
      <c r="Q219" s="1">
        <f>+Q220</f>
        <v>1.00161258951833E-8</v>
      </c>
      <c r="S219" s="3"/>
    </row>
    <row r="220" spans="1:20" x14ac:dyDescent="0.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0.18406587926606541</v>
      </c>
      <c r="G220" s="1">
        <f>'[1]Electricity and CHPs'!C$100</f>
        <v>0.18586337060125313</v>
      </c>
      <c r="H220" s="1">
        <f>'[1]Electricity and CHPs'!D$100</f>
        <v>5.346827961875926E-2</v>
      </c>
      <c r="I220" s="1">
        <f>'[1]Electricity and CHPs'!E$100</f>
        <v>5.3631234756674688E-2</v>
      </c>
      <c r="J220" s="1">
        <f>'[1]Electricity and CHPs'!F$100</f>
        <v>1.88998906927503E-4</v>
      </c>
      <c r="K220" s="1">
        <f>'[1]Electricity and CHPs'!G$100</f>
        <v>2.4372143362802935E-5</v>
      </c>
      <c r="L220" s="1">
        <f>'[1]Electricity and CHPs'!H$100</f>
        <v>5.0293491263287009E-5</v>
      </c>
      <c r="M220" s="1">
        <f>'[1]Electricity and CHPs'!I$100</f>
        <v>3.1458405265468248E-5</v>
      </c>
      <c r="N220" s="1">
        <f>'[1]Electricity and CHPs'!J$100</f>
        <v>3.1958637704679582E-7</v>
      </c>
      <c r="O220" s="1">
        <f>'[1]Electricity and CHPs'!K$100</f>
        <v>0</v>
      </c>
      <c r="P220" s="1">
        <f>'[1]Electricity and CHPs'!L$100</f>
        <v>5.1194888462321799E-8</v>
      </c>
      <c r="Q220" s="1">
        <f>'[1]Electricity and CHPs'!M$100</f>
        <v>1.00161258951833E-8</v>
      </c>
      <c r="S220" s="3"/>
    </row>
    <row r="221" spans="1:20" x14ac:dyDescent="0.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0.18406587926606541</v>
      </c>
      <c r="G221" s="1">
        <f t="shared" ref="G221:O221" si="218">G222</f>
        <v>0.18586337060125313</v>
      </c>
      <c r="H221" s="1">
        <f t="shared" si="218"/>
        <v>5.346827961875926E-2</v>
      </c>
      <c r="I221" s="1">
        <f t="shared" si="218"/>
        <v>5.3631234756674688E-2</v>
      </c>
      <c r="J221" s="1">
        <f t="shared" si="218"/>
        <v>1.88998906927503E-4</v>
      </c>
      <c r="K221" s="1">
        <f t="shared" si="218"/>
        <v>2.4372143362802935E-5</v>
      </c>
      <c r="L221" s="1">
        <f>L222</f>
        <v>5.0293491263287009E-5</v>
      </c>
      <c r="M221" s="1">
        <f t="shared" si="218"/>
        <v>3.1458405265468248E-5</v>
      </c>
      <c r="N221" s="1">
        <f t="shared" si="218"/>
        <v>3.1958637704679582E-7</v>
      </c>
      <c r="O221" s="1">
        <f t="shared" si="218"/>
        <v>0</v>
      </c>
      <c r="P221" s="1">
        <f>P222</f>
        <v>5.1194888462321799E-8</v>
      </c>
      <c r="Q221" s="1">
        <f>Q222</f>
        <v>1.00161258951833E-8</v>
      </c>
      <c r="S221" s="3"/>
    </row>
    <row r="222" spans="1:20" x14ac:dyDescent="0.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0.18406587926606541</v>
      </c>
      <c r="G222" s="1">
        <f t="shared" ref="G222:K222" si="219">G220-G224</f>
        <v>0.18586337060125313</v>
      </c>
      <c r="H222" s="1">
        <f t="shared" si="219"/>
        <v>5.346827961875926E-2</v>
      </c>
      <c r="I222" s="1">
        <f t="shared" si="219"/>
        <v>5.3631234756674688E-2</v>
      </c>
      <c r="J222" s="1">
        <f t="shared" si="219"/>
        <v>1.88998906927503E-4</v>
      </c>
      <c r="K222" s="1">
        <f t="shared" si="219"/>
        <v>2.4372143362802935E-5</v>
      </c>
      <c r="L222" s="1">
        <f>L220-L224</f>
        <v>5.0293491263287009E-5</v>
      </c>
      <c r="M222" s="1">
        <f t="shared" ref="M222:O222" si="220">M220-M224</f>
        <v>3.1458405265468248E-5</v>
      </c>
      <c r="N222" s="1">
        <f t="shared" si="220"/>
        <v>3.1958637704679582E-7</v>
      </c>
      <c r="O222" s="1">
        <f t="shared" si="220"/>
        <v>0</v>
      </c>
      <c r="P222" s="1">
        <f>P220-P224</f>
        <v>5.1194888462321799E-8</v>
      </c>
      <c r="Q222" s="1">
        <f>Q220-Q224</f>
        <v>1.00161258951833E-8</v>
      </c>
      <c r="S222" s="3"/>
    </row>
    <row r="223" spans="1:20" x14ac:dyDescent="0.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O223" si="221">G224</f>
        <v>0</v>
      </c>
      <c r="H223" s="1">
        <f t="shared" si="221"/>
        <v>0</v>
      </c>
      <c r="I223" s="1">
        <f t="shared" si="221"/>
        <v>0</v>
      </c>
      <c r="J223" s="1">
        <f t="shared" si="221"/>
        <v>0</v>
      </c>
      <c r="K223" s="1">
        <f t="shared" si="221"/>
        <v>0</v>
      </c>
      <c r="L223" s="1">
        <f t="shared" si="221"/>
        <v>0</v>
      </c>
      <c r="M223" s="1">
        <f t="shared" si="221"/>
        <v>0</v>
      </c>
      <c r="N223" s="1">
        <f t="shared" si="221"/>
        <v>0</v>
      </c>
      <c r="O223" s="1">
        <f t="shared" si="221"/>
        <v>0</v>
      </c>
      <c r="P223" s="1">
        <f>P224</f>
        <v>0</v>
      </c>
      <c r="Q223" s="1">
        <f>Q224</f>
        <v>0</v>
      </c>
      <c r="S223" s="3"/>
    </row>
    <row r="224" spans="1:20" x14ac:dyDescent="0.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/>
      <c r="S224" s="3"/>
      <c r="T224" s="1"/>
    </row>
    <row r="225" spans="1:19" x14ac:dyDescent="0.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2.0570442403504705</v>
      </c>
      <c r="G225" s="1">
        <f t="shared" ref="G225:O225" si="222">+G226</f>
        <v>1.856482208438532</v>
      </c>
      <c r="H225" s="1">
        <f t="shared" si="222"/>
        <v>1.5917114647796469</v>
      </c>
      <c r="I225" s="1">
        <f t="shared" si="222"/>
        <v>3.6071458122102666</v>
      </c>
      <c r="J225" s="1">
        <f t="shared" si="222"/>
        <v>2.7913580858755243</v>
      </c>
      <c r="K225" s="1">
        <f t="shared" si="222"/>
        <v>2.1598996916274276</v>
      </c>
      <c r="L225" s="1">
        <f t="shared" si="222"/>
        <v>1.6712898652816974</v>
      </c>
      <c r="M225" s="1">
        <f t="shared" si="222"/>
        <v>1.2932164185846347</v>
      </c>
      <c r="N225" s="1">
        <f t="shared" si="222"/>
        <v>1.0006618163197833</v>
      </c>
      <c r="O225" s="1">
        <f t="shared" si="222"/>
        <v>0.77429547508115815</v>
      </c>
      <c r="P225" s="1">
        <f>+P226</f>
        <v>0.59913408685995218</v>
      </c>
      <c r="Q225" s="1">
        <f>+Q226</f>
        <v>0.46360323786092617</v>
      </c>
      <c r="S225" s="3"/>
    </row>
    <row r="226" spans="1:19" x14ac:dyDescent="0.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2.0570442403504705</v>
      </c>
      <c r="G226" s="1">
        <f>'[1]Electricity and CHPs'!C$101</f>
        <v>1.856482208438532</v>
      </c>
      <c r="H226" s="1">
        <f>'[1]Electricity and CHPs'!D$101</f>
        <v>1.5917114647796469</v>
      </c>
      <c r="I226" s="1">
        <f>'[1]Electricity and CHPs'!E$101</f>
        <v>3.6071458122102666</v>
      </c>
      <c r="J226" s="1">
        <f>'[1]Electricity and CHPs'!F$101</f>
        <v>2.7913580858755243</v>
      </c>
      <c r="K226" s="1">
        <f>'[1]Electricity and CHPs'!G$101</f>
        <v>2.1598996916274276</v>
      </c>
      <c r="L226" s="1">
        <f>'[1]Electricity and CHPs'!H$101</f>
        <v>1.6712898652816974</v>
      </c>
      <c r="M226" s="1">
        <f>'[1]Electricity and CHPs'!I$101</f>
        <v>1.2932164185846347</v>
      </c>
      <c r="N226" s="1">
        <f>'[1]Electricity and CHPs'!J$101</f>
        <v>1.0006618163197833</v>
      </c>
      <c r="O226" s="1">
        <f>'[1]Electricity and CHPs'!K$101</f>
        <v>0.77429547508115815</v>
      </c>
      <c r="P226" s="1">
        <f>'[1]Electricity and CHPs'!L$101</f>
        <v>0.59913408685995218</v>
      </c>
      <c r="Q226" s="1">
        <f>'[1]Electricity and CHPs'!M$101</f>
        <v>0.46360323786092617</v>
      </c>
      <c r="S226" s="3"/>
    </row>
    <row r="227" spans="1:19" x14ac:dyDescent="0.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O227" si="223">+G228</f>
        <v>0</v>
      </c>
      <c r="H227" s="1">
        <f t="shared" si="223"/>
        <v>0</v>
      </c>
      <c r="I227" s="1">
        <f t="shared" si="223"/>
        <v>1.4555472365237275E-5</v>
      </c>
      <c r="J227" s="1">
        <f t="shared" si="223"/>
        <v>2.1940043421209092E-5</v>
      </c>
      <c r="K227" s="1">
        <f t="shared" si="223"/>
        <v>2.2226851875610692E-5</v>
      </c>
      <c r="L227" s="1">
        <f t="shared" si="223"/>
        <v>2.2901331037541532E-5</v>
      </c>
      <c r="M227" s="1">
        <f t="shared" si="223"/>
        <v>2.5250430095370821E-5</v>
      </c>
      <c r="N227" s="1">
        <f t="shared" si="223"/>
        <v>2.5780845736088154E-5</v>
      </c>
      <c r="O227" s="1">
        <f t="shared" si="223"/>
        <v>3.1477027392311066E-5</v>
      </c>
      <c r="P227" s="1">
        <f>+P228</f>
        <v>3.2654261967319557E-5</v>
      </c>
      <c r="Q227" s="1">
        <f>+Q228</f>
        <v>6.15663676882221E-5</v>
      </c>
      <c r="S227" s="3"/>
    </row>
    <row r="228" spans="1:19" x14ac:dyDescent="0.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1.4555472365237275E-5</v>
      </c>
      <c r="J228" s="1">
        <f>'[1]Electricity and CHPs'!F$102</f>
        <v>2.1940043421209092E-5</v>
      </c>
      <c r="K228" s="1">
        <f>'[1]Electricity and CHPs'!G$102</f>
        <v>2.2226851875610692E-5</v>
      </c>
      <c r="L228" s="1">
        <f>'[1]Electricity and CHPs'!H$102</f>
        <v>2.2901331037541532E-5</v>
      </c>
      <c r="M228" s="1">
        <f>'[1]Electricity and CHPs'!I$102</f>
        <v>2.5250430095370821E-5</v>
      </c>
      <c r="N228" s="1">
        <f>'[1]Electricity and CHPs'!J$102</f>
        <v>2.5780845736088154E-5</v>
      </c>
      <c r="O228" s="1">
        <f>'[1]Electricity and CHPs'!K$102</f>
        <v>3.1477027392311066E-5</v>
      </c>
      <c r="P228" s="1">
        <f>'[1]Electricity and CHPs'!L$102</f>
        <v>3.2654261967319557E-5</v>
      </c>
      <c r="Q228" s="1">
        <f>'[1]Electricity and CHPs'!M$102</f>
        <v>6.15663676882221E-5</v>
      </c>
      <c r="S228" s="3"/>
    </row>
    <row r="229" spans="1:19" x14ac:dyDescent="0.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O229" si="224">+G230</f>
        <v>0</v>
      </c>
      <c r="H229" s="1">
        <f t="shared" si="224"/>
        <v>0</v>
      </c>
      <c r="I229" s="1">
        <f t="shared" si="224"/>
        <v>0</v>
      </c>
      <c r="J229" s="1">
        <f t="shared" si="224"/>
        <v>0</v>
      </c>
      <c r="K229" s="1">
        <f t="shared" si="224"/>
        <v>1.2624651877967116E-4</v>
      </c>
      <c r="L229" s="1">
        <f t="shared" si="224"/>
        <v>1.2670362025095916E-4</v>
      </c>
      <c r="M229" s="1">
        <f t="shared" si="224"/>
        <v>1.27922135816608E-4</v>
      </c>
      <c r="N229" s="1">
        <f t="shared" si="224"/>
        <v>1.2930351668822507E-4</v>
      </c>
      <c r="O229" s="1">
        <f t="shared" si="224"/>
        <v>1.418304122765964E-4</v>
      </c>
      <c r="P229" s="1">
        <f>+P230</f>
        <v>1.4404905663952872E-4</v>
      </c>
      <c r="Q229" s="1">
        <f>+Q230</f>
        <v>3.1326583997625811E-4</v>
      </c>
      <c r="S229" s="3"/>
    </row>
    <row r="230" spans="1:19" x14ac:dyDescent="0.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'[1]Electricity and CHPs'!F$90</f>
        <v>0</v>
      </c>
      <c r="K230" s="1">
        <f>'[1]Electricity and CHPs'!G$90</f>
        <v>1.2624651877967116E-4</v>
      </c>
      <c r="L230" s="1">
        <f>'[1]Electricity and CHPs'!H$90</f>
        <v>1.2670362025095916E-4</v>
      </c>
      <c r="M230" s="1">
        <f>'[1]Electricity and CHPs'!I$90</f>
        <v>1.27922135816608E-4</v>
      </c>
      <c r="N230" s="1">
        <f>'[1]Electricity and CHPs'!J$90</f>
        <v>1.2930351668822507E-4</v>
      </c>
      <c r="O230" s="1">
        <f>'[1]Electricity and CHPs'!K$90</f>
        <v>1.418304122765964E-4</v>
      </c>
      <c r="P230" s="1">
        <f>'[1]Electricity and CHPs'!L$90</f>
        <v>1.4404905663952872E-4</v>
      </c>
      <c r="Q230" s="1">
        <f>'[1]Electricity and CHPs'!M$90</f>
        <v>3.1326583997625811E-4</v>
      </c>
      <c r="S230" s="3"/>
    </row>
    <row r="231" spans="1:19" x14ac:dyDescent="0.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O231" si="225">+G232</f>
        <v>3.9395024946800921</v>
      </c>
      <c r="H231" s="1">
        <f t="shared" si="225"/>
        <v>4.0588737643165347</v>
      </c>
      <c r="I231" s="1">
        <f t="shared" si="225"/>
        <v>4.4363916552004268</v>
      </c>
      <c r="J231" s="1">
        <f t="shared" si="225"/>
        <v>6.3703246638021369</v>
      </c>
      <c r="K231" s="1">
        <f t="shared" si="225"/>
        <v>6.6952757294021703</v>
      </c>
      <c r="L231" s="1">
        <f t="shared" si="225"/>
        <v>7.0368040998578669</v>
      </c>
      <c r="M231" s="1">
        <f t="shared" si="225"/>
        <v>8.6768712579846667</v>
      </c>
      <c r="N231" s="1">
        <f t="shared" si="225"/>
        <v>9.1195141100998001</v>
      </c>
      <c r="O231" s="1">
        <f t="shared" si="225"/>
        <v>13.674953921558634</v>
      </c>
      <c r="P231" s="1">
        <f>+P232</f>
        <v>14.372516991519728</v>
      </c>
      <c r="Q231" s="1">
        <f>+Q232</f>
        <v>15.106304346304738</v>
      </c>
      <c r="S231" s="3"/>
    </row>
    <row r="232" spans="1:19" x14ac:dyDescent="0.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3.9395024946800921</v>
      </c>
      <c r="H232" s="1">
        <f>'[1]Electricity and CHPs'!D$123</f>
        <v>4.0588737643165347</v>
      </c>
      <c r="I232" s="1">
        <f>'[1]Electricity and CHPs'!E$123</f>
        <v>4.4363916552004268</v>
      </c>
      <c r="J232" s="1">
        <f>'[1]Electricity and CHPs'!F$123</f>
        <v>6.3703246638021369</v>
      </c>
      <c r="K232" s="1">
        <f>'[1]Electricity and CHPs'!G$123</f>
        <v>6.6952757294021703</v>
      </c>
      <c r="L232" s="1">
        <f>'[1]Electricity and CHPs'!H$123</f>
        <v>7.0368040998578669</v>
      </c>
      <c r="M232" s="1">
        <f>'[1]Electricity and CHPs'!I$123</f>
        <v>8.6768712579846667</v>
      </c>
      <c r="N232" s="1">
        <f>'[1]Electricity and CHPs'!J$123</f>
        <v>9.1195141100998001</v>
      </c>
      <c r="O232" s="1">
        <f>'[1]Electricity and CHPs'!K$123</f>
        <v>13.674953921558634</v>
      </c>
      <c r="P232" s="1">
        <f>'[1]Electricity and CHPs'!L$123</f>
        <v>14.372516991519728</v>
      </c>
      <c r="Q232" s="1">
        <f>'[1]Electricity and CHPs'!M$123</f>
        <v>15.106304346304738</v>
      </c>
      <c r="S232" s="3"/>
    </row>
    <row r="233" spans="1:19" x14ac:dyDescent="0.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6.4995254095004551</v>
      </c>
      <c r="G233" s="1">
        <f t="shared" ref="G233:K233" si="226">SUM(G234,G240,G273,G282,G288)</f>
        <v>7.6405424021824615</v>
      </c>
      <c r="H233" s="1">
        <f t="shared" si="226"/>
        <v>8.9965349011813949</v>
      </c>
      <c r="I233" s="1">
        <f t="shared" si="226"/>
        <v>10.334766361327256</v>
      </c>
      <c r="J233" s="1">
        <f t="shared" si="226"/>
        <v>9.8033636392775207</v>
      </c>
      <c r="K233" s="1">
        <f t="shared" si="226"/>
        <v>11.574514375946974</v>
      </c>
      <c r="L233" s="1">
        <f t="shared" ref="L233:O233" si="227">SUM(L234,L240,L273,L282,L288)</f>
        <v>16.18792385146828</v>
      </c>
      <c r="M233" s="1">
        <f t="shared" si="227"/>
        <v>18.003905793765909</v>
      </c>
      <c r="N233" s="1">
        <f t="shared" si="227"/>
        <v>18.284620862279713</v>
      </c>
      <c r="O233" s="1">
        <f t="shared" si="227"/>
        <v>19.060124594018053</v>
      </c>
      <c r="P233" s="1">
        <f>SUM(P234,P240,P273,P282,P288)</f>
        <v>20.154515265271453</v>
      </c>
      <c r="Q233" s="1">
        <f>SUM(Q234,Q240,Q273,Q282,Q288)</f>
        <v>21.253320649139301</v>
      </c>
      <c r="S233" s="3"/>
    </row>
    <row r="234" spans="1:19" x14ac:dyDescent="0.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0.92932821397960896</v>
      </c>
      <c r="G234" s="1">
        <f t="shared" ref="G234:O234" si="228">+G235</f>
        <v>2.0727098903810917</v>
      </c>
      <c r="H234" s="1">
        <f t="shared" si="228"/>
        <v>9.0380552040381784E-2</v>
      </c>
      <c r="I234" s="1">
        <f t="shared" si="228"/>
        <v>1.3189430550609258</v>
      </c>
      <c r="J234" s="1">
        <f t="shared" si="228"/>
        <v>0.8494898863105772</v>
      </c>
      <c r="K234" s="1">
        <f t="shared" si="228"/>
        <v>0</v>
      </c>
      <c r="L234" s="1">
        <f t="shared" si="228"/>
        <v>0</v>
      </c>
      <c r="M234" s="1">
        <f t="shared" si="228"/>
        <v>0</v>
      </c>
      <c r="N234" s="1">
        <f t="shared" si="228"/>
        <v>4.6656916750264467E-3</v>
      </c>
      <c r="O234" s="1">
        <f t="shared" si="228"/>
        <v>4.5372456542786838E-3</v>
      </c>
      <c r="P234" s="1">
        <f>+P235</f>
        <v>0.37951654291852188</v>
      </c>
      <c r="Q234" s="1">
        <f>+Q235</f>
        <v>0.37869410845269474</v>
      </c>
      <c r="S234" s="3"/>
    </row>
    <row r="235" spans="1:19" x14ac:dyDescent="0.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0.92932821397960896</v>
      </c>
      <c r="G235" s="1">
        <f>'[1]Electricity and CHPs'!C$104</f>
        <v>2.0727098903810917</v>
      </c>
      <c r="H235" s="1">
        <f>'[1]Electricity and CHPs'!D$104</f>
        <v>9.0380552040381784E-2</v>
      </c>
      <c r="I235" s="1">
        <f>'[1]Electricity and CHPs'!E$104</f>
        <v>1.3189430550609258</v>
      </c>
      <c r="J235" s="1">
        <f>'[1]Electricity and CHPs'!F$104</f>
        <v>0.8494898863105772</v>
      </c>
      <c r="K235" s="1">
        <f>'[1]Electricity and CHPs'!G$104</f>
        <v>0</v>
      </c>
      <c r="L235" s="1">
        <f>'[1]Electricity and CHPs'!H$104</f>
        <v>0</v>
      </c>
      <c r="M235" s="1">
        <f>'[1]Electricity and CHPs'!I$104</f>
        <v>0</v>
      </c>
      <c r="N235" s="1">
        <f>'[1]Electricity and CHPs'!J$104</f>
        <v>4.6656916750264467E-3</v>
      </c>
      <c r="O235" s="1">
        <f>'[1]Electricity and CHPs'!K$104</f>
        <v>4.5372456542786838E-3</v>
      </c>
      <c r="P235" s="1">
        <f>'[1]Electricity and CHPs'!L$104</f>
        <v>0.37951654291852188</v>
      </c>
      <c r="Q235" s="1">
        <f>'[1]Electricity and CHPs'!M$104</f>
        <v>0.37869410845269474</v>
      </c>
      <c r="S235" s="3"/>
    </row>
    <row r="236" spans="1:19" x14ac:dyDescent="0.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0.92932821397960896</v>
      </c>
      <c r="G236" s="1">
        <f t="shared" ref="G236:O236" si="229">G237</f>
        <v>2.0727098903810917</v>
      </c>
      <c r="H236" s="1">
        <f t="shared" si="229"/>
        <v>9.0380552040381784E-2</v>
      </c>
      <c r="I236" s="1">
        <f t="shared" si="229"/>
        <v>1.3189430550609258</v>
      </c>
      <c r="J236" s="1">
        <f t="shared" si="229"/>
        <v>0.8494898863105772</v>
      </c>
      <c r="K236" s="1">
        <f t="shared" si="229"/>
        <v>0</v>
      </c>
      <c r="L236" s="1">
        <f t="shared" si="229"/>
        <v>0</v>
      </c>
      <c r="M236" s="1">
        <f t="shared" si="229"/>
        <v>0</v>
      </c>
      <c r="N236" s="1">
        <f t="shared" si="229"/>
        <v>4.6656916750264467E-3</v>
      </c>
      <c r="O236" s="1">
        <f t="shared" si="229"/>
        <v>4.5372456542786838E-3</v>
      </c>
      <c r="P236" s="1">
        <f>P237</f>
        <v>0.37951654291852188</v>
      </c>
      <c r="Q236" s="1">
        <f>Q237</f>
        <v>0.37869410845269474</v>
      </c>
      <c r="S236" s="3"/>
    </row>
    <row r="237" spans="1:19" x14ac:dyDescent="0.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0.92932821397960896</v>
      </c>
      <c r="G237" s="1">
        <f t="shared" ref="G237:K237" si="230">G235-G239</f>
        <v>2.0727098903810917</v>
      </c>
      <c r="H237" s="1">
        <f t="shared" si="230"/>
        <v>9.0380552040381784E-2</v>
      </c>
      <c r="I237" s="1">
        <f t="shared" si="230"/>
        <v>1.3189430550609258</v>
      </c>
      <c r="J237" s="1">
        <f t="shared" si="230"/>
        <v>0.8494898863105772</v>
      </c>
      <c r="K237" s="1">
        <f t="shared" si="230"/>
        <v>0</v>
      </c>
      <c r="L237" s="1">
        <f t="shared" ref="L237:O237" si="231">L235-L239</f>
        <v>0</v>
      </c>
      <c r="M237" s="1">
        <f t="shared" si="231"/>
        <v>0</v>
      </c>
      <c r="N237" s="1">
        <f t="shared" si="231"/>
        <v>4.6656916750264467E-3</v>
      </c>
      <c r="O237" s="1">
        <f t="shared" si="231"/>
        <v>4.5372456542786838E-3</v>
      </c>
      <c r="P237" s="1">
        <f>P235-P239</f>
        <v>0.37951654291852188</v>
      </c>
      <c r="Q237" s="1">
        <f>Q235-Q239</f>
        <v>0.37869410845269474</v>
      </c>
      <c r="S237" s="3"/>
    </row>
    <row r="238" spans="1:19" x14ac:dyDescent="0.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O238" si="232">G239</f>
        <v>0</v>
      </c>
      <c r="H238" s="1">
        <f t="shared" si="232"/>
        <v>0</v>
      </c>
      <c r="I238" s="1">
        <f t="shared" si="232"/>
        <v>0</v>
      </c>
      <c r="J238" s="1">
        <f t="shared" si="232"/>
        <v>0</v>
      </c>
      <c r="K238" s="1">
        <f t="shared" si="232"/>
        <v>0</v>
      </c>
      <c r="L238" s="1">
        <f t="shared" si="232"/>
        <v>0</v>
      </c>
      <c r="M238" s="1">
        <f t="shared" si="232"/>
        <v>0</v>
      </c>
      <c r="N238" s="1">
        <f t="shared" si="232"/>
        <v>0</v>
      </c>
      <c r="O238" s="1">
        <f t="shared" si="232"/>
        <v>0</v>
      </c>
      <c r="P238" s="1">
        <f>P239</f>
        <v>0</v>
      </c>
      <c r="Q238" s="1">
        <f>Q239</f>
        <v>0</v>
      </c>
      <c r="S238" s="3"/>
    </row>
    <row r="239" spans="1:19" x14ac:dyDescent="0.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33">F235*IFERROR(F81/F77,0)</f>
        <v>0</v>
      </c>
      <c r="G239" s="1">
        <f t="shared" si="233"/>
        <v>0</v>
      </c>
      <c r="H239" s="1">
        <f t="shared" si="233"/>
        <v>0</v>
      </c>
      <c r="I239" s="1">
        <f t="shared" si="233"/>
        <v>0</v>
      </c>
      <c r="J239" s="1">
        <f t="shared" si="233"/>
        <v>0</v>
      </c>
      <c r="K239" s="1">
        <f t="shared" si="233"/>
        <v>0</v>
      </c>
      <c r="L239" s="1">
        <f t="shared" ref="L239:O239" si="234">L235*IFERROR(L81/L77,0)</f>
        <v>0</v>
      </c>
      <c r="M239" s="1">
        <f t="shared" si="234"/>
        <v>0</v>
      </c>
      <c r="N239" s="1">
        <f t="shared" si="234"/>
        <v>0</v>
      </c>
      <c r="O239" s="1">
        <f t="shared" si="234"/>
        <v>0</v>
      </c>
      <c r="P239" s="1">
        <f>P235*IFERROR(P81/P77,0)</f>
        <v>0</v>
      </c>
      <c r="Q239" s="1">
        <f>Q235*IFERROR(Q81/Q77,0)</f>
        <v>0</v>
      </c>
      <c r="S239" s="3"/>
    </row>
    <row r="240" spans="1:19" x14ac:dyDescent="0.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2.9758412473899547</v>
      </c>
      <c r="G240" s="1">
        <f t="shared" ref="G240:K240" si="235">SUM(G241:G250)</f>
        <v>2.8795968782410766</v>
      </c>
      <c r="H240" s="1">
        <f t="shared" si="235"/>
        <v>2.9946401070681556</v>
      </c>
      <c r="I240" s="1">
        <f t="shared" si="235"/>
        <v>3.4048637722096777</v>
      </c>
      <c r="J240" s="1">
        <f t="shared" si="235"/>
        <v>3.1877719483053077</v>
      </c>
      <c r="K240" s="1">
        <f t="shared" si="235"/>
        <v>2.9964015280442617</v>
      </c>
      <c r="L240" s="1">
        <f t="shared" ref="L240:O240" si="236">SUM(L241:L250)</f>
        <v>3.0467696371922579</v>
      </c>
      <c r="M240" s="1">
        <f t="shared" si="236"/>
        <v>4.2299953519383635</v>
      </c>
      <c r="N240" s="1">
        <f t="shared" si="236"/>
        <v>4.6257151790435724</v>
      </c>
      <c r="O240" s="1">
        <f t="shared" si="236"/>
        <v>5.2869871906763217</v>
      </c>
      <c r="P240" s="1">
        <f>SUM(P241:P250)</f>
        <v>6.0489365374937671</v>
      </c>
      <c r="Q240" s="1">
        <f>SUM(Q241:Q250)</f>
        <v>7.081619973471895</v>
      </c>
      <c r="S240" s="3"/>
    </row>
    <row r="241" spans="1:19" x14ac:dyDescent="0.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0.76709179408349548</v>
      </c>
      <c r="G241" s="1">
        <f>'[1]Electricity and CHPs_IN'!C$39*0.75-G88-G242</f>
        <v>0.48449156650334363</v>
      </c>
      <c r="H241" s="1">
        <f>'[1]Electricity and CHPs_IN'!D$39*0.75-H88-H242</f>
        <v>5.8537705360089391E-2</v>
      </c>
      <c r="I241" s="1">
        <f>'[1]Electricity and CHPs_IN'!E$39*0.75-I88-I242</f>
        <v>0.39067891482394218</v>
      </c>
      <c r="J241" s="1">
        <f>'[1]Electricity and CHPs'!F$103-J242</f>
        <v>0.35742840795876329</v>
      </c>
      <c r="K241" s="1">
        <f>'[1]Electricity and CHPs'!G$103-K242</f>
        <v>0.75493614170256929</v>
      </c>
      <c r="L241" s="1">
        <f>'[1]Electricity and CHPs'!H$103-L242</f>
        <v>0.47416021605659237</v>
      </c>
      <c r="M241" s="1">
        <f>'[1]Electricity and CHPs'!I$103-M242</f>
        <v>0.46892711513752916</v>
      </c>
      <c r="N241" s="1">
        <f>'[1]Electricity and CHPs'!J$103-N242</f>
        <v>0.46872269737628841</v>
      </c>
      <c r="O241" s="1">
        <f>'[1]Electricity and CHPs'!K$103-O242</f>
        <v>0.34280905595175493</v>
      </c>
      <c r="P241" s="1">
        <f>'[1]Electricity and CHPs'!L$103-P242</f>
        <v>0.46892841492775117</v>
      </c>
      <c r="Q241" s="1">
        <f>'[1]Electricity and CHPs'!M$103-Q242</f>
        <v>0.46896412963696865</v>
      </c>
      <c r="S241" s="3"/>
    </row>
    <row r="242" spans="1:19" x14ac:dyDescent="0.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SUMPRODUCT((ISNUMBER(SEARCH("ITOT-CHPNGACCS",[1]OUT_Electricity_CHP!$B$1:$B$10000)))*1,([1]OUT_Electricity_CHP!$C$1:$C$10000="Var_Fout")*1,([1]OUT_Electricity_CHP!$D$1:$D$10000="ITOT_LTH_CHP")*1,[1]OUT_Electricity_CHP!I$1:I$10000)</f>
        <v>0</v>
      </c>
      <c r="K242" s="1" cm="1">
        <f t="array" ref="K242">SUMPRODUCT((ISNUMBER(SEARCH("ITOT-CHPNGACCS",[1]OUT_Electricity_CHP!$B$1:$B$10000)))*1,([1]OUT_Electricity_CHP!$C$1:$C$10000="Var_Fout")*1,([1]OUT_Electricity_CHP!$D$1:$D$10000="ITOT_LTH_CHP")*1,[1]OUT_Electricity_CHP!J$1:J$10000)</f>
        <v>1.973665815866782E-3</v>
      </c>
      <c r="L242" s="1" cm="1">
        <f t="array" ref="L242">SUMPRODUCT((ISNUMBER(SEARCH("ITOT-CHPNGACCS",[1]OUT_Electricity_CHP!$B$1:$B$10000)))*1,([1]OUT_Electricity_CHP!$C$1:$C$10000="Var_Fout")*1,([1]OUT_Electricity_CHP!$D$1:$D$10000="ITOT_LTH_CHP")*1,[1]OUT_Electricity_CHP!K$1:K$10000)</f>
        <v>0.27415749370968806</v>
      </c>
      <c r="M242" s="1" cm="1">
        <f t="array" ref="M242">SUMPRODUCT((ISNUMBER(SEARCH("ITOT-CHPNGACCS",[1]OUT_Electricity_CHP!$B$1:$B$10000)))*1,([1]OUT_Electricity_CHP!$C$1:$C$10000="Var_Fout")*1,([1]OUT_Electricity_CHP!$D$1:$D$10000="ITOT_LTH_CHP")*1,[1]OUT_Electricity_CHP!L$1:L$10000)</f>
        <v>0.27113769061431725</v>
      </c>
      <c r="N242" s="1" cm="1">
        <f t="array" ref="N242">SUMPRODUCT((ISNUMBER(SEARCH("ITOT-CHPNGACCS",[1]OUT_Electricity_CHP!$B$1:$B$10000)))*1,([1]OUT_Electricity_CHP!$C$1:$C$10000="Var_Fout")*1,([1]OUT_Electricity_CHP!$D$1:$D$10000="ITOT_LTH_CHP")*1,[1]OUT_Electricity_CHP!M$1:M$10000)</f>
        <v>0.27101278355231279</v>
      </c>
      <c r="O242" s="1" cm="1">
        <f t="array" ref="O242">SUMPRODUCT((ISNUMBER(SEARCH("ITOT-CHPNGACCS",[1]OUT_Electricity_CHP!$B$1:$B$10000)))*1,([1]OUT_Electricity_CHP!$C$1:$C$10000="Var_Fout")*1,([1]OUT_Electricity_CHP!$D$1:$D$10000="ITOT_LTH_CHP")*1,[1]OUT_Electricity_CHP!N$1:N$10000)</f>
        <v>0.19821615754191255</v>
      </c>
      <c r="P242" s="1" cm="1">
        <f t="array" ref="P242">SUMPRODUCT((ISNUMBER(SEARCH("ITOT-CHPNGACCS",[1]OUT_Electricity_CHP!$B$1:$B$10000)))*1,([1]OUT_Electricity_CHP!$C$1:$C$10000="Var_Fout")*1,([1]OUT_Electricity_CHP!$D$1:$D$10000="ITOT_LTH_CHP")*1,[1]OUT_Electricity_CHP!O$1:O$10000)</f>
        <v>0.27113690912804034</v>
      </c>
      <c r="Q242" s="1" cm="1">
        <f t="array" ref="Q242">SUMPRODUCT((ISNUMBER(SEARCH("ITOT-CHPNGACCS",[1]OUT_Electricity_CHP!$B$1:$B$10000)))*1,([1]OUT_Electricity_CHP!$C$1:$C$10000="Var_Fout")*1,([1]OUT_Electricity_CHP!$D$1:$D$10000="ITOT_LTH_CHP")*1,[1]OUT_Electricity_CHP!P$1:P$10000)</f>
        <v>0.27115480543745552</v>
      </c>
      <c r="S242" s="3"/>
    </row>
    <row r="243" spans="1:19" x14ac:dyDescent="0.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5.9248587751292642E-5</v>
      </c>
      <c r="J243" s="1">
        <f>'[1]Electricity and CHPs'!F$107</f>
        <v>9.1886404482795721E-5</v>
      </c>
      <c r="K243" s="1">
        <f>'[1]Electricity and CHPs'!G$107</f>
        <v>7.5838595857940551E-4</v>
      </c>
      <c r="L243" s="1">
        <f>'[1]Electricity and CHPs'!H$107</f>
        <v>5.1361085939810613E-4</v>
      </c>
      <c r="M243" s="1">
        <f>'[1]Electricity and CHPs'!I$107</f>
        <v>1.6101925735053727E-4</v>
      </c>
      <c r="N243" s="1">
        <f>'[1]Electricity and CHPs'!J$107</f>
        <v>2.7748736355418419E-4</v>
      </c>
      <c r="O243" s="1">
        <f>'[1]Electricity and CHPs'!K$107</f>
        <v>1.5373921169316168E-4</v>
      </c>
      <c r="P243" s="1">
        <f>'[1]Electricity and CHPs'!L$107</f>
        <v>1.5836314283182678E-4</v>
      </c>
      <c r="Q243" s="1">
        <f>'[1]Electricity and CHPs'!M$107</f>
        <v>1.4014845232438922E-4</v>
      </c>
      <c r="S243" s="3"/>
    </row>
    <row r="244" spans="1:19" x14ac:dyDescent="0.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3.1776789437588479E-2</v>
      </c>
      <c r="G244" s="1">
        <f>'[1]Electricity and CHPs'!C$109</f>
        <v>4.1049389427956764E-3</v>
      </c>
      <c r="H244" s="1">
        <f>'[1]Electricity and CHPs'!D$109</f>
        <v>8.9175929221781431E-3</v>
      </c>
      <c r="I244" s="1">
        <f>'[1]Electricity and CHPs'!E$109</f>
        <v>6.4853148768003422E-3</v>
      </c>
      <c r="J244" s="1">
        <f>'[1]Electricity and CHPs'!F$109</f>
        <v>6.153428720542805E-3</v>
      </c>
      <c r="K244" s="1">
        <f>'[1]Electricity and CHPs'!G$109</f>
        <v>4.473451210683271E-3</v>
      </c>
      <c r="L244" s="1">
        <f>'[1]Electricity and CHPs'!H$109</f>
        <v>0</v>
      </c>
      <c r="M244" s="1">
        <f>'[1]Electricity and CHPs'!I$109</f>
        <v>0</v>
      </c>
      <c r="N244" s="1">
        <f>'[1]Electricity and CHPs'!J$109</f>
        <v>3.2619942275650769E-3</v>
      </c>
      <c r="O244" s="1">
        <f>'[1]Electricity and CHPs'!K$109</f>
        <v>4.8558531830162916E-3</v>
      </c>
      <c r="P244" s="1">
        <f>'[1]Electricity and CHPs'!L$109</f>
        <v>4.8971559826100162E-3</v>
      </c>
      <c r="Q244" s="1">
        <f>'[1]Electricity and CHPs'!M$109</f>
        <v>6.431874950144547E-3</v>
      </c>
      <c r="S244" s="3"/>
    </row>
    <row r="245" spans="1:19" x14ac:dyDescent="0.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'[1]Electricity and CHPs'!F$111</f>
        <v>0</v>
      </c>
      <c r="K245" s="1">
        <f>'[1]Electricity and CHPs'!G$111</f>
        <v>0</v>
      </c>
      <c r="L245" s="1">
        <f>'[1]Electricity and CHPs'!H$111</f>
        <v>0</v>
      </c>
      <c r="M245" s="1">
        <f>'[1]Electricity and CHPs'!I$111</f>
        <v>0</v>
      </c>
      <c r="N245" s="1">
        <f>'[1]Electricity and CHPs'!J$111</f>
        <v>0</v>
      </c>
      <c r="O245" s="1">
        <f>'[1]Electricity and CHPs'!K$111</f>
        <v>0</v>
      </c>
      <c r="P245" s="1">
        <f>'[1]Electricity and CHPs'!L$111</f>
        <v>0</v>
      </c>
      <c r="Q245" s="1">
        <f>'[1]Electricity and CHPs'!M$111</f>
        <v>0</v>
      </c>
      <c r="S245" s="3"/>
    </row>
    <row r="246" spans="1:19" x14ac:dyDescent="0.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6.0085336485702814E-2</v>
      </c>
      <c r="G246" s="1">
        <f>'[1]Electricity and CHPs'!C$112</f>
        <v>6.2481918052847064E-2</v>
      </c>
      <c r="H246" s="1">
        <f>'[1]Electricity and CHPs'!D$112</f>
        <v>0.24470437239059104</v>
      </c>
      <c r="I246" s="1">
        <f>'[1]Electricity and CHPs'!E$112</f>
        <v>0.23659324994259051</v>
      </c>
      <c r="J246" s="1">
        <f>'[1]Electricity and CHPs'!F$112</f>
        <v>0.23570203627751693</v>
      </c>
      <c r="K246" s="1">
        <f>'[1]Electricity and CHPs'!G$112</f>
        <v>9.7768502106275176E-2</v>
      </c>
      <c r="L246" s="1">
        <f>'[1]Electricity and CHPs'!H$112</f>
        <v>0</v>
      </c>
      <c r="M246" s="1">
        <f>'[1]Electricity and CHPs'!I$112</f>
        <v>0</v>
      </c>
      <c r="N246" s="1">
        <f>'[1]Electricity and CHPs'!J$112</f>
        <v>4.3862119412004319E-3</v>
      </c>
      <c r="O246" s="1">
        <f>'[1]Electricity and CHPs'!K$112</f>
        <v>9.9301466312143819E-3</v>
      </c>
      <c r="P246" s="1">
        <f>'[1]Electricity and CHPs'!L$112</f>
        <v>7.0119705081633822E-3</v>
      </c>
      <c r="Q246" s="1">
        <f>'[1]Electricity and CHPs'!M$112</f>
        <v>1.0627839129809849E-2</v>
      </c>
      <c r="S246" s="3"/>
    </row>
    <row r="247" spans="1:19" x14ac:dyDescent="0.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'[1]Electricity and CHPs'!F$114</f>
        <v>0</v>
      </c>
      <c r="K247" s="1">
        <f>'[1]Electricity and CHPs'!G$114</f>
        <v>0</v>
      </c>
      <c r="L247" s="1">
        <f>'[1]Electricity and CHPs'!H$114</f>
        <v>0</v>
      </c>
      <c r="M247" s="1">
        <f>'[1]Electricity and CHPs'!I$114</f>
        <v>0</v>
      </c>
      <c r="N247" s="1">
        <f>'[1]Electricity and CHPs'!J$114</f>
        <v>0</v>
      </c>
      <c r="O247" s="1">
        <f>'[1]Electricity and CHPs'!K$114</f>
        <v>0</v>
      </c>
      <c r="P247" s="1">
        <f>'[1]Electricity and CHPs'!L$114</f>
        <v>0</v>
      </c>
      <c r="Q247" s="1">
        <f>'[1]Electricity and CHPs'!M$114</f>
        <v>0</v>
      </c>
      <c r="S247" s="3"/>
    </row>
    <row r="248" spans="1:19" x14ac:dyDescent="0.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1.4243088526007546</v>
      </c>
      <c r="G248" s="1">
        <f>'[1]Electricity and CHPs'!C$115</f>
        <v>1.5783210442457019</v>
      </c>
      <c r="H248" s="1">
        <f>'[1]Electricity and CHPs'!D$115</f>
        <v>1.4829748307860846</v>
      </c>
      <c r="I248" s="1">
        <f>'[1]Electricity and CHPs'!E$115</f>
        <v>1.3239672867673631</v>
      </c>
      <c r="J248" s="1">
        <f>'[1]Electricity and CHPs'!F$115</f>
        <v>1.1667618302846412</v>
      </c>
      <c r="K248" s="1">
        <f>'[1]Electricity and CHPs'!G$115</f>
        <v>1.2190277959722897</v>
      </c>
      <c r="L248" s="1">
        <f>'[1]Electricity and CHPs'!H$115</f>
        <v>2.2979383165665794</v>
      </c>
      <c r="M248" s="1">
        <f>'[1]Electricity and CHPs'!I$115</f>
        <v>3.4897695269291669</v>
      </c>
      <c r="N248" s="1">
        <f>'[1]Electricity and CHPs'!J$115</f>
        <v>3.8767376605211794</v>
      </c>
      <c r="O248" s="1">
        <f>'[1]Electricity and CHPs'!K$115</f>
        <v>4.72967513676927</v>
      </c>
      <c r="P248" s="1">
        <f>'[1]Electricity and CHPs'!L$115</f>
        <v>5.2958351627838427</v>
      </c>
      <c r="Q248" s="1">
        <f>'[1]Electricity and CHPs'!M$115</f>
        <v>6.3226149501509621</v>
      </c>
      <c r="S248" s="3"/>
    </row>
    <row r="249" spans="1:19" x14ac:dyDescent="0.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0.69257847478241374</v>
      </c>
      <c r="G249" s="1">
        <f>'[1]Electricity and CHPs'!C$116</f>
        <v>0.75019741049638833</v>
      </c>
      <c r="H249" s="1">
        <f>'[1]Electricity and CHPs'!D$116</f>
        <v>1.1995056056092124</v>
      </c>
      <c r="I249" s="1">
        <f>'[1]Electricity and CHPs'!E$116</f>
        <v>1.4470797572112304</v>
      </c>
      <c r="J249" s="1">
        <f>'[1]Electricity and CHPs'!F$116</f>
        <v>1.4216343586593605</v>
      </c>
      <c r="K249" s="1">
        <f>'[1]Electricity and CHPs'!G$116</f>
        <v>0.91746358527799832</v>
      </c>
      <c r="L249" s="1">
        <f>'[1]Electricity and CHPs'!H$116</f>
        <v>0</v>
      </c>
      <c r="M249" s="1">
        <f>'[1]Electricity and CHPs'!I$116</f>
        <v>0</v>
      </c>
      <c r="N249" s="1">
        <f>'[1]Electricity and CHPs'!J$116</f>
        <v>1.2029672899010247E-3</v>
      </c>
      <c r="O249" s="1">
        <f>'[1]Electricity and CHPs'!K$116</f>
        <v>1.1668746570557813E-3</v>
      </c>
      <c r="P249" s="1">
        <f>'[1]Electricity and CHPs'!L$116</f>
        <v>8.2177527476559858E-4</v>
      </c>
      <c r="Q249" s="1">
        <f>'[1]Electricity and CHPs'!M$116</f>
        <v>1.3899134327573204E-3</v>
      </c>
      <c r="S249" s="3"/>
    </row>
    <row r="250" spans="1:19" x14ac:dyDescent="0.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0</v>
      </c>
      <c r="J250" s="1">
        <f>'[1]Electricity and CHPs'!F$118</f>
        <v>0</v>
      </c>
      <c r="K250" s="1">
        <f>'[1]Electricity and CHPs'!G$118</f>
        <v>0</v>
      </c>
      <c r="L250" s="1">
        <f>'[1]Electricity and CHPs'!H$118</f>
        <v>0</v>
      </c>
      <c r="M250" s="1">
        <f>'[1]Electricity and CHPs'!I$118</f>
        <v>0</v>
      </c>
      <c r="N250" s="1">
        <f>'[1]Electricity and CHPs'!J$118</f>
        <v>1.1337677157075297E-4</v>
      </c>
      <c r="O250" s="1">
        <f>'[1]Electricity and CHPs'!K$118</f>
        <v>1.8022673040433274E-4</v>
      </c>
      <c r="P250" s="1">
        <f>'[1]Electricity and CHPs'!L$118</f>
        <v>1.4678574576259163E-4</v>
      </c>
      <c r="Q250" s="1">
        <f>'[1]Electricity and CHPs'!M$118</f>
        <v>2.9631228147260815E-4</v>
      </c>
      <c r="S250" s="3"/>
    </row>
    <row r="251" spans="1:19" x14ac:dyDescent="0.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1.5118077898789177</v>
      </c>
      <c r="G251" s="1">
        <f t="shared" ref="G251:K251" si="237">SUM(G252:G261)</f>
        <v>1.2460915239500459</v>
      </c>
      <c r="H251" s="1">
        <f t="shared" si="237"/>
        <v>1.4034469546331345</v>
      </c>
      <c r="I251" s="1">
        <f t="shared" si="237"/>
        <v>2.0362984939610631</v>
      </c>
      <c r="J251" s="1">
        <f t="shared" si="237"/>
        <v>1.9627875001396227</v>
      </c>
      <c r="K251" s="1">
        <f t="shared" si="237"/>
        <v>1.6407125108856846</v>
      </c>
      <c r="L251" s="1">
        <f t="shared" ref="L251:O251" si="238">SUM(L252:L261)</f>
        <v>0.59405911619828422</v>
      </c>
      <c r="M251" s="1">
        <f t="shared" si="238"/>
        <v>0.20468919532342542</v>
      </c>
      <c r="N251" s="1">
        <f t="shared" si="238"/>
        <v>1.4142155317354024E-3</v>
      </c>
      <c r="O251" s="1">
        <f t="shared" si="238"/>
        <v>1.7321340523335622E-3</v>
      </c>
      <c r="P251" s="1">
        <f>SUM(P252:P261)</f>
        <v>1.7115768300970293E-3</v>
      </c>
      <c r="Q251" s="1">
        <f>SUM(Q252:Q261)</f>
        <v>2.418117015464666E-3</v>
      </c>
      <c r="S251" s="3"/>
    </row>
    <row r="252" spans="1:19" x14ac:dyDescent="0.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9">F241-F263</f>
        <v>0.74745158640737608</v>
      </c>
      <c r="G252" s="1">
        <f t="shared" si="239"/>
        <v>0.46394532094818131</v>
      </c>
      <c r="H252" s="1">
        <f t="shared" si="239"/>
        <v>5.4347060561507163E-2</v>
      </c>
      <c r="I252" s="1">
        <f t="shared" si="239"/>
        <v>0.38230584339193419</v>
      </c>
      <c r="J252" s="1">
        <f t="shared" si="239"/>
        <v>0.34713137014046969</v>
      </c>
      <c r="K252" s="1">
        <f t="shared" si="239"/>
        <v>0.69688954565972883</v>
      </c>
      <c r="L252" s="1">
        <f t="shared" ref="L252:O252" si="240">L241-L263</f>
        <v>0.37615840994953642</v>
      </c>
      <c r="M252" s="1">
        <f t="shared" si="240"/>
        <v>0.12966896130872435</v>
      </c>
      <c r="N252" s="1">
        <f t="shared" si="240"/>
        <v>8.8503980735521459E-4</v>
      </c>
      <c r="O252" s="1">
        <f t="shared" si="240"/>
        <v>1.0654555829172629E-3</v>
      </c>
      <c r="P252" s="1">
        <f t="shared" ref="P252:Q261" si="241">P241-P263</f>
        <v>1.0657356856819122E-3</v>
      </c>
      <c r="Q252" s="1">
        <f t="shared" si="241"/>
        <v>1.4940746196329679E-3</v>
      </c>
      <c r="S252" s="3"/>
    </row>
    <row r="253" spans="1:19" x14ac:dyDescent="0.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9"/>
        <v>0</v>
      </c>
      <c r="G253" s="1">
        <f t="shared" si="239"/>
        <v>0</v>
      </c>
      <c r="H253" s="1">
        <f t="shared" si="239"/>
        <v>0</v>
      </c>
      <c r="I253" s="1">
        <f t="shared" si="239"/>
        <v>0</v>
      </c>
      <c r="J253" s="1">
        <f t="shared" si="239"/>
        <v>0</v>
      </c>
      <c r="K253" s="1">
        <f t="shared" si="239"/>
        <v>1.8219118117747135E-3</v>
      </c>
      <c r="L253" s="1">
        <f t="shared" ref="L253:O253" si="242">L242-L264</f>
        <v>0.21749325105182979</v>
      </c>
      <c r="M253" s="1">
        <f t="shared" si="242"/>
        <v>7.4975708545438696E-2</v>
      </c>
      <c r="N253" s="1">
        <f t="shared" si="242"/>
        <v>5.1172495611706559E-4</v>
      </c>
      <c r="O253" s="1">
        <f t="shared" si="242"/>
        <v>6.1605873010298073E-4</v>
      </c>
      <c r="P253" s="1">
        <f t="shared" si="241"/>
        <v>6.1621405435147159E-4</v>
      </c>
      <c r="Q253" s="1">
        <f t="shared" si="241"/>
        <v>8.6387313483704542E-4</v>
      </c>
      <c r="S253" s="3"/>
    </row>
    <row r="254" spans="1:19" x14ac:dyDescent="0.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9"/>
        <v>0</v>
      </c>
      <c r="G254" s="1">
        <f t="shared" si="239"/>
        <v>0</v>
      </c>
      <c r="H254" s="1">
        <f t="shared" si="239"/>
        <v>0</v>
      </c>
      <c r="I254" s="1">
        <f t="shared" si="239"/>
        <v>5.7978765811424887E-5</v>
      </c>
      <c r="J254" s="1">
        <f t="shared" si="239"/>
        <v>8.9239279181956366E-5</v>
      </c>
      <c r="K254" s="1">
        <f t="shared" si="239"/>
        <v>7.0007410814535277E-4</v>
      </c>
      <c r="L254" s="1">
        <f t="shared" ref="L254:O254" si="243">L243-L265</f>
        <v>4.0745519691797101E-4</v>
      </c>
      <c r="M254" s="1">
        <f t="shared" si="243"/>
        <v>4.4525469262366688E-5</v>
      </c>
      <c r="N254" s="1">
        <f t="shared" si="243"/>
        <v>5.2395022506523991E-7</v>
      </c>
      <c r="O254" s="1">
        <f t="shared" si="243"/>
        <v>4.7782372888897505E-7</v>
      </c>
      <c r="P254" s="1">
        <f t="shared" si="241"/>
        <v>3.5991261616898367E-7</v>
      </c>
      <c r="Q254" s="1">
        <f t="shared" si="241"/>
        <v>4.4649949189248372E-7</v>
      </c>
      <c r="S254" s="3"/>
    </row>
    <row r="255" spans="1:19" x14ac:dyDescent="0.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3.0963193530751516E-2</v>
      </c>
      <c r="G255" s="1">
        <f t="shared" ref="G255:K255" si="244">G244-G266</f>
        <v>3.9308573088957677E-3</v>
      </c>
      <c r="H255" s="1">
        <f t="shared" si="244"/>
        <v>8.2791930367484279E-3</v>
      </c>
      <c r="I255" s="1">
        <f t="shared" si="244"/>
        <v>6.3463209289263333E-3</v>
      </c>
      <c r="J255" s="1">
        <f t="shared" si="244"/>
        <v>5.9761566099977648E-3</v>
      </c>
      <c r="K255" s="1">
        <f t="shared" si="244"/>
        <v>4.1294901774251869E-3</v>
      </c>
      <c r="L255" s="1">
        <f t="shared" ref="L255:O255" si="245">L244-L266</f>
        <v>0</v>
      </c>
      <c r="M255" s="1">
        <f t="shared" si="245"/>
        <v>0</v>
      </c>
      <c r="N255" s="1">
        <f t="shared" si="245"/>
        <v>6.1592808688767063E-6</v>
      </c>
      <c r="O255" s="1">
        <f t="shared" si="245"/>
        <v>1.5092063041646092E-5</v>
      </c>
      <c r="P255" s="1">
        <f t="shared" si="241"/>
        <v>1.1129788093183074E-5</v>
      </c>
      <c r="Q255" s="1">
        <f t="shared" si="241"/>
        <v>2.0491335077381725E-5</v>
      </c>
      <c r="S255" s="3"/>
    </row>
    <row r="256" spans="1:19" x14ac:dyDescent="0.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46">F245-F267</f>
        <v>0</v>
      </c>
      <c r="G256" s="1">
        <f t="shared" si="246"/>
        <v>0</v>
      </c>
      <c r="H256" s="1">
        <f t="shared" si="246"/>
        <v>0</v>
      </c>
      <c r="I256" s="1">
        <f t="shared" si="246"/>
        <v>0</v>
      </c>
      <c r="J256" s="1">
        <f t="shared" si="246"/>
        <v>0</v>
      </c>
      <c r="K256" s="1">
        <f t="shared" si="246"/>
        <v>0</v>
      </c>
      <c r="L256" s="1">
        <f t="shared" ref="L256:O256" si="247">L245-L267</f>
        <v>0</v>
      </c>
      <c r="M256" s="1">
        <f t="shared" si="247"/>
        <v>0</v>
      </c>
      <c r="N256" s="1">
        <f t="shared" si="247"/>
        <v>0</v>
      </c>
      <c r="O256" s="1">
        <f t="shared" si="247"/>
        <v>0</v>
      </c>
      <c r="P256" s="1">
        <f t="shared" si="241"/>
        <v>0</v>
      </c>
      <c r="Q256" s="1">
        <f t="shared" si="241"/>
        <v>0</v>
      </c>
      <c r="S256" s="3"/>
    </row>
    <row r="257" spans="1:19" x14ac:dyDescent="0.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48">F246-F268</f>
        <v>5.8546943693639823E-2</v>
      </c>
      <c r="G257" s="1">
        <f t="shared" si="248"/>
        <v>5.9832194260260742E-2</v>
      </c>
      <c r="H257" s="1">
        <f t="shared" si="248"/>
        <v>0.22718627701871272</v>
      </c>
      <c r="I257" s="1">
        <f t="shared" si="248"/>
        <v>0.23152255862311411</v>
      </c>
      <c r="J257" s="1">
        <f t="shared" si="248"/>
        <v>0.22891177359174178</v>
      </c>
      <c r="K257" s="1">
        <f t="shared" si="248"/>
        <v>9.02511394659362E-2</v>
      </c>
      <c r="L257" s="1">
        <f t="shared" ref="L257:O257" si="249">L246-L268</f>
        <v>0</v>
      </c>
      <c r="M257" s="1">
        <f t="shared" si="249"/>
        <v>0</v>
      </c>
      <c r="N257" s="1">
        <f t="shared" si="249"/>
        <v>8.2820230238242476E-6</v>
      </c>
      <c r="O257" s="1">
        <f t="shared" si="249"/>
        <v>3.0863041637102517E-5</v>
      </c>
      <c r="P257" s="1">
        <f t="shared" si="241"/>
        <v>1.5936136432786324E-5</v>
      </c>
      <c r="Q257" s="1">
        <f t="shared" si="241"/>
        <v>3.385927345377765E-5</v>
      </c>
      <c r="S257" s="3"/>
    </row>
    <row r="258" spans="1:19" x14ac:dyDescent="0.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50">F247-F269</f>
        <v>0</v>
      </c>
      <c r="G258" s="1">
        <f t="shared" si="250"/>
        <v>0</v>
      </c>
      <c r="H258" s="1">
        <f t="shared" si="250"/>
        <v>0</v>
      </c>
      <c r="I258" s="1">
        <f t="shared" si="250"/>
        <v>0</v>
      </c>
      <c r="J258" s="1">
        <f t="shared" si="250"/>
        <v>0</v>
      </c>
      <c r="K258" s="1">
        <f t="shared" si="250"/>
        <v>0</v>
      </c>
      <c r="L258" s="1">
        <f t="shared" ref="L258:O258" si="251">L247-L269</f>
        <v>0</v>
      </c>
      <c r="M258" s="1">
        <f t="shared" si="251"/>
        <v>0</v>
      </c>
      <c r="N258" s="1">
        <f t="shared" si="251"/>
        <v>0</v>
      </c>
      <c r="O258" s="1">
        <f t="shared" si="251"/>
        <v>0</v>
      </c>
      <c r="P258" s="1">
        <f t="shared" si="241"/>
        <v>0</v>
      </c>
      <c r="Q258" s="1">
        <f t="shared" si="241"/>
        <v>0</v>
      </c>
      <c r="S258" s="3"/>
    </row>
    <row r="259" spans="1:19" x14ac:dyDescent="0.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50"/>
        <v>0</v>
      </c>
      <c r="G259" s="1">
        <f t="shared" ref="G259:K259" si="252">G248-G270</f>
        <v>0</v>
      </c>
      <c r="H259" s="1">
        <f t="shared" si="252"/>
        <v>0</v>
      </c>
      <c r="I259" s="1">
        <f t="shared" si="252"/>
        <v>0</v>
      </c>
      <c r="J259" s="1">
        <f t="shared" si="252"/>
        <v>0</v>
      </c>
      <c r="K259" s="1">
        <f t="shared" si="252"/>
        <v>0</v>
      </c>
      <c r="L259" s="1">
        <f t="shared" ref="L259:O259" si="253">L248-L270</f>
        <v>0</v>
      </c>
      <c r="M259" s="1">
        <f t="shared" si="253"/>
        <v>0</v>
      </c>
      <c r="N259" s="1">
        <f t="shared" si="253"/>
        <v>0</v>
      </c>
      <c r="O259" s="1">
        <f t="shared" si="253"/>
        <v>0</v>
      </c>
      <c r="P259" s="1">
        <f t="shared" si="241"/>
        <v>0</v>
      </c>
      <c r="Q259" s="1">
        <f t="shared" si="241"/>
        <v>0</v>
      </c>
      <c r="S259" s="3"/>
    </row>
    <row r="260" spans="1:19" x14ac:dyDescent="0.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54">F249-F271</f>
        <v>0.67484606624715038</v>
      </c>
      <c r="G260" s="1">
        <f t="shared" si="254"/>
        <v>0.71838315143270792</v>
      </c>
      <c r="H260" s="1">
        <f t="shared" si="254"/>
        <v>1.1136344240161662</v>
      </c>
      <c r="I260" s="1">
        <f t="shared" si="254"/>
        <v>1.4160657922512769</v>
      </c>
      <c r="J260" s="1">
        <f t="shared" si="254"/>
        <v>1.3806789605182315</v>
      </c>
      <c r="K260" s="1">
        <f t="shared" si="254"/>
        <v>0.84692034966267427</v>
      </c>
      <c r="L260" s="1">
        <f t="shared" ref="L260:O260" si="255">L249-L271</f>
        <v>0</v>
      </c>
      <c r="M260" s="1">
        <f t="shared" si="255"/>
        <v>0</v>
      </c>
      <c r="N260" s="1">
        <f t="shared" si="255"/>
        <v>2.2714367033391594E-6</v>
      </c>
      <c r="O260" s="1">
        <f t="shared" si="255"/>
        <v>3.6266635794468798E-6</v>
      </c>
      <c r="P260" s="1">
        <f t="shared" si="241"/>
        <v>1.8676523069384053E-6</v>
      </c>
      <c r="Q260" s="1">
        <f t="shared" si="241"/>
        <v>4.428130537355128E-6</v>
      </c>
      <c r="S260" s="3"/>
    </row>
    <row r="261" spans="1:19" x14ac:dyDescent="0.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56">F250-F272</f>
        <v>0</v>
      </c>
      <c r="G261" s="1">
        <f t="shared" si="256"/>
        <v>0</v>
      </c>
      <c r="H261" s="1">
        <f t="shared" si="256"/>
        <v>0</v>
      </c>
      <c r="I261" s="1">
        <f t="shared" si="256"/>
        <v>0</v>
      </c>
      <c r="J261" s="1">
        <f t="shared" si="256"/>
        <v>0</v>
      </c>
      <c r="K261" s="1">
        <f t="shared" si="256"/>
        <v>0</v>
      </c>
      <c r="L261" s="1">
        <f t="shared" ref="L261:O261" si="257">L250-L272</f>
        <v>0</v>
      </c>
      <c r="M261" s="1">
        <f t="shared" si="257"/>
        <v>0</v>
      </c>
      <c r="N261" s="1">
        <f t="shared" si="257"/>
        <v>2.1407744201681054E-7</v>
      </c>
      <c r="O261" s="1">
        <f t="shared" si="257"/>
        <v>5.6014732623411979E-7</v>
      </c>
      <c r="P261" s="1">
        <f t="shared" si="241"/>
        <v>3.3360061456869832E-7</v>
      </c>
      <c r="Q261" s="1">
        <f t="shared" si="241"/>
        <v>9.4402243424560614E-7</v>
      </c>
      <c r="S261" s="3"/>
    </row>
    <row r="262" spans="1:19" x14ac:dyDescent="0.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1.4640334575110372</v>
      </c>
      <c r="G262" s="1">
        <f t="shared" ref="G262:K262" si="258">SUM(G263:G272)</f>
        <v>1.6335053542910309</v>
      </c>
      <c r="H262" s="1">
        <f t="shared" si="258"/>
        <v>1.5911931524350211</v>
      </c>
      <c r="I262" s="1">
        <f t="shared" si="258"/>
        <v>1.3685652782486148</v>
      </c>
      <c r="J262" s="1">
        <f t="shared" si="258"/>
        <v>1.2249844481656849</v>
      </c>
      <c r="K262" s="1">
        <f t="shared" si="258"/>
        <v>1.3556890171585776</v>
      </c>
      <c r="L262" s="1">
        <f t="shared" ref="L262:O262" si="259">SUM(L263:L272)</f>
        <v>2.4527105209939739</v>
      </c>
      <c r="M262" s="1">
        <f t="shared" si="259"/>
        <v>4.0253061566149384</v>
      </c>
      <c r="N262" s="1">
        <f t="shared" si="259"/>
        <v>4.6243009635118373</v>
      </c>
      <c r="O262" s="1">
        <f t="shared" si="259"/>
        <v>5.2852550566239875</v>
      </c>
      <c r="P262" s="1">
        <f>SUM(P263:P272)</f>
        <v>6.0472249606636703</v>
      </c>
      <c r="Q262" s="1">
        <f>SUM(Q263:Q272)</f>
        <v>7.0792018564564305</v>
      </c>
      <c r="R262" s="1"/>
      <c r="S262" s="3"/>
    </row>
    <row r="263" spans="1:19" x14ac:dyDescent="0.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60">F241*IFERROR(F120/F88,0)</f>
        <v>1.964020767611941E-2</v>
      </c>
      <c r="G263" s="1">
        <f t="shared" si="260"/>
        <v>2.0546245555162344E-2</v>
      </c>
      <c r="H263" s="1">
        <f t="shared" si="260"/>
        <v>4.190644798582225E-3</v>
      </c>
      <c r="I263" s="1">
        <f t="shared" si="260"/>
        <v>8.3730714320079877E-3</v>
      </c>
      <c r="J263" s="1">
        <f t="shared" si="260"/>
        <v>1.0297037818293633E-2</v>
      </c>
      <c r="K263" s="1">
        <f t="shared" si="260"/>
        <v>5.8046596042840418E-2</v>
      </c>
      <c r="L263" s="1">
        <f t="shared" ref="L263:O263" si="261">L241*IFERROR(L120/L88,0)</f>
        <v>9.8001806107055917E-2</v>
      </c>
      <c r="M263" s="1">
        <f t="shared" si="261"/>
        <v>0.33925815382880481</v>
      </c>
      <c r="N263" s="1">
        <f t="shared" si="261"/>
        <v>0.4678376575689332</v>
      </c>
      <c r="O263" s="1">
        <f t="shared" si="261"/>
        <v>0.34174360036883766</v>
      </c>
      <c r="P263" s="1">
        <f t="shared" ref="P263:Q272" si="262">P241*IFERROR(P120/P88,0)</f>
        <v>0.46786267924206926</v>
      </c>
      <c r="Q263" s="1">
        <f t="shared" si="262"/>
        <v>0.46747005501733568</v>
      </c>
      <c r="S263" s="3"/>
    </row>
    <row r="264" spans="1:19" x14ac:dyDescent="0.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60"/>
        <v>0</v>
      </c>
      <c r="G264" s="1">
        <f t="shared" si="260"/>
        <v>0</v>
      </c>
      <c r="H264" s="1">
        <f t="shared" si="260"/>
        <v>0</v>
      </c>
      <c r="I264" s="1">
        <f t="shared" si="260"/>
        <v>0</v>
      </c>
      <c r="J264" s="1">
        <f t="shared" si="260"/>
        <v>0</v>
      </c>
      <c r="K264" s="1">
        <f t="shared" si="260"/>
        <v>1.5175400409206855E-4</v>
      </c>
      <c r="L264" s="1">
        <f t="shared" ref="L264:O264" si="263">L242*IFERROR(L121/L89,0)</f>
        <v>5.6664242657858264E-2</v>
      </c>
      <c r="M264" s="1">
        <f t="shared" si="263"/>
        <v>0.19616198206887855</v>
      </c>
      <c r="N264" s="1">
        <f t="shared" si="263"/>
        <v>0.27050105859619572</v>
      </c>
      <c r="O264" s="1">
        <f t="shared" si="263"/>
        <v>0.19760009881180957</v>
      </c>
      <c r="P264" s="1">
        <f t="shared" si="262"/>
        <v>0.27052069507368887</v>
      </c>
      <c r="Q264" s="1">
        <f t="shared" si="262"/>
        <v>0.27029093230261847</v>
      </c>
      <c r="S264" s="3"/>
    </row>
    <row r="265" spans="1:19" x14ac:dyDescent="0.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60"/>
        <v>0</v>
      </c>
      <c r="G265" s="1">
        <f t="shared" si="260"/>
        <v>0</v>
      </c>
      <c r="H265" s="1">
        <f t="shared" si="260"/>
        <v>0</v>
      </c>
      <c r="I265" s="1">
        <f t="shared" si="260"/>
        <v>1.2698219398677526E-6</v>
      </c>
      <c r="J265" s="1">
        <f t="shared" si="260"/>
        <v>2.6471253008393558E-6</v>
      </c>
      <c r="K265" s="1">
        <f t="shared" si="260"/>
        <v>5.8311850434052726E-5</v>
      </c>
      <c r="L265" s="1">
        <f t="shared" ref="L265:O265" si="264">L243*IFERROR(L122/L90,0)</f>
        <v>1.0615566248013511E-4</v>
      </c>
      <c r="M265" s="1">
        <f t="shared" si="264"/>
        <v>1.1649378808817058E-4</v>
      </c>
      <c r="N265" s="1">
        <f t="shared" si="264"/>
        <v>2.7696341332911895E-4</v>
      </c>
      <c r="O265" s="1">
        <f t="shared" si="264"/>
        <v>1.5326138796427271E-4</v>
      </c>
      <c r="P265" s="1">
        <f t="shared" si="262"/>
        <v>1.580032302156578E-4</v>
      </c>
      <c r="Q265" s="1">
        <f t="shared" si="262"/>
        <v>1.3970195283249674E-4</v>
      </c>
      <c r="S265" s="3"/>
    </row>
    <row r="266" spans="1:19" x14ac:dyDescent="0.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60"/>
        <v>8.1359590683696443E-4</v>
      </c>
      <c r="G266" s="1">
        <f t="shared" si="260"/>
        <v>1.7408163389990897E-4</v>
      </c>
      <c r="H266" s="1">
        <f t="shared" si="260"/>
        <v>6.3839988542971533E-4</v>
      </c>
      <c r="I266" s="1">
        <f t="shared" si="260"/>
        <v>1.3899394787400879E-4</v>
      </c>
      <c r="J266" s="1">
        <f t="shared" si="260"/>
        <v>1.772721105450398E-4</v>
      </c>
      <c r="K266" s="1">
        <f t="shared" si="260"/>
        <v>3.4396103325808422E-4</v>
      </c>
      <c r="L266" s="1">
        <f t="shared" ref="L266:O266" si="265">L244*IFERROR(L123/L91,0)</f>
        <v>0</v>
      </c>
      <c r="M266" s="1">
        <f t="shared" si="265"/>
        <v>0</v>
      </c>
      <c r="N266" s="1">
        <f t="shared" si="265"/>
        <v>3.2558349466962002E-3</v>
      </c>
      <c r="O266" s="1">
        <f t="shared" si="265"/>
        <v>4.8407611199746455E-3</v>
      </c>
      <c r="P266" s="1">
        <f t="shared" si="262"/>
        <v>4.8860261945168331E-3</v>
      </c>
      <c r="Q266" s="1">
        <f t="shared" si="262"/>
        <v>6.4113836150671653E-3</v>
      </c>
      <c r="S266" s="3"/>
    </row>
    <row r="267" spans="1:19" x14ac:dyDescent="0.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60"/>
        <v>0</v>
      </c>
      <c r="G267" s="1">
        <f t="shared" si="260"/>
        <v>0</v>
      </c>
      <c r="H267" s="1">
        <f t="shared" si="260"/>
        <v>0</v>
      </c>
      <c r="I267" s="1">
        <f t="shared" si="260"/>
        <v>0</v>
      </c>
      <c r="J267" s="1">
        <f t="shared" si="260"/>
        <v>0</v>
      </c>
      <c r="K267" s="1">
        <f t="shared" si="260"/>
        <v>0</v>
      </c>
      <c r="L267" s="1">
        <f t="shared" ref="L267:O267" si="266">L245*IFERROR(L124/L92,0)</f>
        <v>0</v>
      </c>
      <c r="M267" s="1">
        <f t="shared" si="266"/>
        <v>0</v>
      </c>
      <c r="N267" s="1">
        <f t="shared" si="266"/>
        <v>0</v>
      </c>
      <c r="O267" s="1">
        <f t="shared" si="266"/>
        <v>0</v>
      </c>
      <c r="P267" s="1">
        <f t="shared" si="262"/>
        <v>0</v>
      </c>
      <c r="Q267" s="1">
        <f t="shared" si="262"/>
        <v>0</v>
      </c>
      <c r="S267" s="3"/>
    </row>
    <row r="268" spans="1:19" x14ac:dyDescent="0.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60"/>
        <v>1.5383927920629916E-3</v>
      </c>
      <c r="G268" s="1">
        <f t="shared" si="260"/>
        <v>2.64972379258632E-3</v>
      </c>
      <c r="H268" s="1">
        <f t="shared" si="260"/>
        <v>1.751809537187831E-2</v>
      </c>
      <c r="I268" s="1">
        <f t="shared" si="260"/>
        <v>5.0706913194764162E-3</v>
      </c>
      <c r="J268" s="1">
        <f t="shared" si="260"/>
        <v>6.7902626857751546E-3</v>
      </c>
      <c r="K268" s="1">
        <f t="shared" si="260"/>
        <v>7.5173626403389785E-3</v>
      </c>
      <c r="L268" s="1">
        <f t="shared" ref="L268:O268" si="267">L246*IFERROR(L125/L93,0)</f>
        <v>0</v>
      </c>
      <c r="M268" s="1">
        <f t="shared" si="267"/>
        <v>0</v>
      </c>
      <c r="N268" s="1">
        <f t="shared" si="267"/>
        <v>4.3779299181766077E-3</v>
      </c>
      <c r="O268" s="1">
        <f t="shared" si="267"/>
        <v>9.8992835895772794E-3</v>
      </c>
      <c r="P268" s="1">
        <f t="shared" si="262"/>
        <v>6.9960343717305959E-3</v>
      </c>
      <c r="Q268" s="1">
        <f t="shared" si="262"/>
        <v>1.0593979856356071E-2</v>
      </c>
      <c r="S268" s="3"/>
    </row>
    <row r="269" spans="1:19" x14ac:dyDescent="0.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60"/>
        <v>0</v>
      </c>
      <c r="G269" s="1">
        <f t="shared" si="260"/>
        <v>0</v>
      </c>
      <c r="H269" s="1">
        <f t="shared" si="260"/>
        <v>0</v>
      </c>
      <c r="I269" s="1">
        <f t="shared" si="260"/>
        <v>0</v>
      </c>
      <c r="J269" s="1">
        <f t="shared" si="260"/>
        <v>0</v>
      </c>
      <c r="K269" s="1">
        <f t="shared" si="260"/>
        <v>0</v>
      </c>
      <c r="L269" s="1">
        <f t="shared" ref="L269:O269" si="268">L247*IFERROR(L126/L94,0)</f>
        <v>0</v>
      </c>
      <c r="M269" s="1">
        <f t="shared" si="268"/>
        <v>0</v>
      </c>
      <c r="N269" s="1">
        <f t="shared" si="268"/>
        <v>0</v>
      </c>
      <c r="O269" s="1">
        <f t="shared" si="268"/>
        <v>0</v>
      </c>
      <c r="P269" s="1">
        <f t="shared" si="262"/>
        <v>0</v>
      </c>
      <c r="Q269" s="1">
        <f t="shared" si="262"/>
        <v>0</v>
      </c>
      <c r="S269" s="3"/>
    </row>
    <row r="270" spans="1:19" x14ac:dyDescent="0.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60"/>
        <v>1.4243088526007546</v>
      </c>
      <c r="G270" s="1">
        <f t="shared" si="260"/>
        <v>1.5783210442457019</v>
      </c>
      <c r="H270" s="1">
        <f t="shared" si="260"/>
        <v>1.4829748307860846</v>
      </c>
      <c r="I270" s="1">
        <f t="shared" si="260"/>
        <v>1.3239672867673631</v>
      </c>
      <c r="J270" s="1">
        <f t="shared" si="260"/>
        <v>1.1667618302846412</v>
      </c>
      <c r="K270" s="1">
        <f t="shared" si="260"/>
        <v>1.2190277959722897</v>
      </c>
      <c r="L270" s="1">
        <f t="shared" ref="L270:O270" si="269">L248*IFERROR(L127/L95,0)</f>
        <v>2.2979383165665794</v>
      </c>
      <c r="M270" s="1">
        <f t="shared" si="269"/>
        <v>3.4897695269291669</v>
      </c>
      <c r="N270" s="1">
        <f t="shared" si="269"/>
        <v>3.8767376605211794</v>
      </c>
      <c r="O270" s="1">
        <f t="shared" si="269"/>
        <v>4.72967513676927</v>
      </c>
      <c r="P270" s="1">
        <f t="shared" si="262"/>
        <v>5.2958351627838427</v>
      </c>
      <c r="Q270" s="1">
        <f t="shared" si="262"/>
        <v>6.3226149501509621</v>
      </c>
      <c r="S270" s="3"/>
    </row>
    <row r="271" spans="1:19" x14ac:dyDescent="0.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60"/>
        <v>1.7732408535263328E-2</v>
      </c>
      <c r="G271" s="1">
        <f t="shared" si="260"/>
        <v>3.1814259063680413E-2</v>
      </c>
      <c r="H271" s="1">
        <f t="shared" si="260"/>
        <v>8.5871181593046159E-2</v>
      </c>
      <c r="I271" s="1">
        <f t="shared" si="260"/>
        <v>3.1013964959953517E-2</v>
      </c>
      <c r="J271" s="1">
        <f t="shared" si="260"/>
        <v>4.095539814112905E-2</v>
      </c>
      <c r="K271" s="1">
        <f t="shared" si="260"/>
        <v>7.0543235615324093E-2</v>
      </c>
      <c r="L271" s="1">
        <f t="shared" ref="L271:O271" si="270">L249*IFERROR(L128/L96,0)</f>
        <v>0</v>
      </c>
      <c r="M271" s="1">
        <f t="shared" si="270"/>
        <v>0</v>
      </c>
      <c r="N271" s="1">
        <f t="shared" si="270"/>
        <v>1.2006958531976856E-3</v>
      </c>
      <c r="O271" s="1">
        <f t="shared" si="270"/>
        <v>1.1632479934763345E-3</v>
      </c>
      <c r="P271" s="1">
        <f t="shared" si="262"/>
        <v>8.1990762245866017E-4</v>
      </c>
      <c r="Q271" s="1">
        <f t="shared" si="262"/>
        <v>1.3854853022199653E-3</v>
      </c>
      <c r="S271" s="3"/>
    </row>
    <row r="272" spans="1:19" x14ac:dyDescent="0.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60"/>
        <v>0</v>
      </c>
      <c r="G272" s="1">
        <f t="shared" si="260"/>
        <v>0</v>
      </c>
      <c r="H272" s="1">
        <f t="shared" si="260"/>
        <v>0</v>
      </c>
      <c r="I272" s="1">
        <f t="shared" si="260"/>
        <v>0</v>
      </c>
      <c r="J272" s="1">
        <f t="shared" si="260"/>
        <v>0</v>
      </c>
      <c r="K272" s="1">
        <f t="shared" si="260"/>
        <v>0</v>
      </c>
      <c r="L272" s="1">
        <f t="shared" ref="L272:O272" si="271">L250*IFERROR(L129/L97,0)</f>
        <v>0</v>
      </c>
      <c r="M272" s="1">
        <f t="shared" si="271"/>
        <v>0</v>
      </c>
      <c r="N272" s="1">
        <f t="shared" si="271"/>
        <v>1.1316269412873616E-4</v>
      </c>
      <c r="O272" s="1">
        <f t="shared" si="271"/>
        <v>1.7966658307809862E-4</v>
      </c>
      <c r="P272" s="1">
        <f t="shared" si="262"/>
        <v>1.4645214514802293E-4</v>
      </c>
      <c r="Q272" s="1">
        <f t="shared" si="262"/>
        <v>2.9536825903836255E-4</v>
      </c>
      <c r="S272" s="3"/>
    </row>
    <row r="273" spans="1:19" x14ac:dyDescent="0.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1.9347901992156566</v>
      </c>
      <c r="G273" s="1">
        <f t="shared" ref="G273:K273" si="272">SUM(G274:G275)</f>
        <v>1.8587657774038655</v>
      </c>
      <c r="H273" s="1">
        <f t="shared" si="272"/>
        <v>2.5502857889282793</v>
      </c>
      <c r="I273" s="1">
        <f t="shared" si="272"/>
        <v>2.2433294776403399</v>
      </c>
      <c r="J273" s="1">
        <f t="shared" si="272"/>
        <v>1.9426644674626261</v>
      </c>
      <c r="K273" s="1">
        <f t="shared" si="272"/>
        <v>1.5927190098575736</v>
      </c>
      <c r="L273" s="1">
        <f t="shared" ref="L273:O273" si="273">SUM(L274:L275)</f>
        <v>2.519692923356406</v>
      </c>
      <c r="M273" s="1">
        <f t="shared" si="273"/>
        <v>2.0114643260932512</v>
      </c>
      <c r="N273" s="1">
        <f t="shared" si="273"/>
        <v>2.0113725087161947</v>
      </c>
      <c r="O273" s="1">
        <f t="shared" si="273"/>
        <v>2.0114681843450706</v>
      </c>
      <c r="P273" s="1">
        <f>SUM(P274:P275)</f>
        <v>2.0114583040639373</v>
      </c>
      <c r="Q273" s="1">
        <f>SUM(Q274:Q275)</f>
        <v>2.0114862401990021</v>
      </c>
      <c r="S273" s="3"/>
    </row>
    <row r="274" spans="1:19" x14ac:dyDescent="0.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1.9347901992156566</v>
      </c>
      <c r="G274" s="1">
        <f>'[1]Electricity and CHPs'!C$106-G275</f>
        <v>1.8587657774038655</v>
      </c>
      <c r="H274" s="1">
        <f>'[1]Electricity and CHPs'!D$106-H275</f>
        <v>2.5502857889282793</v>
      </c>
      <c r="I274" s="1">
        <f>'[1]Electricity and CHPs'!E$106-I275</f>
        <v>2.2433294776403399</v>
      </c>
      <c r="J274" s="1">
        <f>'[1]Electricity and CHPs'!F$106-J275</f>
        <v>1.9426644674626261</v>
      </c>
      <c r="K274" s="1">
        <f>'[1]Electricity and CHPs'!G$106-K275</f>
        <v>0.99673697091059388</v>
      </c>
      <c r="L274" s="1">
        <f>'[1]Electricity and CHPs'!H$106-L275</f>
        <v>2.6742476831920214E-4</v>
      </c>
      <c r="M274" s="1">
        <f>'[1]Electricity and CHPs'!I$106-M275</f>
        <v>1.1888279044747208E-4</v>
      </c>
      <c r="N274" s="1">
        <f>'[1]Electricity and CHPs'!J$106-N275</f>
        <v>1.5269697142317185E-4</v>
      </c>
      <c r="O274" s="1">
        <f>'[1]Electricity and CHPs'!K$106-O275</f>
        <v>8.3706285950224668E-5</v>
      </c>
      <c r="P274" s="1">
        <f>'[1]Electricity and CHPs'!L$106-P275</f>
        <v>1.4425784037630507E-4</v>
      </c>
      <c r="Q274" s="1">
        <f>'[1]Electricity and CHPs'!M$106-Q275</f>
        <v>6.1556888699687562E-5</v>
      </c>
      <c r="S274" s="3"/>
    </row>
    <row r="275" spans="1:19" x14ac:dyDescent="0.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SUMPRODUCT((ISNUMBER(SEARCH("itot*CHPWST*ccs*",[1]OUT_Electricity_CHP!$B$1:$B$10000)))*1,([1]OUT_Electricity_CHP!$C$1:$C$10000="Var_Fout")*1,+([1]OUT_Electricity_CHP!$D$1:$D$10000="ITOT_LTH_CHP")*1,[1]OUT_Electricity_CHP!I$1:I$10000)</f>
        <v>0</v>
      </c>
      <c r="K275" s="10" cm="1">
        <f t="array" ref="K275">SUMPRODUCT((ISNUMBER(SEARCH("itot*CHPWST*ccs*",[1]OUT_Electricity_CHP!$B$1:$B$10000)))*1,([1]OUT_Electricity_CHP!$C$1:$C$10000="Var_Fout")*1,+([1]OUT_Electricity_CHP!$D$1:$D$10000="ITOT_LTH_CHP")*1,[1]OUT_Electricity_CHP!J$1:J$10000)</f>
        <v>0.59598203894697976</v>
      </c>
      <c r="L275" s="10" cm="1">
        <f t="array" ref="L275">SUMPRODUCT((ISNUMBER(SEARCH("itot*CHPWST*ccs*",[1]OUT_Electricity_CHP!$B$1:$B$10000)))*1,([1]OUT_Electricity_CHP!$C$1:$C$10000="Var_Fout")*1,+([1]OUT_Electricity_CHP!$D$1:$D$10000="ITOT_LTH_CHP")*1,[1]OUT_Electricity_CHP!K$1:K$10000)</f>
        <v>2.5194254985880868</v>
      </c>
      <c r="M275" s="10" cm="1">
        <f t="array" ref="M275">SUMPRODUCT((ISNUMBER(SEARCH("itot*CHPWST*ccs*",[1]OUT_Electricity_CHP!$B$1:$B$10000)))*1,([1]OUT_Electricity_CHP!$C$1:$C$10000="Var_Fout")*1,+([1]OUT_Electricity_CHP!$D$1:$D$10000="ITOT_LTH_CHP")*1,[1]OUT_Electricity_CHP!L$1:L$10000)</f>
        <v>2.0113454433028037</v>
      </c>
      <c r="N275" s="10" cm="1">
        <f t="array" ref="N275">SUMPRODUCT((ISNUMBER(SEARCH("itot*CHPWST*ccs*",[1]OUT_Electricity_CHP!$B$1:$B$10000)))*1,([1]OUT_Electricity_CHP!$C$1:$C$10000="Var_Fout")*1,+([1]OUT_Electricity_CHP!$D$1:$D$10000="ITOT_LTH_CHP")*1,[1]OUT_Electricity_CHP!M$1:M$10000)</f>
        <v>2.0112198117447715</v>
      </c>
      <c r="O275" s="10" cm="1">
        <f t="array" ref="O275">SUMPRODUCT((ISNUMBER(SEARCH("itot*CHPWST*ccs*",[1]OUT_Electricity_CHP!$B$1:$B$10000)))*1,([1]OUT_Electricity_CHP!$C$1:$C$10000="Var_Fout")*1,+([1]OUT_Electricity_CHP!$D$1:$D$10000="ITOT_LTH_CHP")*1,[1]OUT_Electricity_CHP!N$1:N$10000)</f>
        <v>2.0113844780591204</v>
      </c>
      <c r="P275" s="10" cm="1">
        <f t="array" ref="P275">SUMPRODUCT((ISNUMBER(SEARCH("itot*CHPWST*ccs*",[1]OUT_Electricity_CHP!$B$1:$B$10000)))*1,([1]OUT_Electricity_CHP!$C$1:$C$10000="Var_Fout")*1,+([1]OUT_Electricity_CHP!$D$1:$D$10000="ITOT_LTH_CHP")*1,[1]OUT_Electricity_CHP!O$1:O$10000)</f>
        <v>2.011314046223561</v>
      </c>
      <c r="Q275" s="10" cm="1">
        <f t="array" ref="Q275">SUMPRODUCT((ISNUMBER(SEARCH("itot*CHPWST*ccs*",[1]OUT_Electricity_CHP!$B$1:$B$10000)))*1,([1]OUT_Electricity_CHP!$C$1:$C$10000="Var_Fout")*1,+([1]OUT_Electricity_CHP!$D$1:$D$10000="ITOT_LTH_CHP")*1,[1]OUT_Electricity_CHP!P$1:P$10000)</f>
        <v>2.0114246833103024</v>
      </c>
      <c r="S275" s="3"/>
    </row>
    <row r="276" spans="1:19" x14ac:dyDescent="0.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74">SUM(G277:G278)</f>
        <v>0</v>
      </c>
      <c r="H276" s="10">
        <f t="shared" si="274"/>
        <v>0</v>
      </c>
      <c r="I276" s="10">
        <f t="shared" si="274"/>
        <v>0</v>
      </c>
      <c r="J276" s="10">
        <f t="shared" si="274"/>
        <v>0</v>
      </c>
      <c r="K276" s="10">
        <f t="shared" si="274"/>
        <v>0</v>
      </c>
      <c r="L276" s="10">
        <f t="shared" ref="L276:O276" si="275">SUM(L277:L278)</f>
        <v>0</v>
      </c>
      <c r="M276" s="10">
        <f t="shared" si="275"/>
        <v>0</v>
      </c>
      <c r="N276" s="10">
        <f t="shared" si="275"/>
        <v>0</v>
      </c>
      <c r="O276" s="10">
        <f t="shared" si="275"/>
        <v>0</v>
      </c>
      <c r="P276" s="10">
        <f>SUM(P277:P278)</f>
        <v>0</v>
      </c>
      <c r="Q276" s="10">
        <f>SUM(Q277:Q278)</f>
        <v>0</v>
      </c>
      <c r="S276" s="3"/>
    </row>
    <row r="277" spans="1:19" x14ac:dyDescent="0.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S277" s="3"/>
    </row>
    <row r="278" spans="1:19" x14ac:dyDescent="0.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S278" s="3"/>
    </row>
    <row r="279" spans="1:19" x14ac:dyDescent="0.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1.9347901992156566</v>
      </c>
      <c r="G279" s="1">
        <f t="shared" ref="G279:K279" si="276">SUM(G280:G281)</f>
        <v>1.8587657774038655</v>
      </c>
      <c r="H279" s="1">
        <f t="shared" si="276"/>
        <v>2.5502857889282793</v>
      </c>
      <c r="I279" s="1">
        <f t="shared" si="276"/>
        <v>2.2433294776403399</v>
      </c>
      <c r="J279" s="1">
        <f t="shared" si="276"/>
        <v>1.9426644674626261</v>
      </c>
      <c r="K279" s="1">
        <f t="shared" si="276"/>
        <v>1.5927190098575736</v>
      </c>
      <c r="L279" s="1">
        <f t="shared" ref="L279:O279" si="277">SUM(L280:L281)</f>
        <v>2.519692923356406</v>
      </c>
      <c r="M279" s="1">
        <f t="shared" si="277"/>
        <v>2.0114643260932512</v>
      </c>
      <c r="N279" s="1">
        <f t="shared" si="277"/>
        <v>2.0113725087161947</v>
      </c>
      <c r="O279" s="1">
        <f t="shared" si="277"/>
        <v>2.0114681843450706</v>
      </c>
      <c r="P279" s="1">
        <f>SUM(P280:P281)</f>
        <v>2.0114583040639373</v>
      </c>
      <c r="Q279" s="1">
        <f>SUM(Q280:Q281)</f>
        <v>2.0114862401990021</v>
      </c>
      <c r="S279" s="3"/>
    </row>
    <row r="280" spans="1:19" x14ac:dyDescent="0.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1.9347901992156566</v>
      </c>
      <c r="G280" s="1">
        <f t="shared" ref="G280:K280" si="278">G274</f>
        <v>1.8587657774038655</v>
      </c>
      <c r="H280" s="1">
        <f t="shared" si="278"/>
        <v>2.5502857889282793</v>
      </c>
      <c r="I280" s="1">
        <f t="shared" si="278"/>
        <v>2.2433294776403399</v>
      </c>
      <c r="J280" s="1">
        <f t="shared" si="278"/>
        <v>1.9426644674626261</v>
      </c>
      <c r="K280" s="1">
        <f t="shared" si="278"/>
        <v>0.99673697091059388</v>
      </c>
      <c r="L280" s="1">
        <f t="shared" ref="L280:O280" si="279">L274</f>
        <v>2.6742476831920214E-4</v>
      </c>
      <c r="M280" s="1">
        <f t="shared" si="279"/>
        <v>1.1888279044747208E-4</v>
      </c>
      <c r="N280" s="1">
        <f t="shared" si="279"/>
        <v>1.5269697142317185E-4</v>
      </c>
      <c r="O280" s="1">
        <f t="shared" si="279"/>
        <v>8.3706285950224668E-5</v>
      </c>
      <c r="P280" s="1">
        <f>P274</f>
        <v>1.4425784037630507E-4</v>
      </c>
      <c r="Q280" s="1">
        <f>Q274</f>
        <v>6.1556888699687562E-5</v>
      </c>
      <c r="S280" s="3"/>
    </row>
    <row r="281" spans="1:19" x14ac:dyDescent="0.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80">F275</f>
        <v>0</v>
      </c>
      <c r="G281" s="1">
        <f t="shared" si="280"/>
        <v>0</v>
      </c>
      <c r="H281" s="1">
        <f t="shared" si="280"/>
        <v>0</v>
      </c>
      <c r="I281" s="1">
        <f t="shared" si="280"/>
        <v>0</v>
      </c>
      <c r="J281" s="1">
        <f t="shared" si="280"/>
        <v>0</v>
      </c>
      <c r="K281" s="1">
        <f t="shared" si="280"/>
        <v>0.59598203894697976</v>
      </c>
      <c r="L281" s="1">
        <f t="shared" ref="L281:O281" si="281">L275</f>
        <v>2.5194254985880868</v>
      </c>
      <c r="M281" s="1">
        <f t="shared" si="281"/>
        <v>2.0113454433028037</v>
      </c>
      <c r="N281" s="1">
        <f t="shared" si="281"/>
        <v>2.0112198117447715</v>
      </c>
      <c r="O281" s="1">
        <f t="shared" si="281"/>
        <v>2.0113844780591204</v>
      </c>
      <c r="P281" s="1">
        <f>P275</f>
        <v>2.011314046223561</v>
      </c>
      <c r="Q281" s="1">
        <f>Q275</f>
        <v>2.0114246833103024</v>
      </c>
      <c r="S281" s="3"/>
    </row>
    <row r="282" spans="1:19" x14ac:dyDescent="0.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0.65956574891523456</v>
      </c>
      <c r="G282" s="1">
        <f t="shared" ref="G282:K282" si="282">SUM(G283:G287)</f>
        <v>0.8294698561564271</v>
      </c>
      <c r="H282" s="1">
        <f t="shared" si="282"/>
        <v>3.3612284531445775</v>
      </c>
      <c r="I282" s="1">
        <f t="shared" si="282"/>
        <v>3.3653695577627483</v>
      </c>
      <c r="J282" s="1">
        <f t="shared" si="282"/>
        <v>3.3650403299531568</v>
      </c>
      <c r="K282" s="1">
        <f t="shared" si="282"/>
        <v>4.9637349508112507</v>
      </c>
      <c r="L282" s="1">
        <f t="shared" ref="L282:O282" si="283">SUM(L283:L287)</f>
        <v>8.3646907937904587</v>
      </c>
      <c r="M282" s="1">
        <f t="shared" si="283"/>
        <v>9.330972738181373</v>
      </c>
      <c r="N282" s="1">
        <f t="shared" si="283"/>
        <v>9.2047399921973607</v>
      </c>
      <c r="O282" s="1">
        <f t="shared" si="283"/>
        <v>9.3192814741950585</v>
      </c>
      <c r="P282" s="1">
        <f>SUM(P283:P287)</f>
        <v>9.2855593331722535</v>
      </c>
      <c r="Q282" s="1">
        <f>SUM(Q283:Q287)</f>
        <v>9.3205130073284472</v>
      </c>
      <c r="S282" s="3"/>
    </row>
    <row r="283" spans="1:19" x14ac:dyDescent="0.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0.65956574891523456</v>
      </c>
      <c r="G283" s="1">
        <f>'[1]Electricity and CHPs'!C$105-G284</f>
        <v>0.8294698561564271</v>
      </c>
      <c r="H283" s="1">
        <f>'[1]Electricity and CHPs'!D$105-H284</f>
        <v>3.3612284531445775</v>
      </c>
      <c r="I283" s="1">
        <f>'[1]Electricity and CHPs'!E$105-I284</f>
        <v>3.3635603793715645</v>
      </c>
      <c r="J283" s="1">
        <f>'[1]Electricity and CHPs'!F$105-J284</f>
        <v>3.3621958676260326</v>
      </c>
      <c r="K283" s="1">
        <f>'[1]Electricity and CHPs'!G$105-K284</f>
        <v>1.3453697270113145</v>
      </c>
      <c r="L283" s="1">
        <f>'[1]Electricity and CHPs'!H$105-L284</f>
        <v>0.45422150390140548</v>
      </c>
      <c r="M283" s="1">
        <f>'[1]Electricity and CHPs'!I$105-M284</f>
        <v>7.0531895200254269E-4</v>
      </c>
      <c r="N283" s="1">
        <f>'[1]Electricity and CHPs'!J$105-N284</f>
        <v>7.0571938375074694E-4</v>
      </c>
      <c r="O283" s="1">
        <f>'[1]Electricity and CHPs'!K$105-O284</f>
        <v>1.0990237155468208E-3</v>
      </c>
      <c r="P283" s="1">
        <f>'[1]Electricity and CHPs'!L$105-P284</f>
        <v>6.4627077678913736E-4</v>
      </c>
      <c r="Q283" s="1">
        <f>'[1]Electricity and CHPs'!M$105-Q284</f>
        <v>8.4476335653960177E-4</v>
      </c>
      <c r="S283" s="3"/>
    </row>
    <row r="284" spans="1:19" x14ac:dyDescent="0.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SUMPRODUCT((ISNUMBER(SEARCH("itot*CHPWOD*ccs",[1]OUT_Electricity_CHP!$B$1:$B$10000)))*1,([1]OUT_Electricity_CHP!$C$1:$C$10000="Var_Fout")*1,([1]OUT_Electricity_CHP!$D$1:$D$10000="ITOT_LTH_CHP")*1,[1]OUT_Electricity_CHP!I$1:I$10000)</f>
        <v>0</v>
      </c>
      <c r="K284" s="1" cm="1">
        <f t="array" ref="K284">SUMPRODUCT((ISNUMBER(SEARCH("itot*CHPWOD*ccs",[1]OUT_Electricity_CHP!$B$1:$B$10000)))*1,([1]OUT_Electricity_CHP!$C$1:$C$10000="Var_Fout")*1,([1]OUT_Electricity_CHP!$D$1:$D$10000="ITOT_LTH_CHP")*1,[1]OUT_Electricity_CHP!J$1:J$10000)</f>
        <v>3.4709367841225451</v>
      </c>
      <c r="L284" s="1" cm="1">
        <f t="array" ref="L284">SUMPRODUCT((ISNUMBER(SEARCH("itot*CHPWOD*ccs",[1]OUT_Electricity_CHP!$B$1:$B$10000)))*1,([1]OUT_Electricity_CHP!$C$1:$C$10000="Var_Fout")*1,([1]OUT_Electricity_CHP!$D$1:$D$10000="ITOT_LTH_CHP")*1,[1]OUT_Electricity_CHP!K$1:K$10000)</f>
        <v>7.6646845925815947</v>
      </c>
      <c r="M284" s="1" cm="1">
        <f t="array" ref="M284">SUMPRODUCT((ISNUMBER(SEARCH("itot*CHPWOD*ccs",[1]OUT_Electricity_CHP!$B$1:$B$10000)))*1,([1]OUT_Electricity_CHP!$C$1:$C$10000="Var_Fout")*1,([1]OUT_Electricity_CHP!$D$1:$D$10000="ITOT_LTH_CHP")*1,[1]OUT_Electricity_CHP!L$1:L$10000)</f>
        <v>9.0867361025851316</v>
      </c>
      <c r="N284" s="1" cm="1">
        <f t="array" ref="N284">SUMPRODUCT((ISNUMBER(SEARCH("itot*CHPWOD*ccs",[1]OUT_Electricity_CHP!$B$1:$B$10000)))*1,([1]OUT_Electricity_CHP!$C$1:$C$10000="Var_Fout")*1,([1]OUT_Electricity_CHP!$D$1:$D$10000="ITOT_LTH_CHP")*1,[1]OUT_Electricity_CHP!M$1:M$10000)</f>
        <v>8.9674904596431517</v>
      </c>
      <c r="O284" s="1" cm="1">
        <f t="array" ref="O284">SUMPRODUCT((ISNUMBER(SEARCH("itot*CHPWOD*ccs",[1]OUT_Electricity_CHP!$B$1:$B$10000)))*1,([1]OUT_Electricity_CHP!$C$1:$C$10000="Var_Fout")*1,([1]OUT_Electricity_CHP!$D$1:$D$10000="ITOT_LTH_CHP")*1,[1]OUT_Electricity_CHP!N$1:N$10000)</f>
        <v>9.0867400613166591</v>
      </c>
      <c r="P284" s="1" cm="1">
        <f t="array" ref="P284">SUMPRODUCT((ISNUMBER(SEARCH("itot*CHPWOD*ccs",[1]OUT_Electricity_CHP!$B$1:$B$10000)))*1,([1]OUT_Electricity_CHP!$C$1:$C$10000="Var_Fout")*1,([1]OUT_Electricity_CHP!$D$1:$D$10000="ITOT_LTH_CHP")*1,[1]OUT_Electricity_CHP!O$1:O$10000)</f>
        <v>9.0508808824061386</v>
      </c>
      <c r="Q284" s="1" cm="1">
        <f t="array" ref="Q284">SUMPRODUCT((ISNUMBER(SEARCH("itot*CHPWOD*ccs",[1]OUT_Electricity_CHP!$B$1:$B$10000)))*1,([1]OUT_Electricity_CHP!$C$1:$C$10000="Var_Fout")*1,([1]OUT_Electricity_CHP!$D$1:$D$10000="ITOT_LTH_CHP")*1,[1]OUT_Electricity_CHP!P$1:P$10000)</f>
        <v>9.0867423988891556</v>
      </c>
      <c r="S284" s="3"/>
    </row>
    <row r="285" spans="1:19" x14ac:dyDescent="0.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5.8209850738541393E-4</v>
      </c>
      <c r="J285" s="1">
        <f>'[1]Electricity and CHPs'!F$110</f>
        <v>9.4917787826439767E-4</v>
      </c>
      <c r="K285" s="1">
        <f>'[1]Electricity and CHPs'!G$110</f>
        <v>3.2355152405794474E-3</v>
      </c>
      <c r="L285" s="1">
        <f>'[1]Electricity and CHPs'!H$110</f>
        <v>6.1441228223301806E-3</v>
      </c>
      <c r="M285" s="1">
        <f>'[1]Electricity and CHPs'!I$110</f>
        <v>6.9675276324647466E-3</v>
      </c>
      <c r="N285" s="1">
        <f>'[1]Electricity and CHPs'!J$110</f>
        <v>4.5510814225719724E-3</v>
      </c>
      <c r="O285" s="1">
        <f>'[1]Electricity and CHPs'!K$110</f>
        <v>2.832737860778616E-3</v>
      </c>
      <c r="P285" s="1">
        <f>'[1]Electricity and CHPs'!L$110</f>
        <v>2.6742757732633295E-3</v>
      </c>
      <c r="Q285" s="1">
        <f>'[1]Electricity and CHPs'!M$110</f>
        <v>4.1645819924067008E-3</v>
      </c>
      <c r="S285" s="3"/>
    </row>
    <row r="286" spans="1:19" x14ac:dyDescent="0.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8.4146983540488325E-4</v>
      </c>
      <c r="J286" s="1">
        <f>'[1]Electricity and CHPs'!F$113</f>
        <v>1.4896362883665758E-3</v>
      </c>
      <c r="K286" s="1">
        <f>'[1]Electricity and CHPs'!G$113</f>
        <v>0.14087648532325142</v>
      </c>
      <c r="L286" s="1">
        <f>'[1]Electricity and CHPs'!H$113</f>
        <v>0.23662803026483592</v>
      </c>
      <c r="M286" s="1">
        <f>'[1]Electricity and CHPs'!I$113</f>
        <v>0.23473778311559643</v>
      </c>
      <c r="N286" s="1">
        <f>'[1]Electricity and CHPs'!J$113</f>
        <v>0.23101487727139955</v>
      </c>
      <c r="O286" s="1">
        <f>'[1]Electricity and CHPs'!K$113</f>
        <v>0.22757661478208602</v>
      </c>
      <c r="P286" s="1">
        <f>'[1]Electricity and CHPs'!L$113</f>
        <v>0.23041634863933894</v>
      </c>
      <c r="Q286" s="1">
        <f>'[1]Electricity and CHPs'!M$113</f>
        <v>0.22719059609666178</v>
      </c>
      <c r="S286" s="3"/>
    </row>
    <row r="287" spans="1:19" x14ac:dyDescent="0.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3.8561004839362243E-4</v>
      </c>
      <c r="J287" s="1">
        <f>'[1]Electricity and CHPs'!F$117</f>
        <v>4.0564816049308241E-4</v>
      </c>
      <c r="K287" s="1">
        <f>'[1]Electricity and CHPs'!G$117</f>
        <v>3.3164391135608313E-3</v>
      </c>
      <c r="L287" s="1">
        <f>'[1]Electricity and CHPs'!H$117</f>
        <v>3.0125442202922287E-3</v>
      </c>
      <c r="M287" s="1">
        <f>'[1]Electricity and CHPs'!I$117</f>
        <v>1.8260058961774837E-3</v>
      </c>
      <c r="N287" s="1">
        <f>'[1]Electricity and CHPs'!J$117</f>
        <v>9.7785447648865952E-4</v>
      </c>
      <c r="O287" s="1">
        <f>'[1]Electricity and CHPs'!K$117</f>
        <v>1.0330365199876564E-3</v>
      </c>
      <c r="P287" s="1">
        <f>'[1]Electricity and CHPs'!L$117</f>
        <v>9.4155557672374814E-4</v>
      </c>
      <c r="Q287" s="1">
        <f>'[1]Electricity and CHPs'!M$117</f>
        <v>1.5706669936831571E-3</v>
      </c>
      <c r="S287" s="3"/>
    </row>
    <row r="288" spans="1:19" x14ac:dyDescent="0.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84">SUM(G289:G290)</f>
        <v>0</v>
      </c>
      <c r="H288" s="1">
        <f t="shared" si="284"/>
        <v>0</v>
      </c>
      <c r="I288" s="1">
        <f t="shared" si="284"/>
        <v>2.260498653563623E-3</v>
      </c>
      <c r="J288" s="1">
        <f t="shared" si="284"/>
        <v>0.45839700724585358</v>
      </c>
      <c r="K288" s="1">
        <f t="shared" si="284"/>
        <v>2.0216588872338885</v>
      </c>
      <c r="L288" s="1">
        <f t="shared" ref="L288:O288" si="285">SUM(L289:L290)</f>
        <v>2.2567704971291569</v>
      </c>
      <c r="M288" s="1">
        <f t="shared" si="285"/>
        <v>2.4314733775529214</v>
      </c>
      <c r="N288" s="1">
        <f t="shared" si="285"/>
        <v>2.4381274906475565</v>
      </c>
      <c r="O288" s="1">
        <f t="shared" si="285"/>
        <v>2.437850499147324</v>
      </c>
      <c r="P288" s="1">
        <f>SUM(P289:P290)</f>
        <v>2.4290445476229729</v>
      </c>
      <c r="Q288" s="1">
        <f>SUM(Q289:Q290)</f>
        <v>2.4610073196872615</v>
      </c>
      <c r="S288" s="3"/>
    </row>
    <row r="289" spans="1:19" x14ac:dyDescent="0.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1.9233364296897756E-3</v>
      </c>
      <c r="J289" s="1">
        <f>'[1]Electricity and CHPs'!F$108</f>
        <v>0.45723823571391725</v>
      </c>
      <c r="K289" s="1">
        <f>'[1]Electricity and CHPs'!G$108</f>
        <v>2.0200243011181827</v>
      </c>
      <c r="L289" s="1">
        <f>'[1]Electricity and CHPs'!H$108</f>
        <v>2.2549229912208739</v>
      </c>
      <c r="M289" s="1">
        <f>'[1]Electricity and CHPs'!I$108</f>
        <v>2.4224520861841889</v>
      </c>
      <c r="N289" s="1">
        <f>'[1]Electricity and CHPs'!J$108</f>
        <v>2.4224536404995782</v>
      </c>
      <c r="O289" s="1">
        <f>'[1]Electricity and CHPs'!K$108</f>
        <v>2.4224533482618567</v>
      </c>
      <c r="P289" s="1">
        <f>'[1]Electricity and CHPs'!L$108</f>
        <v>2.422453669684455</v>
      </c>
      <c r="Q289" s="1">
        <f>'[1]Electricity and CHPs'!M$108</f>
        <v>2.4224542213489419</v>
      </c>
      <c r="S289" s="3"/>
    </row>
    <row r="290" spans="1:19" x14ac:dyDescent="0.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3.3716222387384726E-4</v>
      </c>
      <c r="J290" s="1">
        <f>'[1]Electricity and CHPs'!F$119</f>
        <v>1.1587715319363568E-3</v>
      </c>
      <c r="K290" s="1">
        <f>'[1]Electricity and CHPs'!G$119</f>
        <v>1.634586115705976E-3</v>
      </c>
      <c r="L290" s="1">
        <f>'[1]Electricity and CHPs'!H$119</f>
        <v>1.8475059082828991E-3</v>
      </c>
      <c r="M290" s="1">
        <f>'[1]Electricity and CHPs'!I$119</f>
        <v>9.0212913687323544E-3</v>
      </c>
      <c r="N290" s="1">
        <f>'[1]Electricity and CHPs'!J$119</f>
        <v>1.567385014797832E-2</v>
      </c>
      <c r="O290" s="1">
        <f>'[1]Electricity and CHPs'!K$119</f>
        <v>1.5397150885467422E-2</v>
      </c>
      <c r="P290" s="1">
        <f>'[1]Electricity and CHPs'!L$119</f>
        <v>6.590877938517762E-3</v>
      </c>
      <c r="Q290" s="1">
        <f>'[1]Electricity and CHPs'!M$119</f>
        <v>3.8553098338319526E-2</v>
      </c>
      <c r="S290" s="3"/>
    </row>
    <row r="291" spans="1:19" x14ac:dyDescent="0.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437.29493192402447</v>
      </c>
      <c r="G291" s="3">
        <f t="shared" ref="G291" si="286">SUM(G292,G294,G302,G310,G358,G379,G387,G389,G397,G401,G395)</f>
        <v>420.88203669129939</v>
      </c>
      <c r="H291" s="3">
        <f t="shared" ref="H291" si="287">SUM(H292,H294,H302,H310,H358,H379,H387,H389,H397,H401,H395)</f>
        <v>423.50275629937977</v>
      </c>
      <c r="I291" s="3">
        <f t="shared" ref="I291" si="288">SUM(I292,I294,I302,I310,I358,I379,I387,I389,I397,I401,I395)</f>
        <v>459.91108668792907</v>
      </c>
      <c r="J291" s="3">
        <f t="shared" ref="J291" si="289">SUM(J292,J294,J302,J310,J358,J379,J387,J389,J397,J401,J395)</f>
        <v>457.81663770693984</v>
      </c>
      <c r="K291" s="3">
        <f t="shared" ref="K291" si="290">SUM(K292,K294,K302,K310,K358,K379,K387,K389,K397,K401,K395)</f>
        <v>381.12146469078891</v>
      </c>
      <c r="L291" s="3">
        <f t="shared" ref="L291:O291" si="291">SUM(L292,L294,L302,L310,L358,L379,L387,L389,L397,L401,L395)</f>
        <v>301.94542507959795</v>
      </c>
      <c r="M291" s="3">
        <f t="shared" si="291"/>
        <v>318.53494016286976</v>
      </c>
      <c r="N291" s="3">
        <f t="shared" si="291"/>
        <v>330.26483154093148</v>
      </c>
      <c r="O291" s="3">
        <f t="shared" si="291"/>
        <v>336.12258889495013</v>
      </c>
      <c r="P291" s="3">
        <f>SUM(P292,P294,P302,P310,P358,P379,P387,P389,P397,P401,P395)</f>
        <v>343.29387720607622</v>
      </c>
      <c r="Q291" s="3">
        <f>SUM(Q292,Q294,Q302,Q310,Q358,Q379,Q387,Q389,Q397,Q401,Q395)</f>
        <v>350.02597294739445</v>
      </c>
      <c r="S291" s="3"/>
    </row>
    <row r="292" spans="1:19" x14ac:dyDescent="0.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250.94817837501915</v>
      </c>
      <c r="G292" s="1">
        <f t="shared" ref="G292:O292" si="292">G293</f>
        <v>254.3925432404817</v>
      </c>
      <c r="H292" s="1">
        <f t="shared" si="292"/>
        <v>224.18692539895807</v>
      </c>
      <c r="I292" s="1">
        <f t="shared" si="292"/>
        <v>221.53743910497565</v>
      </c>
      <c r="J292" s="1">
        <f t="shared" si="292"/>
        <v>189.73912816767853</v>
      </c>
      <c r="K292" s="1">
        <f t="shared" si="292"/>
        <v>100.03575043037419</v>
      </c>
      <c r="L292" s="1">
        <f t="shared" si="292"/>
        <v>0</v>
      </c>
      <c r="M292" s="1">
        <f t="shared" si="292"/>
        <v>0</v>
      </c>
      <c r="N292" s="1">
        <f t="shared" si="292"/>
        <v>0</v>
      </c>
      <c r="O292" s="1">
        <f t="shared" si="292"/>
        <v>0</v>
      </c>
      <c r="P292" s="1">
        <f>P293</f>
        <v>0</v>
      </c>
      <c r="Q292" s="1">
        <f>Q293</f>
        <v>0</v>
      </c>
      <c r="S292" s="3"/>
    </row>
    <row r="293" spans="1:19" x14ac:dyDescent="0.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250.94817837501915</v>
      </c>
      <c r="G293" s="1">
        <f>'[1]Electricity and CHPs_IN'!C$14</f>
        <v>254.3925432404817</v>
      </c>
      <c r="H293" s="1">
        <f>'[1]Electricity and CHPs_IN'!D$14</f>
        <v>224.18692539895807</v>
      </c>
      <c r="I293" s="1">
        <f>'[1]Electricity and CHPs_IN'!E$14</f>
        <v>221.53743910497565</v>
      </c>
      <c r="J293" s="1">
        <f>'[1]Electricity and CHPs_IN'!F$14</f>
        <v>189.73912816767853</v>
      </c>
      <c r="K293" s="1">
        <f>'[1]Electricity and CHPs_IN'!G$14</f>
        <v>100.03575043037419</v>
      </c>
      <c r="L293" s="1">
        <f>'[1]Electricity and CHPs_IN'!H$14</f>
        <v>0</v>
      </c>
      <c r="M293" s="1">
        <f>'[1]Electricity and CHPs_IN'!I$14</f>
        <v>0</v>
      </c>
      <c r="N293" s="1">
        <f>'[1]Electricity and CHPs_IN'!J$14</f>
        <v>0</v>
      </c>
      <c r="O293" s="1">
        <f>'[1]Electricity and CHPs_IN'!K$14</f>
        <v>0</v>
      </c>
      <c r="P293" s="1">
        <f>'[1]Electricity and CHPs_IN'!L$14</f>
        <v>0</v>
      </c>
      <c r="Q293" s="1">
        <f>'[1]Electricity and CHPs_IN'!M$14</f>
        <v>0</v>
      </c>
      <c r="S293" s="3"/>
    </row>
    <row r="294" spans="1:19" x14ac:dyDescent="0.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93">E293</f>
        <v>PJ/yr.</v>
      </c>
      <c r="F294" s="1">
        <f>SUM(F295:F297)</f>
        <v>149.43048217680149</v>
      </c>
      <c r="G294" s="1">
        <f t="shared" ref="G294:K294" si="294">SUM(G295:G297)</f>
        <v>125.60467105526772</v>
      </c>
      <c r="H294" s="1">
        <f t="shared" si="294"/>
        <v>140.92857834063167</v>
      </c>
      <c r="I294" s="1">
        <f t="shared" si="294"/>
        <v>151.14219067521708</v>
      </c>
      <c r="J294" s="1">
        <f t="shared" si="294"/>
        <v>151.52031834656964</v>
      </c>
      <c r="K294" s="1">
        <f t="shared" si="294"/>
        <v>151.60430582580517</v>
      </c>
      <c r="L294" s="1">
        <f t="shared" ref="L294:O294" si="295">SUM(L295:L297)</f>
        <v>151.90474981202351</v>
      </c>
      <c r="M294" s="1">
        <f t="shared" si="295"/>
        <v>152.03914992341686</v>
      </c>
      <c r="N294" s="1">
        <f t="shared" si="295"/>
        <v>152.10056665268445</v>
      </c>
      <c r="O294" s="1">
        <f t="shared" si="295"/>
        <v>152.1571558959526</v>
      </c>
      <c r="P294" s="1">
        <f>SUM(P295:P297)</f>
        <v>152.22704092726948</v>
      </c>
      <c r="Q294" s="1">
        <f>SUM(Q295:Q297)</f>
        <v>152.28654890645248</v>
      </c>
      <c r="S294" s="3"/>
    </row>
    <row r="295" spans="1:19" x14ac:dyDescent="0.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93"/>
        <v>PJ/yr.</v>
      </c>
      <c r="F295" s="1">
        <f>'[1]Electricity and CHPs_IN'!B$15</f>
        <v>66.745680071503884</v>
      </c>
      <c r="G295" s="1">
        <f>'[1]Electricity and CHPs_IN'!C$15</f>
        <v>49.798799722391109</v>
      </c>
      <c r="H295" s="1">
        <f>'[1]Electricity and CHPs_IN'!D$15</f>
        <v>68.759993668574865</v>
      </c>
      <c r="I295" s="1">
        <f>'[1]Electricity and CHPs_IN'!E$15</f>
        <v>70.434312649408767</v>
      </c>
      <c r="J295" s="1">
        <f>'[1]Electricity and CHPs_IN'!F$15</f>
        <v>71.412657219040256</v>
      </c>
      <c r="K295" s="1">
        <f>'[1]Electricity and CHPs_IN'!G$15</f>
        <v>72.497173234813303</v>
      </c>
      <c r="L295" s="1">
        <f>'[1]Electricity and CHPs_IN'!H$15</f>
        <v>73.751259760003663</v>
      </c>
      <c r="M295" s="1">
        <f>'[1]Electricity and CHPs_IN'!I$15</f>
        <v>74.836026536032151</v>
      </c>
      <c r="N295" s="1">
        <f>'[1]Electricity and CHPs_IN'!J$15</f>
        <v>74.836040651777509</v>
      </c>
      <c r="O295" s="1">
        <f>'[1]Electricity and CHPs_IN'!K$15</f>
        <v>74.836026015869976</v>
      </c>
      <c r="P295" s="1">
        <f>'[1]Electricity and CHPs_IN'!L$15</f>
        <v>74.836035221176147</v>
      </c>
      <c r="Q295" s="1">
        <f>'[1]Electricity and CHPs_IN'!M$15</f>
        <v>74.83604224785708</v>
      </c>
      <c r="S295" s="3"/>
    </row>
    <row r="296" spans="1:19" x14ac:dyDescent="0.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93"/>
        <v>PJ/yr.</v>
      </c>
      <c r="F296" s="1">
        <f>'[1]Electricity and CHPs_IN'!B$16</f>
        <v>66.632400649744582</v>
      </c>
      <c r="G296" s="1">
        <f>'[1]Electricity and CHPs_IN'!C$16</f>
        <v>55.764000107013885</v>
      </c>
      <c r="H296" s="1">
        <f>'[1]Electricity and CHPs_IN'!D$16</f>
        <v>65.54974368884578</v>
      </c>
      <c r="I296" s="1">
        <f>'[1]Electricity and CHPs_IN'!E$16</f>
        <v>64.713757043043117</v>
      </c>
      <c r="J296" s="1">
        <f>'[1]Electricity and CHPs_IN'!F$16</f>
        <v>63.735421098953111</v>
      </c>
      <c r="K296" s="1">
        <f>'[1]Electricity and CHPs_IN'!G$16</f>
        <v>62.650907534077902</v>
      </c>
      <c r="L296" s="1">
        <f>'[1]Electricity and CHPs_IN'!H$16</f>
        <v>61.565868386089662</v>
      </c>
      <c r="M296" s="1">
        <f>'[1]Electricity and CHPs_IN'!I$16</f>
        <v>60.481145119729575</v>
      </c>
      <c r="N296" s="1">
        <f>'[1]Electricity and CHPs_IN'!J$16</f>
        <v>60.481130963801938</v>
      </c>
      <c r="O296" s="1">
        <f>'[1]Electricity and CHPs_IN'!K$16</f>
        <v>60.481146817568373</v>
      </c>
      <c r="P296" s="1">
        <f>'[1]Electricity and CHPs_IN'!L$16</f>
        <v>60.481137947601312</v>
      </c>
      <c r="Q296" s="1">
        <f>'[1]Electricity and CHPs_IN'!M$16</f>
        <v>60.481134043620003</v>
      </c>
      <c r="S296" s="3"/>
    </row>
    <row r="297" spans="1:19" x14ac:dyDescent="0.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93"/>
        <v>PJ/yr.</v>
      </c>
      <c r="F297" s="1">
        <f>'[1]Electricity and CHPs_IN'!B$13</f>
        <v>16.052401455553035</v>
      </c>
      <c r="G297" s="1">
        <f>'[1]Electricity and CHPs_IN'!C$13</f>
        <v>20.041871225862714</v>
      </c>
      <c r="H297" s="1">
        <f>'[1]Electricity and CHPs_IN'!D$13</f>
        <v>6.6188409832110073</v>
      </c>
      <c r="I297" s="1">
        <f>'[1]Electricity and CHPs_IN'!E$13</f>
        <v>15.994120982765203</v>
      </c>
      <c r="J297" s="1">
        <f>'[1]Electricity and CHPs_IN'!F$13</f>
        <v>16.372240028576268</v>
      </c>
      <c r="K297" s="1">
        <f>'[1]Electricity and CHPs_IN'!G$13</f>
        <v>16.456225056913965</v>
      </c>
      <c r="L297" s="1">
        <f>'[1]Electricity and CHPs_IN'!H$13</f>
        <v>16.5876216659302</v>
      </c>
      <c r="M297" s="1">
        <f>'[1]Electricity and CHPs_IN'!I$13</f>
        <v>16.721978267655103</v>
      </c>
      <c r="N297" s="1">
        <f>'[1]Electricity and CHPs_IN'!J$13</f>
        <v>16.783395037105006</v>
      </c>
      <c r="O297" s="1">
        <f>'[1]Electricity and CHPs_IN'!K$13</f>
        <v>16.839983062514253</v>
      </c>
      <c r="P297" s="1">
        <f>'[1]Electricity and CHPs_IN'!L$13</f>
        <v>16.90986775849203</v>
      </c>
      <c r="Q297" s="1">
        <f>'[1]Electricity and CHPs_IN'!M$13</f>
        <v>16.96937261497537</v>
      </c>
      <c r="S297" s="3"/>
    </row>
    <row r="298" spans="1:19" x14ac:dyDescent="0.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93"/>
        <v>PJ/yr.</v>
      </c>
      <c r="F298" s="1">
        <f>SUM(F299:F301)</f>
        <v>0.13823754666763344</v>
      </c>
      <c r="G298" s="1">
        <f t="shared" ref="G298:K298" si="296">SUM(G299:G301)</f>
        <v>5.3432275617809041E-2</v>
      </c>
      <c r="H298" s="1">
        <f t="shared" si="296"/>
        <v>6.1646292046641975E-3</v>
      </c>
      <c r="I298" s="1">
        <f t="shared" si="296"/>
        <v>7.5381569765333611E-2</v>
      </c>
      <c r="J298" s="1">
        <f t="shared" si="296"/>
        <v>0.10961148163793367</v>
      </c>
      <c r="K298" s="1">
        <f t="shared" si="296"/>
        <v>0.49493551545265962</v>
      </c>
      <c r="L298" s="1">
        <f t="shared" ref="L298:O298" si="297">SUM(L299:L301)</f>
        <v>0.49625669619145552</v>
      </c>
      <c r="M298" s="1">
        <f t="shared" si="297"/>
        <v>1.4424084932158645E-5</v>
      </c>
      <c r="N298" s="1">
        <f t="shared" si="297"/>
        <v>4.442352841960086E-3</v>
      </c>
      <c r="O298" s="1">
        <f t="shared" si="297"/>
        <v>4.5562735189065666E-3</v>
      </c>
      <c r="P298" s="1">
        <f>SUM(P299:P301)</f>
        <v>0.2036075652858694</v>
      </c>
      <c r="Q298" s="1">
        <f>SUM(Q299:Q301)</f>
        <v>0.20525600622666371</v>
      </c>
      <c r="S298" s="3"/>
    </row>
    <row r="299" spans="1:19" x14ac:dyDescent="0.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93"/>
        <v>PJ/yr.</v>
      </c>
      <c r="F299" s="1">
        <f>'[1]Electricity and CHPs_IN'!B$18</f>
        <v>0.11471567159110566</v>
      </c>
      <c r="G299" s="1">
        <f>'[1]Electricity and CHPs_IN'!C$18</f>
        <v>2.4834251267435742E-4</v>
      </c>
      <c r="H299" s="1">
        <f>'[1]Electricity and CHPs_IN'!D$18</f>
        <v>2.6784083032807575E-3</v>
      </c>
      <c r="I299" s="1">
        <f>'[1]Electricity and CHPs_IN'!E$18</f>
        <v>4.5789587145417775E-4</v>
      </c>
      <c r="J299" s="1">
        <f>'[1]Electricity and CHPs_IN'!F$18</f>
        <v>3.5818411295874647E-4</v>
      </c>
      <c r="K299" s="1">
        <f>'[1]Electricity and CHPs_IN'!G$18</f>
        <v>0.49459674968182049</v>
      </c>
      <c r="L299" s="1">
        <f>'[1]Electricity and CHPs_IN'!H$18</f>
        <v>0.49597450109973273</v>
      </c>
      <c r="M299" s="1">
        <f>'[1]Electricity and CHPs_IN'!I$18</f>
        <v>1.4424084932158645E-5</v>
      </c>
      <c r="N299" s="1">
        <f>'[1]Electricity and CHPs_IN'!J$18</f>
        <v>1.8604276386831324E-3</v>
      </c>
      <c r="O299" s="1">
        <f>'[1]Electricity and CHPs_IN'!K$18</f>
        <v>2.016774494703047E-3</v>
      </c>
      <c r="P299" s="1">
        <f>'[1]Electricity and CHPs_IN'!L$18</f>
        <v>9.9103372616753354E-4</v>
      </c>
      <c r="Q299" s="1">
        <f>'[1]Electricity and CHPs_IN'!M$18</f>
        <v>2.209237130126991E-3</v>
      </c>
      <c r="S299" s="3"/>
    </row>
    <row r="300" spans="1:19" x14ac:dyDescent="0.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93"/>
        <v>PJ/yr.</v>
      </c>
      <c r="F300" s="1">
        <f>IFERROR(F72/SUM(F72,F185),0)*'[1]Electricity and CHPs_IN'!B$28</f>
        <v>2.9242281608887954E-3</v>
      </c>
      <c r="G300" s="1">
        <f>IFERROR(G72/SUM(G72,G185),0)*'[1]Electricity and CHPs_IN'!C$28</f>
        <v>4.6898654348635779E-5</v>
      </c>
      <c r="H300" s="1">
        <f>IFERROR(H72/SUM(H72,H185),0)*'[1]Electricity and CHPs_IN'!D$28</f>
        <v>4.477602550494501E-4</v>
      </c>
      <c r="I300" s="1">
        <f>IFERROR(I72/SUM(I72,I185),0)*'[1]Electricity and CHPs_IN'!E$28</f>
        <v>1.6110727204119837E-4</v>
      </c>
      <c r="J300" s="1">
        <f>IFERROR(J72/SUM(J72,J185),0)*'[1]Electricity and CHPs_IN'!F$28</f>
        <v>6.0357862383941383E-5</v>
      </c>
      <c r="K300" s="1">
        <f>IFERROR(K72/SUM(K72,K185),0)*'[1]Electricity and CHPs_IN'!G$28</f>
        <v>3.3876577083910716E-4</v>
      </c>
      <c r="L300" s="1">
        <f>IFERROR(L72/SUM(L72,L185),0)*'[1]Electricity and CHPs_IN'!H$28</f>
        <v>2.8219509172277641E-4</v>
      </c>
      <c r="M300" s="1">
        <f>IFERROR(M72/SUM(M72,M185),0)*'[1]Electricity and CHPs_IN'!I$28</f>
        <v>0</v>
      </c>
      <c r="N300" s="1">
        <f>IFERROR(N72/SUM(N72,N185),0)*'[1]Electricity and CHPs_IN'!J$28</f>
        <v>5.2400107311418377E-5</v>
      </c>
      <c r="O300" s="1">
        <f>IFERROR(O72/SUM(O72,O185),0)*'[1]Electricity and CHPs_IN'!K$28</f>
        <v>5.8259241331815797E-5</v>
      </c>
      <c r="P300" s="1">
        <f>IFERROR(P72/SUM(P72,P185),0)*'[1]Electricity and CHPs_IN'!L$28</f>
        <v>5.5812518660358545E-5</v>
      </c>
      <c r="Q300" s="1">
        <f>IFERROR(Q72/SUM(Q72,Q185),0)*'[1]Electricity and CHPs_IN'!M$28</f>
        <v>7.044204014882067E-5</v>
      </c>
      <c r="S300" s="3"/>
    </row>
    <row r="301" spans="1:19" x14ac:dyDescent="0.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93"/>
        <v>PJ/yr.</v>
      </c>
      <c r="F301" s="1">
        <f>IFERROR(F73/SUM(F73,F235),0)*'[1]Electricity and CHPs_IN'!B$41</f>
        <v>2.0597646915638989E-2</v>
      </c>
      <c r="G301" s="1">
        <f>IFERROR(G73/SUM(G73,G235),0)*'[1]Electricity and CHPs_IN'!C$41</f>
        <v>5.3137034450786047E-2</v>
      </c>
      <c r="H301" s="1">
        <f>IFERROR(H73/SUM(H73,H235),0)*'[1]Electricity and CHPs_IN'!D$41</f>
        <v>3.03846064633399E-3</v>
      </c>
      <c r="I301" s="1">
        <f>IFERROR(I73/SUM(I73,I235),0)*'[1]Electricity and CHPs_IN'!E$41</f>
        <v>7.4762566621838236E-2</v>
      </c>
      <c r="J301" s="1">
        <f>IFERROR(J73/SUM(J73,J235),0)*'[1]Electricity and CHPs_IN'!F$41</f>
        <v>0.10919293966259098</v>
      </c>
      <c r="K301" s="1">
        <f>IFERROR(K73/SUM(K73,K235),0)*'[1]Electricity and CHPs_IN'!G$41</f>
        <v>0</v>
      </c>
      <c r="L301" s="1">
        <f>IFERROR(L73/SUM(L73,L235),0)*'[1]Electricity and CHPs_IN'!H$41</f>
        <v>0</v>
      </c>
      <c r="M301" s="1">
        <f>IFERROR(M73/SUM(M73,M235),0)*'[1]Electricity and CHPs_IN'!I$41</f>
        <v>0</v>
      </c>
      <c r="N301" s="1">
        <f>IFERROR(N73/SUM(N73,N235),0)*'[1]Electricity and CHPs_IN'!J$41</f>
        <v>2.5295250959655349E-3</v>
      </c>
      <c r="O301" s="1">
        <f>IFERROR(O73/SUM(O73,O235),0)*'[1]Electricity and CHPs_IN'!K$41</f>
        <v>2.4812397828717042E-3</v>
      </c>
      <c r="P301" s="1">
        <f>IFERROR(P73/SUM(P73,P235),0)*'[1]Electricity and CHPs_IN'!L$41</f>
        <v>0.2025607190410415</v>
      </c>
      <c r="Q301" s="1">
        <f>IFERROR(Q73/SUM(Q73,Q235),0)*'[1]Electricity and CHPs_IN'!M$41</f>
        <v>0.20297632705638791</v>
      </c>
      <c r="S301" s="3"/>
    </row>
    <row r="302" spans="1:19" x14ac:dyDescent="0.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93"/>
        <v>PJ/yr.</v>
      </c>
      <c r="F302" s="1">
        <f>F298</f>
        <v>0.13823754666763344</v>
      </c>
      <c r="G302" s="1">
        <f t="shared" ref="G302:K302" si="298">G298</f>
        <v>5.3432275617809041E-2</v>
      </c>
      <c r="H302" s="1">
        <f t="shared" si="298"/>
        <v>6.1646292046641975E-3</v>
      </c>
      <c r="I302" s="1">
        <f t="shared" si="298"/>
        <v>7.5381569765333611E-2</v>
      </c>
      <c r="J302" s="1">
        <f t="shared" si="298"/>
        <v>0.10961148163793367</v>
      </c>
      <c r="K302" s="1">
        <f t="shared" si="298"/>
        <v>0.49493551545265962</v>
      </c>
      <c r="L302" s="1">
        <f t="shared" ref="L302:O302" si="299">L298</f>
        <v>0.49625669619145552</v>
      </c>
      <c r="M302" s="1">
        <f t="shared" si="299"/>
        <v>1.4424084932158645E-5</v>
      </c>
      <c r="N302" s="1">
        <f t="shared" si="299"/>
        <v>4.442352841960086E-3</v>
      </c>
      <c r="O302" s="1">
        <f t="shared" si="299"/>
        <v>4.5562735189065666E-3</v>
      </c>
      <c r="P302" s="1">
        <f t="shared" ref="P302:Q305" si="300">P298</f>
        <v>0.2036075652858694</v>
      </c>
      <c r="Q302" s="1">
        <f t="shared" si="300"/>
        <v>0.20525600622666371</v>
      </c>
      <c r="S302" s="3"/>
    </row>
    <row r="303" spans="1:19" x14ac:dyDescent="0.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93"/>
        <v>PJ/yr.</v>
      </c>
      <c r="F303" s="1">
        <f t="shared" ref="F303:K303" si="301">F299</f>
        <v>0.11471567159110566</v>
      </c>
      <c r="G303" s="1">
        <f t="shared" si="301"/>
        <v>2.4834251267435742E-4</v>
      </c>
      <c r="H303" s="1">
        <f t="shared" si="301"/>
        <v>2.6784083032807575E-3</v>
      </c>
      <c r="I303" s="1">
        <f t="shared" si="301"/>
        <v>4.5789587145417775E-4</v>
      </c>
      <c r="J303" s="1">
        <f t="shared" si="301"/>
        <v>3.5818411295874647E-4</v>
      </c>
      <c r="K303" s="1">
        <f t="shared" si="301"/>
        <v>0.49459674968182049</v>
      </c>
      <c r="L303" s="1">
        <f t="shared" ref="L303:O303" si="302">L299</f>
        <v>0.49597450109973273</v>
      </c>
      <c r="M303" s="1">
        <f t="shared" si="302"/>
        <v>1.4424084932158645E-5</v>
      </c>
      <c r="N303" s="1">
        <f t="shared" si="302"/>
        <v>1.8604276386831324E-3</v>
      </c>
      <c r="O303" s="1">
        <f t="shared" si="302"/>
        <v>2.016774494703047E-3</v>
      </c>
      <c r="P303" s="1">
        <f t="shared" si="300"/>
        <v>9.9103372616753354E-4</v>
      </c>
      <c r="Q303" s="1">
        <f t="shared" si="300"/>
        <v>2.209237130126991E-3</v>
      </c>
      <c r="S303" s="3"/>
    </row>
    <row r="304" spans="1:19" x14ac:dyDescent="0.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93"/>
        <v>PJ/yr.</v>
      </c>
      <c r="F304" s="1">
        <f t="shared" ref="F304:K304" si="303">F300</f>
        <v>2.9242281608887954E-3</v>
      </c>
      <c r="G304" s="1">
        <f t="shared" si="303"/>
        <v>4.6898654348635779E-5</v>
      </c>
      <c r="H304" s="1">
        <f t="shared" si="303"/>
        <v>4.477602550494501E-4</v>
      </c>
      <c r="I304" s="1">
        <f t="shared" si="303"/>
        <v>1.6110727204119837E-4</v>
      </c>
      <c r="J304" s="1">
        <f t="shared" si="303"/>
        <v>6.0357862383941383E-5</v>
      </c>
      <c r="K304" s="1">
        <f t="shared" si="303"/>
        <v>3.3876577083910716E-4</v>
      </c>
      <c r="L304" s="1">
        <f t="shared" ref="L304:O304" si="304">L300</f>
        <v>2.8219509172277641E-4</v>
      </c>
      <c r="M304" s="1">
        <f t="shared" si="304"/>
        <v>0</v>
      </c>
      <c r="N304" s="1">
        <f t="shared" si="304"/>
        <v>5.2400107311418377E-5</v>
      </c>
      <c r="O304" s="1">
        <f t="shared" si="304"/>
        <v>5.8259241331815797E-5</v>
      </c>
      <c r="P304" s="1">
        <f t="shared" si="300"/>
        <v>5.5812518660358545E-5</v>
      </c>
      <c r="Q304" s="1">
        <f t="shared" si="300"/>
        <v>7.044204014882067E-5</v>
      </c>
      <c r="S304" s="3"/>
    </row>
    <row r="305" spans="1:19" x14ac:dyDescent="0.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93"/>
        <v>PJ/yr.</v>
      </c>
      <c r="F305" s="1">
        <f t="shared" ref="F305:K305" si="305">F301</f>
        <v>2.0597646915638989E-2</v>
      </c>
      <c r="G305" s="1">
        <f t="shared" si="305"/>
        <v>5.3137034450786047E-2</v>
      </c>
      <c r="H305" s="1">
        <f t="shared" si="305"/>
        <v>3.03846064633399E-3</v>
      </c>
      <c r="I305" s="1">
        <f t="shared" si="305"/>
        <v>7.4762566621838236E-2</v>
      </c>
      <c r="J305" s="1">
        <f t="shared" si="305"/>
        <v>0.10919293966259098</v>
      </c>
      <c r="K305" s="1">
        <f t="shared" si="305"/>
        <v>0</v>
      </c>
      <c r="L305" s="1">
        <f t="shared" ref="L305:O305" si="306">L301</f>
        <v>0</v>
      </c>
      <c r="M305" s="1">
        <f t="shared" si="306"/>
        <v>0</v>
      </c>
      <c r="N305" s="1">
        <f t="shared" si="306"/>
        <v>2.5295250959655349E-3</v>
      </c>
      <c r="O305" s="1">
        <f t="shared" si="306"/>
        <v>2.4812397828717042E-3</v>
      </c>
      <c r="P305" s="1">
        <f t="shared" si="300"/>
        <v>0.2025607190410415</v>
      </c>
      <c r="Q305" s="1">
        <f t="shared" si="300"/>
        <v>0.20297632705638791</v>
      </c>
      <c r="S305" s="3"/>
    </row>
    <row r="306" spans="1:19" x14ac:dyDescent="0.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93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S306" s="3"/>
    </row>
    <row r="307" spans="1:19" x14ac:dyDescent="0.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93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S307" s="3"/>
    </row>
    <row r="308" spans="1:19" x14ac:dyDescent="0.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93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S308" s="3"/>
    </row>
    <row r="309" spans="1:19" x14ac:dyDescent="0.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93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S309" s="3"/>
    </row>
    <row r="310" spans="1:19" x14ac:dyDescent="0.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93"/>
        <v>PJ/yr.</v>
      </c>
      <c r="F310" s="1">
        <f>SUM(F311:F325)</f>
        <v>4.0494437331944804</v>
      </c>
      <c r="G310" s="1">
        <f t="shared" ref="G310:K310" si="307">SUM(G311:G325)</f>
        <v>2.6506058512613366</v>
      </c>
      <c r="H310" s="1">
        <f t="shared" si="307"/>
        <v>2.6864988961067269</v>
      </c>
      <c r="I310" s="1">
        <f t="shared" si="307"/>
        <v>3.2835604373556455</v>
      </c>
      <c r="J310" s="1">
        <f t="shared" si="307"/>
        <v>2.9851099019523009</v>
      </c>
      <c r="K310" s="1">
        <f t="shared" si="307"/>
        <v>3.4917666332183965</v>
      </c>
      <c r="L310" s="1">
        <f t="shared" ref="L310:O310" si="308">SUM(L311:L325)</f>
        <v>4.7680840943647631</v>
      </c>
      <c r="M310" s="1">
        <f t="shared" si="308"/>
        <v>6.511880343141641</v>
      </c>
      <c r="N310" s="1">
        <f t="shared" si="308"/>
        <v>11.91953956622671</v>
      </c>
      <c r="O310" s="1">
        <f t="shared" si="308"/>
        <v>13.505061784546466</v>
      </c>
      <c r="P310" s="1">
        <f>SUM(P311:P325)</f>
        <v>14.800266505032228</v>
      </c>
      <c r="Q310" s="1">
        <f>SUM(Q311:Q325)</f>
        <v>16.462315639494676</v>
      </c>
      <c r="S310" s="3"/>
    </row>
    <row r="311" spans="1:19" x14ac:dyDescent="0.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93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'[1]Electricity and CHPs_IN'!F$21</f>
        <v>0</v>
      </c>
      <c r="K311" s="1">
        <f>'[1]Electricity and CHPs_IN'!G$21</f>
        <v>8.3162229216532925E-6</v>
      </c>
      <c r="L311" s="1">
        <f>'[1]Electricity and CHPs_IN'!H$21</f>
        <v>7.7374713604625845E-6</v>
      </c>
      <c r="M311" s="1">
        <f>'[1]Electricity and CHPs_IN'!I$21</f>
        <v>2.1048662914619989E-4</v>
      </c>
      <c r="N311" s="1">
        <f>'[1]Electricity and CHPs_IN'!J$21</f>
        <v>1.2401459702953042E-3</v>
      </c>
      <c r="O311" s="1">
        <f>'[1]Electricity and CHPs_IN'!K$21</f>
        <v>1.0142741259827448E-3</v>
      </c>
      <c r="P311" s="1">
        <f>'[1]Electricity and CHPs_IN'!L$21</f>
        <v>1.1655432465106222E-3</v>
      </c>
      <c r="Q311" s="1">
        <f>'[1]Electricity and CHPs_IN'!M$21</f>
        <v>1.8906685117677862E-3</v>
      </c>
      <c r="S311" s="3"/>
    </row>
    <row r="312" spans="1:19" x14ac:dyDescent="0.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93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'[1]Electricity and CHPs_IN'!F$22</f>
        <v>0</v>
      </c>
      <c r="K312" s="1">
        <f>'[1]Electricity and CHPs_IN'!G$22</f>
        <v>6.5688743966800774E-6</v>
      </c>
      <c r="L312" s="1">
        <f>'[1]Electricity and CHPs_IN'!H$22</f>
        <v>1.1758886947129012E-6</v>
      </c>
      <c r="M312" s="1">
        <f>'[1]Electricity and CHPs_IN'!I$22</f>
        <v>3.5681207610703362E-3</v>
      </c>
      <c r="N312" s="1">
        <f>'[1]Electricity and CHPs_IN'!J$22</f>
        <v>1.4588659549062835E-3</v>
      </c>
      <c r="O312" s="1">
        <f>'[1]Electricity and CHPs_IN'!K$22</f>
        <v>1.141580062091726E-3</v>
      </c>
      <c r="P312" s="1">
        <f>'[1]Electricity and CHPs_IN'!L$22</f>
        <v>1.1669446350147526E-3</v>
      </c>
      <c r="Q312" s="1">
        <f>'[1]Electricity and CHPs_IN'!M$22</f>
        <v>2.2478743569160757E-3</v>
      </c>
      <c r="S312" s="3"/>
    </row>
    <row r="313" spans="1:19" x14ac:dyDescent="0.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93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'[1]Electricity and CHPs_IN'!F$23</f>
        <v>0</v>
      </c>
      <c r="K313" s="1">
        <f>'[1]Electricity and CHPs_IN'!G$23</f>
        <v>0</v>
      </c>
      <c r="L313" s="1">
        <f>'[1]Electricity and CHPs_IN'!H$23</f>
        <v>7.9466711179976242E-6</v>
      </c>
      <c r="M313" s="1">
        <f>'[1]Electricity and CHPs_IN'!I$23</f>
        <v>2.1748416025307903E-4</v>
      </c>
      <c r="N313" s="1">
        <f>'[1]Electricity and CHPs_IN'!J$23</f>
        <v>4.8232803909019291</v>
      </c>
      <c r="O313" s="1">
        <f>'[1]Electricity and CHPs_IN'!K$23</f>
        <v>5.4700189179788303</v>
      </c>
      <c r="P313" s="1">
        <f>'[1]Electricity and CHPs_IN'!L$23</f>
        <v>5.554974788105949</v>
      </c>
      <c r="Q313" s="1">
        <f>'[1]Electricity and CHPs_IN'!M$23</f>
        <v>5.638417158857985</v>
      </c>
      <c r="S313" s="3"/>
    </row>
    <row r="314" spans="1:19" x14ac:dyDescent="0.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93"/>
        <v>PJ/yr.</v>
      </c>
      <c r="F314" s="1">
        <f>IFERROR(F86/SUM(F86+F189),0)*'[1]Electricity and CHPs_IN'!B$24</f>
        <v>1.2797496144522424</v>
      </c>
      <c r="G314" s="1">
        <f>IFERROR(G86/SUM(G86+G189),0)*'[1]Electricity and CHPs_IN'!C$24</f>
        <v>1.4471801093990654E-4</v>
      </c>
      <c r="H314" s="1">
        <f>IFERROR(H86/SUM(H86+H189),0)*'[1]Electricity and CHPs_IN'!D$24</f>
        <v>7.1609765923303238E-4</v>
      </c>
      <c r="I314" s="1">
        <f>IFERROR(I86/SUM(I86+I189),0)*'[1]Electricity and CHPs_IN'!E$24</f>
        <v>0</v>
      </c>
      <c r="J314" s="1">
        <f>IFERROR(J86/SUM(J86+J189),0)*'[1]Electricity and CHPs_IN'!F$24</f>
        <v>0</v>
      </c>
      <c r="K314" s="1">
        <f>IFERROR(K86/SUM(K86+K189),0)*'[1]Electricity and CHPs_IN'!G$24</f>
        <v>0</v>
      </c>
      <c r="L314" s="1">
        <f>IFERROR(L86/SUM(L86+L189),0)*'[1]Electricity and CHPs_IN'!H$24</f>
        <v>0</v>
      </c>
      <c r="M314" s="1">
        <f>IFERROR(M86/SUM(M86+M189),0)*'[1]Electricity and CHPs_IN'!I$24</f>
        <v>0</v>
      </c>
      <c r="N314" s="1">
        <f>IFERROR(N86/SUM(N86+N189),0)*'[1]Electricity and CHPs_IN'!J$24</f>
        <v>0</v>
      </c>
      <c r="O314" s="1">
        <f>IFERROR(O86/SUM(O86+O189),0)*'[1]Electricity and CHPs_IN'!K$24</f>
        <v>0</v>
      </c>
      <c r="P314" s="1">
        <f>IFERROR(P86/SUM(P86+P189),0)*'[1]Electricity and CHPs_IN'!L$24</f>
        <v>0</v>
      </c>
      <c r="Q314" s="1">
        <f>IFERROR(Q86/SUM(Q86+Q189),0)*'[1]Electricity and CHPs_IN'!M$24</f>
        <v>0</v>
      </c>
      <c r="S314" s="3"/>
    </row>
    <row r="315" spans="1:19" x14ac:dyDescent="0.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93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IFERROR(J87/SUM(J87+J190),0)*'[1]Electricity and CHPs_IN'!F$29</f>
        <v>0</v>
      </c>
      <c r="K315" s="1">
        <f>IFERROR(K87/SUM(K87+K190),0)*'[1]Electricity and CHPs_IN'!G$29</f>
        <v>0</v>
      </c>
      <c r="L315" s="1">
        <f>IFERROR(L87/SUM(L87+L190),0)*'[1]Electricity and CHPs_IN'!H$29</f>
        <v>0</v>
      </c>
      <c r="M315" s="1">
        <f>IFERROR(M87/SUM(M87+M190),0)*'[1]Electricity and CHPs_IN'!I$29</f>
        <v>0</v>
      </c>
      <c r="N315" s="1">
        <f>IFERROR(N87/SUM(N87+N190),0)*'[1]Electricity and CHPs_IN'!J$29</f>
        <v>0</v>
      </c>
      <c r="O315" s="1">
        <f>IFERROR(O87/SUM(O87+O190),0)*'[1]Electricity and CHPs_IN'!K$29</f>
        <v>0</v>
      </c>
      <c r="P315" s="1">
        <f>IFERROR(P87/SUM(P87+P190),0)*'[1]Electricity and CHPs_IN'!L$29</f>
        <v>0</v>
      </c>
      <c r="Q315" s="1">
        <f>IFERROR(Q87/SUM(Q87+Q190),0)*'[1]Electricity and CHPs_IN'!M$29</f>
        <v>0</v>
      </c>
      <c r="S315" s="3"/>
    </row>
    <row r="316" spans="1:19" x14ac:dyDescent="0.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93"/>
        <v>PJ/yr.</v>
      </c>
      <c r="F316" s="1">
        <f>F88/SUM(F88,F241)*'[1]Electricity and CHPs_IN'!B$39</f>
        <v>0.89328301976223212</v>
      </c>
      <c r="G316" s="1">
        <f>G88/SUM(G88,G241)*'[1]Electricity and CHPs_IN'!C$39</f>
        <v>0.57127953013746458</v>
      </c>
      <c r="H316" s="1">
        <f>H88/SUM(H88,H241)*'[1]Electricity and CHPs_IN'!D$39</f>
        <v>6.9453254568801887E-2</v>
      </c>
      <c r="I316" s="1">
        <f>I88/SUM(I88,I241)*'[1]Electricity and CHPs_IN'!E$39</f>
        <v>0.48080755990559226</v>
      </c>
      <c r="J316" s="1">
        <f>J88/SUM(J88,J241)*'[1]Electricity and CHPs_IN'!F$39</f>
        <v>0.23553715721379057</v>
      </c>
      <c r="K316" s="1">
        <f>K88/SUM(K88,K241)*'[1]Electricity and CHPs_IN'!G$39</f>
        <v>0.87358441318484636</v>
      </c>
      <c r="L316" s="1">
        <f>L88/SUM(L88,L241)*'[1]Electricity and CHPs_IN'!H$39</f>
        <v>0.91879301671209268</v>
      </c>
      <c r="M316" s="1">
        <f>M88/SUM(M88,M241)*'[1]Electricity and CHPs_IN'!I$39</f>
        <v>0.92606350489288736</v>
      </c>
      <c r="N316" s="1">
        <f>N88/SUM(N88,N241)*'[1]Electricity and CHPs_IN'!J$39</f>
        <v>0.92567429144461477</v>
      </c>
      <c r="O316" s="1">
        <f>O88/SUM(O88,O241)*'[1]Electricity and CHPs_IN'!K$39</f>
        <v>0.67583674134556926</v>
      </c>
      <c r="P316" s="1">
        <f>P88/SUM(P88,P241)*'[1]Electricity and CHPs_IN'!L$39</f>
        <v>0.92751293142420266</v>
      </c>
      <c r="Q316" s="1">
        <f>Q88/SUM(Q88,Q241)*'[1]Electricity and CHPs_IN'!M$39</f>
        <v>0.94846861333774757</v>
      </c>
      <c r="S316" s="3"/>
    </row>
    <row r="317" spans="1:19" x14ac:dyDescent="0.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93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IFERROR(J89/SUM(J89,J242),0)*'[1]Electricity and CHPs_IN'!F$40</f>
        <v>0</v>
      </c>
      <c r="K317" s="1">
        <f>IFERROR(K89/SUM(K89,K242),0)*'[1]Electricity and CHPs_IN'!G$40</f>
        <v>2.6619598174150295E-3</v>
      </c>
      <c r="L317" s="1">
        <f>IFERROR(L89/SUM(L89,L242),0)*'[1]Electricity and CHPs_IN'!H$40</f>
        <v>0.35745003458417868</v>
      </c>
      <c r="M317" s="1">
        <f>IFERROR(M89/SUM(M89,M242),0)*'[1]Electricity and CHPs_IN'!I$40</f>
        <v>0.36061229131465145</v>
      </c>
      <c r="N317" s="1">
        <f>IFERROR(N89/SUM(N89,N242),0)*'[1]Electricity and CHPs_IN'!J$40</f>
        <v>0.36043521553475155</v>
      </c>
      <c r="O317" s="1">
        <f>IFERROR(O89/SUM(O89,O242),0)*'[1]Electricity and CHPs_IN'!K$40</f>
        <v>0.26387024697504347</v>
      </c>
      <c r="P317" s="1">
        <f>IFERROR(P89/SUM(P89,P242),0)*'[1]Electricity and CHPs_IN'!L$40</f>
        <v>0.36176854110704582</v>
      </c>
      <c r="Q317" s="1">
        <f>IFERROR(Q89/SUM(Q89,Q242),0)*'[1]Electricity and CHPs_IN'!M$40</f>
        <v>0.37226584151236708</v>
      </c>
      <c r="S317" s="3"/>
    </row>
    <row r="318" spans="1:19" x14ac:dyDescent="0.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93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IFERROR(J90/SUM(J90,J243),0)*'[1]Electricity and CHPs_IN'!$B$47</f>
        <v>0</v>
      </c>
      <c r="K318" s="1">
        <f>IFERROR(K90/SUM(K90,K243),0)*'[1]Electricity and CHPs_IN'!$B$47</f>
        <v>0</v>
      </c>
      <c r="L318" s="1">
        <f>IFERROR(L90/SUM(L90,L243),0)*'[1]Electricity and CHPs_IN'!$B$47</f>
        <v>0</v>
      </c>
      <c r="M318" s="1">
        <f>IFERROR(M90/SUM(M90,M243),0)*'[1]Electricity and CHPs_IN'!$B$47</f>
        <v>0</v>
      </c>
      <c r="N318" s="1">
        <f>IFERROR(N90/SUM(N90,N243),0)*'[1]Electricity and CHPs_IN'!$B$47</f>
        <v>0</v>
      </c>
      <c r="O318" s="1">
        <f>IFERROR(O90/SUM(O90,O243),0)*'[1]Electricity and CHPs_IN'!$B$47</f>
        <v>0</v>
      </c>
      <c r="P318" s="1">
        <f>IFERROR(P90/SUM(P90,P243),0)*'[1]Electricity and CHPs_IN'!$B$47</f>
        <v>0</v>
      </c>
      <c r="Q318" s="1">
        <f>IFERROR(Q90/SUM(Q90,Q243),0)*'[1]Electricity and CHPs_IN'!$B$47</f>
        <v>0</v>
      </c>
      <c r="S318" s="3"/>
    </row>
    <row r="319" spans="1:19" x14ac:dyDescent="0.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93"/>
        <v>PJ/yr.</v>
      </c>
      <c r="F319" s="1">
        <f>F91/SUM(F91,F244)*'[1]Electricity and CHPs_IN'!B$48</f>
        <v>1.5841036300461984E-2</v>
      </c>
      <c r="G319" s="1">
        <f>G91/SUM(G91,G244)*'[1]Electricity and CHPs_IN'!C$48</f>
        <v>1.8827897157166114E-3</v>
      </c>
      <c r="H319" s="1">
        <f>H91/SUM(H91,H244)*'[1]Electricity and CHPs_IN'!D$48</f>
        <v>4.5498616287282878E-3</v>
      </c>
      <c r="I319" s="1">
        <f>IFERROR(I91/SUM(I91,I244)*'[1]Electricity and CHPs_IN'!E$48,0)</f>
        <v>3.2591428601217156E-3</v>
      </c>
      <c r="J319" s="1">
        <f>IFERROR(J91/SUM(J91,J244)*'[1]Electricity and CHPs_IN'!F$48,0)</f>
        <v>3.1357017656499552E-3</v>
      </c>
      <c r="K319" s="1">
        <f>IFERROR(K91/SUM(K91,K244)*'[1]Electricity and CHPs_IN'!G$48,0)</f>
        <v>2.3330813694378292E-3</v>
      </c>
      <c r="L319" s="1">
        <f>IFERROR(L91/SUM(L91,L244)*'[1]Electricity and CHPs_IN'!H$48,0)</f>
        <v>0</v>
      </c>
      <c r="M319" s="1">
        <f>IFERROR(M91/SUM(M91,M244)*'[1]Electricity and CHPs_IN'!I$48,0)</f>
        <v>0</v>
      </c>
      <c r="N319" s="1">
        <f>IFERROR(N91/SUM(N91,N244)*'[1]Electricity and CHPs_IN'!J$48,0)</f>
        <v>1.0618165609556913E-3</v>
      </c>
      <c r="O319" s="1">
        <f>IFERROR(O91/SUM(O91,O244)*'[1]Electricity and CHPs_IN'!K$48,0)</f>
        <v>1.48984528445167E-3</v>
      </c>
      <c r="P319" s="1">
        <f>IFERROR(P91/SUM(P91,P244)*'[1]Electricity and CHPs_IN'!L$48,0)</f>
        <v>1.4983200233765375E-3</v>
      </c>
      <c r="Q319" s="1">
        <f>IFERROR(Q91/SUM(Q91,Q244)*'[1]Electricity and CHPs_IN'!M$48,0)</f>
        <v>1.5332018225229854E-3</v>
      </c>
      <c r="S319" s="3"/>
    </row>
    <row r="320" spans="1:19" x14ac:dyDescent="0.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93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0</v>
      </c>
      <c r="J320" s="1">
        <f>IFERROR(J92/SUM(J92,J245),0)*'[1]Electricity and CHPs_IN'!F$49</f>
        <v>0</v>
      </c>
      <c r="K320" s="1">
        <f>IFERROR(K92/SUM(K92,K245),0)*'[1]Electricity and CHPs_IN'!G$49</f>
        <v>0</v>
      </c>
      <c r="L320" s="1">
        <f>IFERROR(L92/SUM(L92,L245),0)*'[1]Electricity and CHPs_IN'!H$49</f>
        <v>0</v>
      </c>
      <c r="M320" s="1">
        <f>IFERROR(M92/SUM(M92,M245),0)*'[1]Electricity and CHPs_IN'!I$49</f>
        <v>0</v>
      </c>
      <c r="N320" s="1">
        <f>IFERROR(N92/SUM(N92,N245),0)*'[1]Electricity and CHPs_IN'!J$49</f>
        <v>8.6034226845966839E-4</v>
      </c>
      <c r="O320" s="1">
        <f>IFERROR(O92/SUM(O92,O245),0)*'[1]Electricity and CHPs_IN'!K$49</f>
        <v>1.4429371468269556E-3</v>
      </c>
      <c r="P320" s="1">
        <f>IFERROR(P92/SUM(P92,P245),0)*'[1]Electricity and CHPs_IN'!L$49</f>
        <v>1.4474226344212613E-3</v>
      </c>
      <c r="Q320" s="1">
        <f>IFERROR(Q92/SUM(Q92,Q245),0)*'[1]Electricity and CHPs_IN'!M$49</f>
        <v>2.6719401325401137E-3</v>
      </c>
      <c r="S320" s="3"/>
    </row>
    <row r="321" spans="1:19" x14ac:dyDescent="0.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93"/>
        <v>PJ/yr.</v>
      </c>
      <c r="F321" s="1">
        <f>IFERROR(F93/SUM(F93,F246),0)*'[1]Electricity and CHPs_IN'!B$51</f>
        <v>3.1637231558013831E-2</v>
      </c>
      <c r="G321" s="1">
        <f>IFERROR(G93/SUM(G93,G246),0)*'[1]Electricity and CHPs_IN'!C$51</f>
        <v>3.1574523754998918E-2</v>
      </c>
      <c r="H321" s="1">
        <f>IFERROR(H93/SUM(H93,H246),0)*'[1]Electricity and CHPs_IN'!D$51</f>
        <v>0.12596358267763114</v>
      </c>
      <c r="I321" s="1">
        <f>IFERROR(I93/SUM(I93,I246),0)*'[1]Electricity and CHPs_IN'!E$51</f>
        <v>0.12488772683157259</v>
      </c>
      <c r="J321" s="1">
        <f>IFERROR(J93/SUM(J93,J246),0)*'[1]Electricity and CHPs_IN'!F$51</f>
        <v>0.12619192121072409</v>
      </c>
      <c r="K321" s="1">
        <f>IFERROR(K93/SUM(K93,K246),0)*'[1]Electricity and CHPs_IN'!G$51</f>
        <v>5.3100071332261911E-2</v>
      </c>
      <c r="L321" s="1">
        <f>IFERROR(L93/SUM(L93,L246),0)*'[1]Electricity and CHPs_IN'!H$51</f>
        <v>0</v>
      </c>
      <c r="M321" s="1">
        <f>IFERROR(M93/SUM(M93,M246),0)*'[1]Electricity and CHPs_IN'!I$51</f>
        <v>0</v>
      </c>
      <c r="N321" s="1">
        <f>IFERROR(N93/SUM(N93,N246),0)*'[1]Electricity and CHPs_IN'!J$51</f>
        <v>9.6093233275931235E-4</v>
      </c>
      <c r="O321" s="1">
        <f>IFERROR(O93/SUM(O93,O246),0)*'[1]Electricity and CHPs_IN'!K$51</f>
        <v>2.5808472814362929E-3</v>
      </c>
      <c r="P321" s="1">
        <f>IFERROR(P93/SUM(P93,P246),0)*'[1]Electricity and CHPs_IN'!L$51</f>
        <v>1.6694093222011618E-3</v>
      </c>
      <c r="Q321" s="1">
        <f>IFERROR(Q93/SUM(Q93,Q246),0)*'[1]Electricity and CHPs_IN'!M$51</f>
        <v>2.0983363789654499E-3</v>
      </c>
      <c r="S321" s="3"/>
    </row>
    <row r="322" spans="1:19" x14ac:dyDescent="0.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93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0</v>
      </c>
      <c r="J322" s="1">
        <f>IFERROR(J94/SUM(J94,J247),0)*'[1]Electricity and CHPs_IN'!F$52</f>
        <v>0</v>
      </c>
      <c r="K322" s="1">
        <f>IFERROR(K94/SUM(K94,K247),0)*'[1]Electricity and CHPs_IN'!G$52</f>
        <v>0</v>
      </c>
      <c r="L322" s="1">
        <f>IFERROR(L94/SUM(L94,L247),0)*'[1]Electricity and CHPs_IN'!H$52</f>
        <v>0</v>
      </c>
      <c r="M322" s="1">
        <f>IFERROR(M94/SUM(M94,M247),0)*'[1]Electricity and CHPs_IN'!I$52</f>
        <v>0</v>
      </c>
      <c r="N322" s="1">
        <f>IFERROR(N94/SUM(N94,N247),0)*'[1]Electricity and CHPs_IN'!J$52</f>
        <v>2.0857224135718841E-3</v>
      </c>
      <c r="O322" s="1">
        <f>IFERROR(O94/SUM(O94,O247),0)*'[1]Electricity and CHPs_IN'!K$52</f>
        <v>4.0346014295162156E-3</v>
      </c>
      <c r="P322" s="1">
        <f>IFERROR(P94/SUM(P94,P247),0)*'[1]Electricity and CHPs_IN'!L$52</f>
        <v>3.1232459326631413E-3</v>
      </c>
      <c r="Q322" s="1">
        <f>IFERROR(Q94/SUM(Q94,Q247),0)*'[1]Electricity and CHPs_IN'!M$52</f>
        <v>5.4987617429725823E-3</v>
      </c>
      <c r="S322" s="3"/>
    </row>
    <row r="323" spans="1:19" x14ac:dyDescent="0.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93"/>
        <v>PJ/yr.</v>
      </c>
      <c r="F323" s="1">
        <f>IFERROR(F95/SUM(F95,F248),0)*'[1]Electricity and CHPs_IN'!B$54</f>
        <v>1.064700296385662</v>
      </c>
      <c r="G323" s="1">
        <f>IFERROR(G95/SUM(G95,G248),0)*'[1]Electricity and CHPs_IN'!C$54</f>
        <v>1.2550012156489776</v>
      </c>
      <c r="H323" s="1">
        <f>IFERROR(H95/SUM(H95,H248),0)*'[1]Electricity and CHPs_IN'!D$54</f>
        <v>1.2991997991804833</v>
      </c>
      <c r="I323" s="1">
        <f>IFERROR(I95/SUM(I95,I248),0)*'[1]Electricity and CHPs_IN'!E$54</f>
        <v>1.3801330593534455</v>
      </c>
      <c r="J323" s="1">
        <f>IFERROR(J95/SUM(J95,J248),0)*'[1]Electricity and CHPs_IN'!F$54</f>
        <v>1.4621249768030793</v>
      </c>
      <c r="K323" s="1">
        <f>IFERROR(K95/SUM(K95,K248),0)*'[1]Electricity and CHPs_IN'!G$54</f>
        <v>1.8778592650434474</v>
      </c>
      <c r="L323" s="1">
        <f>IFERROR(L95/SUM(L95,L248),0)*'[1]Electricity and CHPs_IN'!H$54</f>
        <v>3.4918241830373189</v>
      </c>
      <c r="M323" s="1">
        <f>IFERROR(M95/SUM(M95,M248),0)*'[1]Electricity and CHPs_IN'!I$54</f>
        <v>5.221208455383632</v>
      </c>
      <c r="N323" s="1">
        <f>IFERROR(N95/SUM(N95,N248),0)*'[1]Electricity and CHPs_IN'!J$54</f>
        <v>5.8010720735940842</v>
      </c>
      <c r="O323" s="1">
        <f>IFERROR(O95/SUM(O95,O248),0)*'[1]Electricity and CHPs_IN'!K$54</f>
        <v>7.081935838569577</v>
      </c>
      <c r="P323" s="1">
        <f>IFERROR(P95/SUM(P95,P248),0)*'[1]Electricity and CHPs_IN'!L$54</f>
        <v>7.9446460143938786</v>
      </c>
      <c r="Q323" s="1">
        <f>IFERROR(Q95/SUM(Q95,Q248),0)*'[1]Electricity and CHPs_IN'!M$54</f>
        <v>9.484808433537804</v>
      </c>
      <c r="S323" s="3"/>
    </row>
    <row r="324" spans="1:19" x14ac:dyDescent="0.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93"/>
        <v>PJ/yr.</v>
      </c>
      <c r="F324" s="1">
        <f>IFERROR(F96/SUM(F96,F249),0)*'[1]Electricity and CHPs_IN'!B$55</f>
        <v>0.76423253473586716</v>
      </c>
      <c r="G324" s="1">
        <f>IFERROR(G96/SUM(G96,G249),0)*'[1]Electricity and CHPs_IN'!C$55</f>
        <v>0.79072307399323905</v>
      </c>
      <c r="H324" s="1">
        <f>IFERROR(H96/SUM(H96,H249),0)*'[1]Electricity and CHPs_IN'!D$55</f>
        <v>1.1866163003918491</v>
      </c>
      <c r="I324" s="1">
        <f>IFERROR(I96/SUM(I96,I249),0)*'[1]Electricity and CHPs_IN'!E$55</f>
        <v>1.2944729484049136</v>
      </c>
      <c r="J324" s="1">
        <f>IFERROR(J96/SUM(J96,J249),0)*'[1]Electricity and CHPs_IN'!F$55</f>
        <v>1.1581201449590572</v>
      </c>
      <c r="K324" s="1">
        <f>IFERROR(K96/SUM(K96,K249),0)*'[1]Electricity and CHPs_IN'!G$55</f>
        <v>0.68221295737366949</v>
      </c>
      <c r="L324" s="1">
        <f>IFERROR(L96/SUM(L96,L249),0)*'[1]Electricity and CHPs_IN'!H$55</f>
        <v>0</v>
      </c>
      <c r="M324" s="1">
        <f>IFERROR(M96/SUM(M96,M249),0)*'[1]Electricity and CHPs_IN'!I$55</f>
        <v>0</v>
      </c>
      <c r="N324" s="1">
        <f>IFERROR(N96/SUM(N96,N249),0)*'[1]Electricity and CHPs_IN'!J$55</f>
        <v>9.2161926167558706E-4</v>
      </c>
      <c r="O324" s="1">
        <f>IFERROR(O96/SUM(O96,O249),0)*'[1]Electricity and CHPs_IN'!K$55</f>
        <v>9.1997814679014211E-4</v>
      </c>
      <c r="P324" s="1">
        <f>IFERROR(P96/SUM(P96,P249),0)*'[1]Electricity and CHPs_IN'!L$55</f>
        <v>6.6135002382124012E-4</v>
      </c>
      <c r="Q324" s="1">
        <f>IFERROR(Q96/SUM(Q96,Q249),0)*'[1]Electricity and CHPs_IN'!M$55</f>
        <v>1.1390203134148361E-3</v>
      </c>
      <c r="S324" s="3"/>
    </row>
    <row r="325" spans="1:19" x14ac:dyDescent="0.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93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0</v>
      </c>
      <c r="J325" s="1">
        <f>IFERROR(J97/SUM(J97,J250),0)*'[1]Electricity and CHPs_IN'!F$58</f>
        <v>0</v>
      </c>
      <c r="K325" s="1">
        <f>IFERROR(K97/SUM(K97,K250),0)*'[1]Electricity and CHPs_IN'!G$58</f>
        <v>0</v>
      </c>
      <c r="L325" s="1">
        <f>IFERROR(L97/SUM(L97,L250),0)*'[1]Electricity and CHPs_IN'!H$58</f>
        <v>0</v>
      </c>
      <c r="M325" s="1">
        <f>IFERROR(M97/SUM(M97,M250),0)*'[1]Electricity and CHPs_IN'!I$58</f>
        <v>0</v>
      </c>
      <c r="N325" s="1">
        <f>IFERROR(N97/SUM(N97,N250),0)*'[1]Electricity and CHPs_IN'!J$58</f>
        <v>4.8814998870740941E-4</v>
      </c>
      <c r="O325" s="1">
        <f>IFERROR(O97/SUM(O97,O250),0)*'[1]Electricity and CHPs_IN'!K$58</f>
        <v>7.7597620035198766E-4</v>
      </c>
      <c r="P325" s="1">
        <f>IFERROR(P97/SUM(P97,P250),0)*'[1]Electricity and CHPs_IN'!L$58</f>
        <v>6.3199418314449217E-4</v>
      </c>
      <c r="Q325" s="1">
        <f>IFERROR(Q97/SUM(Q97,Q250),0)*'[1]Electricity and CHPs_IN'!M$58</f>
        <v>1.2757889896737307E-3</v>
      </c>
      <c r="S325" s="3"/>
    </row>
    <row r="326" spans="1:19" x14ac:dyDescent="0.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93"/>
        <v>PJ/yr.</v>
      </c>
      <c r="F326" s="1">
        <f>F310-F342</f>
        <v>2.9083236635678613</v>
      </c>
      <c r="G326" s="1">
        <f t="shared" ref="G326:K326" si="309">G310-G342</f>
        <v>1.3364200439213982</v>
      </c>
      <c r="H326" s="1">
        <f t="shared" si="309"/>
        <v>1.2879840023414888</v>
      </c>
      <c r="I326" s="1">
        <f t="shared" si="309"/>
        <v>1.8626329230241672</v>
      </c>
      <c r="J326" s="1">
        <f t="shared" si="309"/>
        <v>1.4791097517669149</v>
      </c>
      <c r="K326" s="1">
        <f t="shared" si="309"/>
        <v>1.4898149795925995</v>
      </c>
      <c r="L326" s="1">
        <f t="shared" ref="L326:O326" si="310">L310-L342</f>
        <v>1.0124751937213299</v>
      </c>
      <c r="M326" s="1">
        <f t="shared" si="310"/>
        <v>0.35689999079466261</v>
      </c>
      <c r="N326" s="1">
        <f t="shared" si="310"/>
        <v>1.1552859123955983E-2</v>
      </c>
      <c r="O326" s="1">
        <f t="shared" si="310"/>
        <v>1.9963169817440729E-2</v>
      </c>
      <c r="P326" s="1">
        <f>P310-P342</f>
        <v>1.5580799055419092E-2</v>
      </c>
      <c r="Q326" s="1">
        <f>Q310-Q342</f>
        <v>2.222966697430806E-2</v>
      </c>
      <c r="S326" s="3"/>
    </row>
    <row r="327" spans="1:19" x14ac:dyDescent="0.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93"/>
        <v>PJ/yr.</v>
      </c>
      <c r="F327" s="1">
        <f>IFERROR(F99/F83,0)*F311</f>
        <v>0</v>
      </c>
      <c r="G327" s="1">
        <f t="shared" ref="G327:K327" si="311">IFERROR(G99/G83,0)*G311</f>
        <v>0</v>
      </c>
      <c r="H327" s="1">
        <f t="shared" si="311"/>
        <v>0</v>
      </c>
      <c r="I327" s="1">
        <f t="shared" si="311"/>
        <v>0</v>
      </c>
      <c r="J327" s="1">
        <f t="shared" si="311"/>
        <v>0</v>
      </c>
      <c r="K327" s="1">
        <f t="shared" si="311"/>
        <v>7.6767934310387021E-6</v>
      </c>
      <c r="L327" s="1">
        <f t="shared" ref="L327:O327" si="312">IFERROR(L99/L83,0)*L311</f>
        <v>6.1382520621137566E-6</v>
      </c>
      <c r="M327" s="1">
        <f t="shared" si="312"/>
        <v>5.8204317237568152E-5</v>
      </c>
      <c r="N327" s="1">
        <f t="shared" si="312"/>
        <v>2.3416372981003041E-6</v>
      </c>
      <c r="O327" s="1">
        <f t="shared" si="312"/>
        <v>3.1523788866561167E-6</v>
      </c>
      <c r="P327" s="1">
        <f t="shared" ref="P327:Q341" si="313">IFERROR(P99/P83,0)*P311</f>
        <v>2.6489352990120893E-6</v>
      </c>
      <c r="Q327" s="1">
        <f t="shared" si="313"/>
        <v>6.023488064552251E-6</v>
      </c>
      <c r="S327" s="3"/>
    </row>
    <row r="328" spans="1:19" x14ac:dyDescent="0.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93"/>
        <v>PJ/yr.</v>
      </c>
      <c r="F328" s="1">
        <f t="shared" ref="F328:K328" si="314">IFERROR(F100/F84,0)*F312</f>
        <v>0</v>
      </c>
      <c r="G328" s="1">
        <f t="shared" si="314"/>
        <v>0</v>
      </c>
      <c r="H328" s="1">
        <f t="shared" si="314"/>
        <v>0</v>
      </c>
      <c r="I328" s="1">
        <f t="shared" si="314"/>
        <v>0</v>
      </c>
      <c r="J328" s="1">
        <f t="shared" si="314"/>
        <v>0</v>
      </c>
      <c r="K328" s="1">
        <f t="shared" si="314"/>
        <v>6.0637975067323831E-6</v>
      </c>
      <c r="L328" s="1">
        <f t="shared" ref="L328:O328" si="315">IFERROR(L100/L84,0)*L312</f>
        <v>0</v>
      </c>
      <c r="M328" s="1">
        <f t="shared" si="315"/>
        <v>9.8666615338801646E-4</v>
      </c>
      <c r="N328" s="1">
        <f t="shared" si="315"/>
        <v>2.7546232578764341E-6</v>
      </c>
      <c r="O328" s="1">
        <f t="shared" si="315"/>
        <v>3.548047606635668E-6</v>
      </c>
      <c r="P328" s="1">
        <f t="shared" si="313"/>
        <v>2.6521202408727647E-6</v>
      </c>
      <c r="Q328" s="1">
        <f t="shared" si="313"/>
        <v>7.1615115369098323E-6</v>
      </c>
      <c r="S328" s="3"/>
    </row>
    <row r="329" spans="1:19" x14ac:dyDescent="0.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93"/>
        <v>PJ/yr.</v>
      </c>
      <c r="F329" s="1">
        <f t="shared" ref="F329:K329" si="316">IFERROR(F101/F85,0)*F313</f>
        <v>0</v>
      </c>
      <c r="G329" s="1">
        <f t="shared" si="316"/>
        <v>0</v>
      </c>
      <c r="H329" s="1">
        <f t="shared" si="316"/>
        <v>0</v>
      </c>
      <c r="I329" s="1">
        <f t="shared" si="316"/>
        <v>0</v>
      </c>
      <c r="J329" s="1">
        <f t="shared" si="316"/>
        <v>0</v>
      </c>
      <c r="K329" s="1">
        <f t="shared" si="316"/>
        <v>0</v>
      </c>
      <c r="L329" s="1">
        <f t="shared" ref="L329:O329" si="317">IFERROR(L101/L85,0)*L313</f>
        <v>6.3042133669458276E-6</v>
      </c>
      <c r="M329" s="1">
        <f t="shared" si="317"/>
        <v>6.0139292974870941E-5</v>
      </c>
      <c r="N329" s="1">
        <f t="shared" si="317"/>
        <v>9.1072934421120751E-3</v>
      </c>
      <c r="O329" s="1">
        <f t="shared" si="317"/>
        <v>1.700089917007289E-2</v>
      </c>
      <c r="P329" s="1">
        <f t="shared" si="313"/>
        <v>1.2624815806182462E-2</v>
      </c>
      <c r="Q329" s="1">
        <f t="shared" si="313"/>
        <v>1.7963454856289585E-2</v>
      </c>
      <c r="S329" s="3"/>
    </row>
    <row r="330" spans="1:19" x14ac:dyDescent="0.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93"/>
        <v>PJ/yr.</v>
      </c>
      <c r="F330" s="1">
        <f t="shared" ref="F330:K330" si="318">IFERROR(F102/F86,0)*F314</f>
        <v>1.24698359036603</v>
      </c>
      <c r="G330" s="1">
        <f t="shared" si="318"/>
        <v>1.3858083127652127E-4</v>
      </c>
      <c r="H330" s="1">
        <f t="shared" si="318"/>
        <v>6.6483307835337574E-4</v>
      </c>
      <c r="I330" s="1">
        <f t="shared" si="318"/>
        <v>0</v>
      </c>
      <c r="J330" s="1">
        <f t="shared" si="318"/>
        <v>0</v>
      </c>
      <c r="K330" s="1">
        <f t="shared" si="318"/>
        <v>0</v>
      </c>
      <c r="L330" s="1">
        <f t="shared" ref="L330:O330" si="319">IFERROR(L102/L86,0)*L314</f>
        <v>0</v>
      </c>
      <c r="M330" s="1">
        <f t="shared" si="319"/>
        <v>0</v>
      </c>
      <c r="N330" s="1">
        <f t="shared" si="319"/>
        <v>0</v>
      </c>
      <c r="O330" s="1">
        <f t="shared" si="319"/>
        <v>0</v>
      </c>
      <c r="P330" s="1">
        <f t="shared" si="313"/>
        <v>0</v>
      </c>
      <c r="Q330" s="1">
        <f t="shared" si="313"/>
        <v>0</v>
      </c>
      <c r="S330" s="3"/>
    </row>
    <row r="331" spans="1:19" x14ac:dyDescent="0.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93"/>
        <v>PJ/yr.</v>
      </c>
      <c r="F331" s="1">
        <f t="shared" ref="F331:K331" si="320">IFERROR(F103/F87,0)*F315</f>
        <v>0</v>
      </c>
      <c r="G331" s="1">
        <f t="shared" si="320"/>
        <v>0</v>
      </c>
      <c r="H331" s="1">
        <f t="shared" si="320"/>
        <v>0</v>
      </c>
      <c r="I331" s="1">
        <f t="shared" si="320"/>
        <v>0</v>
      </c>
      <c r="J331" s="1">
        <f t="shared" si="320"/>
        <v>0</v>
      </c>
      <c r="K331" s="1">
        <f t="shared" si="320"/>
        <v>0</v>
      </c>
      <c r="L331" s="1">
        <f t="shared" ref="L331:O331" si="321">IFERROR(L103/L87,0)*L315</f>
        <v>0</v>
      </c>
      <c r="M331" s="1">
        <f t="shared" si="321"/>
        <v>0</v>
      </c>
      <c r="N331" s="1">
        <f t="shared" si="321"/>
        <v>0</v>
      </c>
      <c r="O331" s="1">
        <f t="shared" si="321"/>
        <v>0</v>
      </c>
      <c r="P331" s="1">
        <f t="shared" si="313"/>
        <v>0</v>
      </c>
      <c r="Q331" s="1">
        <f t="shared" si="313"/>
        <v>0</v>
      </c>
      <c r="S331" s="3"/>
    </row>
    <row r="332" spans="1:19" x14ac:dyDescent="0.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93"/>
        <v>PJ/yr.</v>
      </c>
      <c r="F332" s="1">
        <f t="shared" ref="F332:K332" si="322">IFERROR(F104/F88,0)*F316</f>
        <v>0.87041187949323362</v>
      </c>
      <c r="G332" s="1">
        <f t="shared" si="322"/>
        <v>0.54705279366080173</v>
      </c>
      <c r="H332" s="1">
        <f t="shared" si="322"/>
        <v>6.4481178567309089E-2</v>
      </c>
      <c r="I332" s="1">
        <f t="shared" si="322"/>
        <v>0.47050284190986114</v>
      </c>
      <c r="J332" s="1">
        <f t="shared" si="322"/>
        <v>0.22875164447490498</v>
      </c>
      <c r="K332" s="1">
        <f t="shared" si="322"/>
        <v>0.8064150213113801</v>
      </c>
      <c r="L332" s="1">
        <f t="shared" ref="L332:O332" si="323">IFERROR(L104/L88,0)*L316</f>
        <v>0.7288922784654478</v>
      </c>
      <c r="M332" s="1">
        <f t="shared" si="323"/>
        <v>0.25607752017103835</v>
      </c>
      <c r="N332" s="1">
        <f t="shared" si="323"/>
        <v>1.7478534774605016E-3</v>
      </c>
      <c r="O332" s="1">
        <f t="shared" si="323"/>
        <v>2.1005105224192171E-3</v>
      </c>
      <c r="P332" s="1">
        <f t="shared" si="313"/>
        <v>2.107962747581708E-3</v>
      </c>
      <c r="Q332" s="1">
        <f t="shared" si="313"/>
        <v>3.021729793712334E-3</v>
      </c>
      <c r="S332" s="3"/>
    </row>
    <row r="333" spans="1:19" x14ac:dyDescent="0.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93"/>
        <v>PJ/yr.</v>
      </c>
      <c r="F333" s="1">
        <f t="shared" ref="F333:K333" si="324">IFERROR(F105/F89,0)*F317</f>
        <v>0</v>
      </c>
      <c r="G333" s="1">
        <f t="shared" si="324"/>
        <v>0</v>
      </c>
      <c r="H333" s="1">
        <f t="shared" si="324"/>
        <v>0</v>
      </c>
      <c r="I333" s="1">
        <f t="shared" si="324"/>
        <v>0</v>
      </c>
      <c r="J333" s="1">
        <f t="shared" si="324"/>
        <v>0</v>
      </c>
      <c r="K333" s="1">
        <f t="shared" si="324"/>
        <v>2.4572832922518714E-3</v>
      </c>
      <c r="L333" s="1">
        <f t="shared" ref="L333:O333" si="325">IFERROR(L105/L89,0)*L317</f>
        <v>0.28357047279045344</v>
      </c>
      <c r="M333" s="1">
        <f t="shared" si="325"/>
        <v>9.9717460860022769E-2</v>
      </c>
      <c r="N333" s="1">
        <f t="shared" si="325"/>
        <v>6.8057193625685052E-4</v>
      </c>
      <c r="O333" s="1">
        <f t="shared" si="325"/>
        <v>8.201126047407835E-4</v>
      </c>
      <c r="P333" s="1">
        <f t="shared" si="313"/>
        <v>8.2219296579473273E-4</v>
      </c>
      <c r="Q333" s="1">
        <f t="shared" si="313"/>
        <v>1.1860031725464361E-3</v>
      </c>
      <c r="S333" s="3"/>
    </row>
    <row r="334" spans="1:19" x14ac:dyDescent="0.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93"/>
        <v>PJ/yr.</v>
      </c>
      <c r="F334" s="1">
        <f t="shared" ref="F334:K334" si="326">IFERROR(F106/F90,0)*F318</f>
        <v>0</v>
      </c>
      <c r="G334" s="1">
        <f t="shared" si="326"/>
        <v>0</v>
      </c>
      <c r="H334" s="1">
        <f t="shared" si="326"/>
        <v>0</v>
      </c>
      <c r="I334" s="1">
        <f t="shared" si="326"/>
        <v>0</v>
      </c>
      <c r="J334" s="1">
        <f t="shared" si="326"/>
        <v>0</v>
      </c>
      <c r="K334" s="1">
        <f t="shared" si="326"/>
        <v>0</v>
      </c>
      <c r="L334" s="1">
        <f t="shared" ref="L334:O334" si="327">IFERROR(L106/L90,0)*L318</f>
        <v>0</v>
      </c>
      <c r="M334" s="1">
        <f t="shared" si="327"/>
        <v>0</v>
      </c>
      <c r="N334" s="1">
        <f t="shared" si="327"/>
        <v>0</v>
      </c>
      <c r="O334" s="1">
        <f t="shared" si="327"/>
        <v>0</v>
      </c>
      <c r="P334" s="1">
        <f t="shared" si="313"/>
        <v>0</v>
      </c>
      <c r="Q334" s="1">
        <f t="shared" si="313"/>
        <v>0</v>
      </c>
      <c r="S334" s="3"/>
    </row>
    <row r="335" spans="1:19" x14ac:dyDescent="0.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93"/>
        <v>PJ/yr.</v>
      </c>
      <c r="F335" s="1">
        <f t="shared" ref="F335:K335" si="328">IFERROR(F107/F91,0)*F319</f>
        <v>1.5435450886635806E-2</v>
      </c>
      <c r="G335" s="1">
        <f t="shared" si="328"/>
        <v>1.8029446523504136E-3</v>
      </c>
      <c r="H335" s="1">
        <f t="shared" si="328"/>
        <v>4.224142438824771E-3</v>
      </c>
      <c r="I335" s="1">
        <f t="shared" si="328"/>
        <v>3.1892925688992786E-3</v>
      </c>
      <c r="J335" s="1">
        <f t="shared" si="328"/>
        <v>3.0453663615555137E-3</v>
      </c>
      <c r="K335" s="1">
        <f t="shared" si="328"/>
        <v>2.1536921147633716E-3</v>
      </c>
      <c r="L335" s="1">
        <f t="shared" ref="L335:O335" si="329">IFERROR(L107/L91,0)*L319</f>
        <v>0</v>
      </c>
      <c r="M335" s="1">
        <f t="shared" si="329"/>
        <v>0</v>
      </c>
      <c r="N335" s="1">
        <f t="shared" si="329"/>
        <v>2.0049166166159998E-6</v>
      </c>
      <c r="O335" s="1">
        <f t="shared" si="329"/>
        <v>4.6304610349190289E-6</v>
      </c>
      <c r="P335" s="1">
        <f t="shared" si="313"/>
        <v>3.4052385537997423E-6</v>
      </c>
      <c r="Q335" s="1">
        <f t="shared" si="313"/>
        <v>4.8846335679870383E-6</v>
      </c>
      <c r="S335" s="3"/>
    </row>
    <row r="336" spans="1:19" x14ac:dyDescent="0.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93"/>
        <v>PJ/yr.</v>
      </c>
      <c r="F336" s="1">
        <f t="shared" ref="F336:K336" si="330">IFERROR(F108/F92,0)*F320</f>
        <v>0</v>
      </c>
      <c r="G336" s="1">
        <f t="shared" si="330"/>
        <v>0</v>
      </c>
      <c r="H336" s="1">
        <f t="shared" si="330"/>
        <v>0</v>
      </c>
      <c r="I336" s="1">
        <f t="shared" si="330"/>
        <v>0</v>
      </c>
      <c r="J336" s="1">
        <f t="shared" si="330"/>
        <v>0</v>
      </c>
      <c r="K336" s="1">
        <f t="shared" si="330"/>
        <v>0</v>
      </c>
      <c r="L336" s="1">
        <f t="shared" ref="L336:O336" si="331">IFERROR(L108/L92,0)*L320</f>
        <v>0</v>
      </c>
      <c r="M336" s="1">
        <f t="shared" si="331"/>
        <v>0</v>
      </c>
      <c r="N336" s="1">
        <f t="shared" si="331"/>
        <v>1.6244938847623768E-6</v>
      </c>
      <c r="O336" s="1">
        <f t="shared" si="331"/>
        <v>4.4846698539431121E-6</v>
      </c>
      <c r="P336" s="1">
        <f t="shared" si="313"/>
        <v>3.2895638324756161E-6</v>
      </c>
      <c r="Q336" s="1">
        <f t="shared" si="313"/>
        <v>8.5125443182554646E-6</v>
      </c>
      <c r="S336" s="3"/>
    </row>
    <row r="337" spans="1:19" x14ac:dyDescent="0.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93"/>
        <v>PJ/yr.</v>
      </c>
      <c r="F337" s="1">
        <f t="shared" ref="F337:K337" si="332">IFERROR(F109/F93,0)*F321</f>
        <v>3.0827208816421012E-2</v>
      </c>
      <c r="G337" s="1">
        <f t="shared" si="332"/>
        <v>3.0235516095815988E-2</v>
      </c>
      <c r="H337" s="1">
        <f t="shared" si="332"/>
        <v>0.11694599940695695</v>
      </c>
      <c r="I337" s="1">
        <f t="shared" si="332"/>
        <v>0.12221111998624773</v>
      </c>
      <c r="J337" s="1">
        <f t="shared" si="332"/>
        <v>0.12255649952588737</v>
      </c>
      <c r="K337" s="1">
        <f t="shared" si="332"/>
        <v>4.9017238069678254E-2</v>
      </c>
      <c r="L337" s="1">
        <f t="shared" ref="L337:O337" si="333">IFERROR(L109/L93,0)*L321</f>
        <v>0</v>
      </c>
      <c r="M337" s="1">
        <f t="shared" si="333"/>
        <v>0</v>
      </c>
      <c r="N337" s="1">
        <f t="shared" si="333"/>
        <v>1.8144275313042618E-6</v>
      </c>
      <c r="O337" s="1">
        <f t="shared" si="333"/>
        <v>8.0213112720398122E-6</v>
      </c>
      <c r="P337" s="1">
        <f t="shared" si="313"/>
        <v>3.7940739610627987E-6</v>
      </c>
      <c r="Q337" s="1">
        <f t="shared" si="313"/>
        <v>6.6850979193051389E-6</v>
      </c>
      <c r="S337" s="3"/>
    </row>
    <row r="338" spans="1:19" x14ac:dyDescent="0.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93"/>
        <v>PJ/yr.</v>
      </c>
      <c r="F338" s="1">
        <f t="shared" ref="F338:K338" si="334">IFERROR(F110/F94,0)*F322</f>
        <v>0</v>
      </c>
      <c r="G338" s="1">
        <f t="shared" si="334"/>
        <v>0</v>
      </c>
      <c r="H338" s="1">
        <f t="shared" si="334"/>
        <v>0</v>
      </c>
      <c r="I338" s="1">
        <f t="shared" si="334"/>
        <v>0</v>
      </c>
      <c r="J338" s="1">
        <f t="shared" si="334"/>
        <v>0</v>
      </c>
      <c r="K338" s="1">
        <f t="shared" si="334"/>
        <v>0</v>
      </c>
      <c r="L338" s="1">
        <f t="shared" ref="L338:O338" si="335">IFERROR(L110/L94,0)*L322</f>
        <v>0</v>
      </c>
      <c r="M338" s="1">
        <f t="shared" si="335"/>
        <v>0</v>
      </c>
      <c r="N338" s="1">
        <f t="shared" si="335"/>
        <v>3.9382504270370042E-6</v>
      </c>
      <c r="O338" s="1">
        <f t="shared" si="335"/>
        <v>1.2539600524815328E-5</v>
      </c>
      <c r="P338" s="1">
        <f t="shared" si="313"/>
        <v>7.0982148652962143E-6</v>
      </c>
      <c r="Q338" s="1">
        <f t="shared" si="313"/>
        <v>1.7518526131078853E-5</v>
      </c>
      <c r="S338" s="3"/>
    </row>
    <row r="339" spans="1:19" x14ac:dyDescent="0.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93"/>
        <v>PJ/yr.</v>
      </c>
      <c r="F339" s="1">
        <f t="shared" ref="F339:K339" si="336">IFERROR(F111/F95,0)*F323</f>
        <v>0</v>
      </c>
      <c r="G339" s="1">
        <f t="shared" si="336"/>
        <v>0</v>
      </c>
      <c r="H339" s="1">
        <f t="shared" si="336"/>
        <v>0</v>
      </c>
      <c r="I339" s="1">
        <f t="shared" si="336"/>
        <v>0</v>
      </c>
      <c r="J339" s="1">
        <f t="shared" si="336"/>
        <v>0</v>
      </c>
      <c r="K339" s="1">
        <f t="shared" si="336"/>
        <v>0</v>
      </c>
      <c r="L339" s="1">
        <f t="shared" ref="L339:O339" si="337">IFERROR(L111/L95,0)*L323</f>
        <v>0</v>
      </c>
      <c r="M339" s="1">
        <f t="shared" si="337"/>
        <v>0</v>
      </c>
      <c r="N339" s="1">
        <f t="shared" si="337"/>
        <v>0</v>
      </c>
      <c r="O339" s="1">
        <f t="shared" si="337"/>
        <v>0</v>
      </c>
      <c r="P339" s="1">
        <f t="shared" si="313"/>
        <v>0</v>
      </c>
      <c r="Q339" s="1">
        <f t="shared" si="313"/>
        <v>0</v>
      </c>
      <c r="S339" s="3"/>
    </row>
    <row r="340" spans="1:19" x14ac:dyDescent="0.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93"/>
        <v>PJ/yr.</v>
      </c>
      <c r="F340" s="1">
        <f t="shared" ref="F340:K340" si="338">IFERROR(F112/F96,0)*F324</f>
        <v>0.74466553400554025</v>
      </c>
      <c r="G340" s="1">
        <f t="shared" si="338"/>
        <v>0.75719020868115361</v>
      </c>
      <c r="H340" s="1">
        <f t="shared" si="338"/>
        <v>1.1016678488500444</v>
      </c>
      <c r="I340" s="1">
        <f t="shared" si="338"/>
        <v>1.2667296685591591</v>
      </c>
      <c r="J340" s="1">
        <f t="shared" si="338"/>
        <v>1.1247562414045673</v>
      </c>
      <c r="K340" s="1">
        <f t="shared" si="338"/>
        <v>0.62975800421358796</v>
      </c>
      <c r="L340" s="1">
        <f t="shared" ref="L340:O340" si="339">IFERROR(L112/L96,0)*L324</f>
        <v>0</v>
      </c>
      <c r="M340" s="1">
        <f t="shared" si="339"/>
        <v>0</v>
      </c>
      <c r="N340" s="1">
        <f t="shared" si="339"/>
        <v>1.7401967909256284E-6</v>
      </c>
      <c r="O340" s="1">
        <f t="shared" si="339"/>
        <v>2.8593055978002074E-6</v>
      </c>
      <c r="P340" s="1">
        <f t="shared" si="313"/>
        <v>1.503053128528102E-6</v>
      </c>
      <c r="Q340" s="1">
        <f t="shared" si="313"/>
        <v>3.6288091859751683E-6</v>
      </c>
      <c r="S340" s="3"/>
    </row>
    <row r="341" spans="1:19" x14ac:dyDescent="0.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93"/>
        <v>PJ/yr.</v>
      </c>
      <c r="F341" s="1">
        <f t="shared" ref="F341:K341" si="340">IFERROR(F113/F97,0)*F325</f>
        <v>0</v>
      </c>
      <c r="G341" s="1">
        <f t="shared" si="340"/>
        <v>0</v>
      </c>
      <c r="H341" s="1">
        <f t="shared" si="340"/>
        <v>0</v>
      </c>
      <c r="I341" s="1">
        <f t="shared" si="340"/>
        <v>0</v>
      </c>
      <c r="J341" s="1">
        <f t="shared" si="340"/>
        <v>0</v>
      </c>
      <c r="K341" s="1">
        <f t="shared" si="340"/>
        <v>0</v>
      </c>
      <c r="L341" s="1">
        <f t="shared" ref="L341:O341" si="341">IFERROR(L113/L97,0)*L325</f>
        <v>0</v>
      </c>
      <c r="M341" s="1">
        <f t="shared" si="341"/>
        <v>0</v>
      </c>
      <c r="N341" s="1">
        <f t="shared" si="341"/>
        <v>9.2172231979463535E-7</v>
      </c>
      <c r="O341" s="1">
        <f t="shared" si="341"/>
        <v>2.4117454323969753E-6</v>
      </c>
      <c r="P341" s="1">
        <f t="shared" si="313"/>
        <v>1.4363359793930753E-6</v>
      </c>
      <c r="Q341" s="1">
        <f t="shared" si="313"/>
        <v>4.0645410363351659E-6</v>
      </c>
      <c r="S341" s="3"/>
    </row>
    <row r="342" spans="1:19" x14ac:dyDescent="0.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93"/>
        <v>PJ/yr.</v>
      </c>
      <c r="F342" s="1">
        <f>SUM(F343:F357)</f>
        <v>1.141120069626619</v>
      </c>
      <c r="G342" s="1">
        <f t="shared" ref="G342:K342" si="342">SUM(G343:G357)</f>
        <v>1.3141858073399384</v>
      </c>
      <c r="H342" s="1">
        <f t="shared" si="342"/>
        <v>1.3985148937652381</v>
      </c>
      <c r="I342" s="1">
        <f t="shared" si="342"/>
        <v>1.4209275143314783</v>
      </c>
      <c r="J342" s="1">
        <f t="shared" si="342"/>
        <v>1.5060001501853859</v>
      </c>
      <c r="K342" s="1">
        <f t="shared" si="342"/>
        <v>2.0019516536257971</v>
      </c>
      <c r="L342" s="1">
        <f t="shared" ref="L342:O342" si="343">SUM(L343:L357)</f>
        <v>3.7556089006434332</v>
      </c>
      <c r="M342" s="1">
        <f t="shared" si="343"/>
        <v>6.1549803523469784</v>
      </c>
      <c r="N342" s="1">
        <f t="shared" si="343"/>
        <v>11.907986707102754</v>
      </c>
      <c r="O342" s="1">
        <f t="shared" si="343"/>
        <v>13.485098614729026</v>
      </c>
      <c r="P342" s="1">
        <f>SUM(P343:P357)</f>
        <v>14.784685705976809</v>
      </c>
      <c r="Q342" s="1">
        <f>SUM(Q343:Q357)</f>
        <v>16.440085972520368</v>
      </c>
      <c r="S342" s="3"/>
    </row>
    <row r="343" spans="1:19" x14ac:dyDescent="0.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93"/>
        <v>PJ/yr.</v>
      </c>
      <c r="F343" s="1">
        <f>F311-F327</f>
        <v>0</v>
      </c>
      <c r="G343" s="1">
        <f t="shared" ref="G343:K343" si="344">G311-G327</f>
        <v>0</v>
      </c>
      <c r="H343" s="1">
        <f t="shared" si="344"/>
        <v>0</v>
      </c>
      <c r="I343" s="1">
        <f t="shared" si="344"/>
        <v>0</v>
      </c>
      <c r="J343" s="1">
        <f t="shared" si="344"/>
        <v>0</v>
      </c>
      <c r="K343" s="1">
        <f t="shared" si="344"/>
        <v>6.3942949061459038E-7</v>
      </c>
      <c r="L343" s="1">
        <f t="shared" ref="L343:O343" si="345">L311-L327</f>
        <v>1.5992192983488279E-6</v>
      </c>
      <c r="M343" s="1">
        <f t="shared" si="345"/>
        <v>1.5228231190863174E-4</v>
      </c>
      <c r="N343" s="1">
        <f t="shared" si="345"/>
        <v>1.2378043329972039E-3</v>
      </c>
      <c r="O343" s="1">
        <f t="shared" si="345"/>
        <v>1.0111217470960886E-3</v>
      </c>
      <c r="P343" s="1">
        <f t="shared" ref="P343:Q357" si="346">P311-P327</f>
        <v>1.1628943112116101E-3</v>
      </c>
      <c r="Q343" s="1">
        <f t="shared" si="346"/>
        <v>1.8846450237032339E-3</v>
      </c>
      <c r="S343" s="3"/>
    </row>
    <row r="344" spans="1:19" x14ac:dyDescent="0.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93"/>
        <v>PJ/yr.</v>
      </c>
      <c r="F344" s="1">
        <f t="shared" ref="F344:K344" si="347">F312-F328</f>
        <v>0</v>
      </c>
      <c r="G344" s="1">
        <f t="shared" si="347"/>
        <v>0</v>
      </c>
      <c r="H344" s="1">
        <f t="shared" si="347"/>
        <v>0</v>
      </c>
      <c r="I344" s="1">
        <f t="shared" si="347"/>
        <v>0</v>
      </c>
      <c r="J344" s="1">
        <f t="shared" si="347"/>
        <v>0</v>
      </c>
      <c r="K344" s="1">
        <f t="shared" si="347"/>
        <v>5.050768899476943E-7</v>
      </c>
      <c r="L344" s="1">
        <f t="shared" ref="L344:O344" si="348">L312-L328</f>
        <v>1.1758886947129012E-6</v>
      </c>
      <c r="M344" s="1">
        <f t="shared" si="348"/>
        <v>2.5814546076823198E-3</v>
      </c>
      <c r="N344" s="1">
        <f t="shared" si="348"/>
        <v>1.456111331648407E-3</v>
      </c>
      <c r="O344" s="1">
        <f t="shared" si="348"/>
        <v>1.1380320144850904E-3</v>
      </c>
      <c r="P344" s="1">
        <f t="shared" si="346"/>
        <v>1.1642925147738799E-3</v>
      </c>
      <c r="Q344" s="1">
        <f t="shared" si="346"/>
        <v>2.2407128453791657E-3</v>
      </c>
      <c r="S344" s="3"/>
    </row>
    <row r="345" spans="1:19" x14ac:dyDescent="0.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93"/>
        <v>PJ/yr.</v>
      </c>
      <c r="F345" s="1">
        <f t="shared" ref="F345:K345" si="349">F313-F329</f>
        <v>0</v>
      </c>
      <c r="G345" s="1">
        <f t="shared" si="349"/>
        <v>0</v>
      </c>
      <c r="H345" s="1">
        <f t="shared" si="349"/>
        <v>0</v>
      </c>
      <c r="I345" s="1">
        <f t="shared" si="349"/>
        <v>0</v>
      </c>
      <c r="J345" s="1">
        <f t="shared" si="349"/>
        <v>0</v>
      </c>
      <c r="K345" s="1">
        <f t="shared" si="349"/>
        <v>0</v>
      </c>
      <c r="L345" s="1">
        <f t="shared" ref="L345:O345" si="350">L313-L329</f>
        <v>1.6424577510517966E-6</v>
      </c>
      <c r="M345" s="1">
        <f t="shared" si="350"/>
        <v>1.5734486727820809E-4</v>
      </c>
      <c r="N345" s="1">
        <f t="shared" si="350"/>
        <v>4.8141730974598174</v>
      </c>
      <c r="O345" s="1">
        <f t="shared" si="350"/>
        <v>5.4530180188087574</v>
      </c>
      <c r="P345" s="1">
        <f t="shared" si="346"/>
        <v>5.5423499722997667</v>
      </c>
      <c r="Q345" s="1">
        <f t="shared" si="346"/>
        <v>5.6204537040016955</v>
      </c>
      <c r="S345" s="3"/>
    </row>
    <row r="346" spans="1:19" x14ac:dyDescent="0.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93"/>
        <v>PJ/yr.</v>
      </c>
      <c r="F346" s="1">
        <f t="shared" ref="F346:K346" si="351">F314-F330</f>
        <v>3.2766024086212431E-2</v>
      </c>
      <c r="G346" s="1">
        <f t="shared" si="351"/>
        <v>6.1371796633852694E-6</v>
      </c>
      <c r="H346" s="1">
        <f t="shared" si="351"/>
        <v>5.1264580879656634E-5</v>
      </c>
      <c r="I346" s="1">
        <f t="shared" si="351"/>
        <v>0</v>
      </c>
      <c r="J346" s="1">
        <f t="shared" si="351"/>
        <v>0</v>
      </c>
      <c r="K346" s="1">
        <f t="shared" si="351"/>
        <v>0</v>
      </c>
      <c r="L346" s="1">
        <f t="shared" ref="L346:O346" si="352">L314-L330</f>
        <v>0</v>
      </c>
      <c r="M346" s="1">
        <f t="shared" si="352"/>
        <v>0</v>
      </c>
      <c r="N346" s="1">
        <f t="shared" si="352"/>
        <v>0</v>
      </c>
      <c r="O346" s="1">
        <f t="shared" si="352"/>
        <v>0</v>
      </c>
      <c r="P346" s="1">
        <f t="shared" si="346"/>
        <v>0</v>
      </c>
      <c r="Q346" s="1">
        <f t="shared" si="346"/>
        <v>0</v>
      </c>
      <c r="S346" s="3"/>
    </row>
    <row r="347" spans="1:19" x14ac:dyDescent="0.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93"/>
        <v>PJ/yr.</v>
      </c>
      <c r="F347" s="1">
        <f t="shared" ref="F347:K347" si="353">F315-F331</f>
        <v>0</v>
      </c>
      <c r="G347" s="1">
        <f t="shared" si="353"/>
        <v>0</v>
      </c>
      <c r="H347" s="1">
        <f t="shared" si="353"/>
        <v>0</v>
      </c>
      <c r="I347" s="1">
        <f t="shared" si="353"/>
        <v>0</v>
      </c>
      <c r="J347" s="1">
        <f t="shared" si="353"/>
        <v>0</v>
      </c>
      <c r="K347" s="1">
        <f t="shared" si="353"/>
        <v>0</v>
      </c>
      <c r="L347" s="1">
        <f t="shared" ref="L347:O347" si="354">L315-L331</f>
        <v>0</v>
      </c>
      <c r="M347" s="1">
        <f t="shared" si="354"/>
        <v>0</v>
      </c>
      <c r="N347" s="1">
        <f t="shared" si="354"/>
        <v>0</v>
      </c>
      <c r="O347" s="1">
        <f t="shared" si="354"/>
        <v>0</v>
      </c>
      <c r="P347" s="1">
        <f t="shared" si="346"/>
        <v>0</v>
      </c>
      <c r="Q347" s="1">
        <f t="shared" si="346"/>
        <v>0</v>
      </c>
      <c r="S347" s="3"/>
    </row>
    <row r="348" spans="1:19" x14ac:dyDescent="0.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93"/>
        <v>PJ/yr.</v>
      </c>
      <c r="F348" s="1">
        <f t="shared" ref="F348:K348" si="355">F316-F332</f>
        <v>2.2871140268998502E-2</v>
      </c>
      <c r="G348" s="1">
        <f t="shared" si="355"/>
        <v>2.4226736476662847E-2</v>
      </c>
      <c r="H348" s="1">
        <f t="shared" si="355"/>
        <v>4.9720760014927978E-3</v>
      </c>
      <c r="I348" s="1">
        <f t="shared" si="355"/>
        <v>1.0304717995731127E-2</v>
      </c>
      <c r="J348" s="1">
        <f t="shared" si="355"/>
        <v>6.7855127388855851E-3</v>
      </c>
      <c r="K348" s="1">
        <f t="shared" si="355"/>
        <v>6.7169391873466266E-2</v>
      </c>
      <c r="L348" s="1">
        <f t="shared" ref="L348:O348" si="356">L316-L332</f>
        <v>0.18990073824664488</v>
      </c>
      <c r="M348" s="1">
        <f t="shared" si="356"/>
        <v>0.669985984721849</v>
      </c>
      <c r="N348" s="1">
        <f t="shared" si="356"/>
        <v>0.92392643796715423</v>
      </c>
      <c r="O348" s="1">
        <f t="shared" si="356"/>
        <v>0.67373623082315004</v>
      </c>
      <c r="P348" s="1">
        <f t="shared" si="346"/>
        <v>0.92540496867662092</v>
      </c>
      <c r="Q348" s="1">
        <f t="shared" si="346"/>
        <v>0.94544688354403528</v>
      </c>
      <c r="S348" s="3"/>
    </row>
    <row r="349" spans="1:19" x14ac:dyDescent="0.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93"/>
        <v>PJ/yr.</v>
      </c>
      <c r="F349" s="1">
        <f t="shared" ref="F349:K349" si="357">F317-F333</f>
        <v>0</v>
      </c>
      <c r="G349" s="1">
        <f t="shared" si="357"/>
        <v>0</v>
      </c>
      <c r="H349" s="1">
        <f t="shared" si="357"/>
        <v>0</v>
      </c>
      <c r="I349" s="1">
        <f t="shared" si="357"/>
        <v>0</v>
      </c>
      <c r="J349" s="1">
        <f t="shared" si="357"/>
        <v>0</v>
      </c>
      <c r="K349" s="1">
        <f t="shared" si="357"/>
        <v>2.0467652516315818E-4</v>
      </c>
      <c r="L349" s="1">
        <f t="shared" ref="L349:O349" si="358">L317-L333</f>
        <v>7.3879561793725235E-2</v>
      </c>
      <c r="M349" s="1">
        <f t="shared" si="358"/>
        <v>0.26089483045462869</v>
      </c>
      <c r="N349" s="1">
        <f t="shared" si="358"/>
        <v>0.35975464359849468</v>
      </c>
      <c r="O349" s="1">
        <f t="shared" si="358"/>
        <v>0.26305013437030267</v>
      </c>
      <c r="P349" s="1">
        <f t="shared" si="346"/>
        <v>0.36094634814125109</v>
      </c>
      <c r="Q349" s="1">
        <f t="shared" si="346"/>
        <v>0.37107983833982067</v>
      </c>
      <c r="S349" s="3"/>
    </row>
    <row r="350" spans="1:19" x14ac:dyDescent="0.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93"/>
        <v>PJ/yr.</v>
      </c>
      <c r="F350" s="1">
        <f t="shared" ref="F350:K350" si="359">F318-F334</f>
        <v>0</v>
      </c>
      <c r="G350" s="1">
        <f t="shared" si="359"/>
        <v>0</v>
      </c>
      <c r="H350" s="1">
        <f t="shared" si="359"/>
        <v>0</v>
      </c>
      <c r="I350" s="1">
        <f t="shared" si="359"/>
        <v>0</v>
      </c>
      <c r="J350" s="1">
        <f t="shared" si="359"/>
        <v>0</v>
      </c>
      <c r="K350" s="1">
        <f t="shared" si="359"/>
        <v>0</v>
      </c>
      <c r="L350" s="1">
        <f t="shared" ref="L350:O350" si="360">L318-L334</f>
        <v>0</v>
      </c>
      <c r="M350" s="1">
        <f t="shared" si="360"/>
        <v>0</v>
      </c>
      <c r="N350" s="1">
        <f t="shared" si="360"/>
        <v>0</v>
      </c>
      <c r="O350" s="1">
        <f t="shared" si="360"/>
        <v>0</v>
      </c>
      <c r="P350" s="1">
        <f t="shared" si="346"/>
        <v>0</v>
      </c>
      <c r="Q350" s="1">
        <f t="shared" si="346"/>
        <v>0</v>
      </c>
      <c r="S350" s="3"/>
    </row>
    <row r="351" spans="1:19" x14ac:dyDescent="0.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93"/>
        <v>PJ/yr.</v>
      </c>
      <c r="F351" s="1">
        <f t="shared" ref="F351:K351" si="361">F319-F335</f>
        <v>4.0558541382617816E-4</v>
      </c>
      <c r="G351" s="1">
        <f t="shared" si="361"/>
        <v>7.9845063366197752E-5</v>
      </c>
      <c r="H351" s="1">
        <f t="shared" si="361"/>
        <v>3.2571918990351688E-4</v>
      </c>
      <c r="I351" s="1">
        <f t="shared" si="361"/>
        <v>6.9850291222436998E-5</v>
      </c>
      <c r="J351" s="1">
        <f t="shared" si="361"/>
        <v>9.0335404094441484E-5</v>
      </c>
      <c r="K351" s="1">
        <f t="shared" si="361"/>
        <v>1.7938925467445759E-4</v>
      </c>
      <c r="L351" s="1">
        <f t="shared" ref="L351:O351" si="362">L319-L335</f>
        <v>0</v>
      </c>
      <c r="M351" s="1">
        <f t="shared" si="362"/>
        <v>0</v>
      </c>
      <c r="N351" s="1">
        <f t="shared" si="362"/>
        <v>1.0598116443390753E-3</v>
      </c>
      <c r="O351" s="1">
        <f t="shared" si="362"/>
        <v>1.4852148234167509E-3</v>
      </c>
      <c r="P351" s="1">
        <f t="shared" si="346"/>
        <v>1.4949147848227378E-3</v>
      </c>
      <c r="Q351" s="1">
        <f t="shared" si="346"/>
        <v>1.5283171889549983E-3</v>
      </c>
      <c r="S351" s="3"/>
    </row>
    <row r="352" spans="1:19" x14ac:dyDescent="0.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93"/>
        <v>PJ/yr.</v>
      </c>
      <c r="F352" s="1">
        <f t="shared" ref="F352:K352" si="363">F320-F336</f>
        <v>0</v>
      </c>
      <c r="G352" s="1">
        <f t="shared" si="363"/>
        <v>0</v>
      </c>
      <c r="H352" s="1">
        <f t="shared" si="363"/>
        <v>0</v>
      </c>
      <c r="I352" s="1">
        <f t="shared" si="363"/>
        <v>0</v>
      </c>
      <c r="J352" s="1">
        <f t="shared" si="363"/>
        <v>0</v>
      </c>
      <c r="K352" s="1">
        <f t="shared" si="363"/>
        <v>0</v>
      </c>
      <c r="L352" s="1">
        <f t="shared" ref="L352:O352" si="364">L320-L336</f>
        <v>0</v>
      </c>
      <c r="M352" s="1">
        <f t="shared" si="364"/>
        <v>0</v>
      </c>
      <c r="N352" s="1">
        <f t="shared" si="364"/>
        <v>8.58717774574906E-4</v>
      </c>
      <c r="O352" s="1">
        <f t="shared" si="364"/>
        <v>1.4384524769730125E-3</v>
      </c>
      <c r="P352" s="1">
        <f t="shared" si="346"/>
        <v>1.4441330705887857E-3</v>
      </c>
      <c r="Q352" s="1">
        <f t="shared" si="346"/>
        <v>2.6634275882218583E-3</v>
      </c>
      <c r="S352" s="3"/>
    </row>
    <row r="353" spans="1:19" x14ac:dyDescent="0.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93"/>
        <v>PJ/yr.</v>
      </c>
      <c r="F353" s="1">
        <f t="shared" ref="F353:K353" si="365">F321-F337</f>
        <v>8.1002274159281892E-4</v>
      </c>
      <c r="G353" s="1">
        <f t="shared" si="365"/>
        <v>1.3390076591829302E-3</v>
      </c>
      <c r="H353" s="1">
        <f t="shared" si="365"/>
        <v>9.0175832706741871E-3</v>
      </c>
      <c r="I353" s="1">
        <f t="shared" si="365"/>
        <v>2.6766068453248637E-3</v>
      </c>
      <c r="J353" s="1">
        <f t="shared" si="365"/>
        <v>3.6354216848367149E-3</v>
      </c>
      <c r="K353" s="1">
        <f t="shared" si="365"/>
        <v>4.0828332625836572E-3</v>
      </c>
      <c r="L353" s="1">
        <f t="shared" ref="L353:O353" si="366">L321-L337</f>
        <v>0</v>
      </c>
      <c r="M353" s="1">
        <f t="shared" si="366"/>
        <v>0</v>
      </c>
      <c r="N353" s="1">
        <f t="shared" si="366"/>
        <v>9.5911790522800811E-4</v>
      </c>
      <c r="O353" s="1">
        <f t="shared" si="366"/>
        <v>2.5728259701642531E-3</v>
      </c>
      <c r="P353" s="1">
        <f t="shared" si="346"/>
        <v>1.6656152482400989E-3</v>
      </c>
      <c r="Q353" s="1">
        <f t="shared" si="346"/>
        <v>2.0916512810461446E-3</v>
      </c>
      <c r="S353" s="3"/>
    </row>
    <row r="354" spans="1:19" x14ac:dyDescent="0.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93"/>
        <v>PJ/yr.</v>
      </c>
      <c r="F354" s="1">
        <f t="shared" ref="F354:K354" si="367">F322-F338</f>
        <v>0</v>
      </c>
      <c r="G354" s="1">
        <f t="shared" si="367"/>
        <v>0</v>
      </c>
      <c r="H354" s="1">
        <f t="shared" si="367"/>
        <v>0</v>
      </c>
      <c r="I354" s="1">
        <f t="shared" si="367"/>
        <v>0</v>
      </c>
      <c r="J354" s="1">
        <f t="shared" si="367"/>
        <v>0</v>
      </c>
      <c r="K354" s="1">
        <f t="shared" si="367"/>
        <v>0</v>
      </c>
      <c r="L354" s="1">
        <f t="shared" ref="L354:O354" si="368">L322-L338</f>
        <v>0</v>
      </c>
      <c r="M354" s="1">
        <f t="shared" si="368"/>
        <v>0</v>
      </c>
      <c r="N354" s="1">
        <f t="shared" si="368"/>
        <v>2.0817841631448472E-3</v>
      </c>
      <c r="O354" s="1">
        <f t="shared" si="368"/>
        <v>4.0220618289914002E-3</v>
      </c>
      <c r="P354" s="1">
        <f t="shared" si="346"/>
        <v>3.1161477177978451E-3</v>
      </c>
      <c r="Q354" s="1">
        <f t="shared" si="346"/>
        <v>5.4812432168415033E-3</v>
      </c>
      <c r="S354" s="3"/>
    </row>
    <row r="355" spans="1:19" x14ac:dyDescent="0.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93"/>
        <v>PJ/yr.</v>
      </c>
      <c r="F355" s="1">
        <f t="shared" ref="F355:K355" si="369">F323-F339</f>
        <v>1.064700296385662</v>
      </c>
      <c r="G355" s="1">
        <f t="shared" si="369"/>
        <v>1.2550012156489776</v>
      </c>
      <c r="H355" s="1">
        <f t="shared" si="369"/>
        <v>1.2991997991804833</v>
      </c>
      <c r="I355" s="1">
        <f t="shared" si="369"/>
        <v>1.3801330593534455</v>
      </c>
      <c r="J355" s="1">
        <f t="shared" si="369"/>
        <v>1.4621249768030793</v>
      </c>
      <c r="K355" s="1">
        <f t="shared" si="369"/>
        <v>1.8778592650434474</v>
      </c>
      <c r="L355" s="1">
        <f t="shared" ref="L355:O355" si="370">L323-L339</f>
        <v>3.4918241830373189</v>
      </c>
      <c r="M355" s="1">
        <f t="shared" si="370"/>
        <v>5.221208455383632</v>
      </c>
      <c r="N355" s="1">
        <f t="shared" si="370"/>
        <v>5.8010720735940842</v>
      </c>
      <c r="O355" s="1">
        <f t="shared" si="370"/>
        <v>7.081935838569577</v>
      </c>
      <c r="P355" s="1">
        <f t="shared" si="346"/>
        <v>7.9446460143938786</v>
      </c>
      <c r="Q355" s="1">
        <f t="shared" si="346"/>
        <v>9.484808433537804</v>
      </c>
      <c r="S355" s="3"/>
    </row>
    <row r="356" spans="1:19" x14ac:dyDescent="0.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93"/>
        <v>PJ/yr.</v>
      </c>
      <c r="F356" s="1">
        <f t="shared" ref="F356:K356" si="371">F324-F340</f>
        <v>1.9567000730326911E-2</v>
      </c>
      <c r="G356" s="1">
        <f t="shared" si="371"/>
        <v>3.3532865312085436E-2</v>
      </c>
      <c r="H356" s="1">
        <f t="shared" si="371"/>
        <v>8.4948451541804637E-2</v>
      </c>
      <c r="I356" s="1">
        <f t="shared" si="371"/>
        <v>2.7743279845754421E-2</v>
      </c>
      <c r="J356" s="1">
        <f t="shared" si="371"/>
        <v>3.3363903554489927E-2</v>
      </c>
      <c r="K356" s="1">
        <f t="shared" si="371"/>
        <v>5.245495316008153E-2</v>
      </c>
      <c r="L356" s="1">
        <f t="shared" ref="L356:O356" si="372">L324-L340</f>
        <v>0</v>
      </c>
      <c r="M356" s="1">
        <f t="shared" si="372"/>
        <v>0</v>
      </c>
      <c r="N356" s="1">
        <f t="shared" si="372"/>
        <v>9.1987906488466141E-4</v>
      </c>
      <c r="O356" s="1">
        <f t="shared" si="372"/>
        <v>9.1711884119234188E-4</v>
      </c>
      <c r="P356" s="1">
        <f t="shared" si="346"/>
        <v>6.5984697069271204E-4</v>
      </c>
      <c r="Q356" s="1">
        <f t="shared" si="346"/>
        <v>1.1353915042288608E-3</v>
      </c>
      <c r="S356" s="3"/>
    </row>
    <row r="357" spans="1:19" x14ac:dyDescent="0.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93"/>
        <v>PJ/yr.</v>
      </c>
      <c r="F357" s="1">
        <f t="shared" ref="F357:K357" si="373">F325-F341</f>
        <v>0</v>
      </c>
      <c r="G357" s="1">
        <f t="shared" si="373"/>
        <v>0</v>
      </c>
      <c r="H357" s="1">
        <f t="shared" si="373"/>
        <v>0</v>
      </c>
      <c r="I357" s="1">
        <f t="shared" si="373"/>
        <v>0</v>
      </c>
      <c r="J357" s="1">
        <f t="shared" si="373"/>
        <v>0</v>
      </c>
      <c r="K357" s="1">
        <f t="shared" si="373"/>
        <v>0</v>
      </c>
      <c r="L357" s="1">
        <f t="shared" ref="L357:O357" si="374">L325-L341</f>
        <v>0</v>
      </c>
      <c r="M357" s="1">
        <f t="shared" si="374"/>
        <v>0</v>
      </c>
      <c r="N357" s="1">
        <f t="shared" si="374"/>
        <v>4.8722826638761474E-4</v>
      </c>
      <c r="O357" s="1">
        <f t="shared" si="374"/>
        <v>7.7356445491959074E-4</v>
      </c>
      <c r="P357" s="1">
        <f t="shared" si="346"/>
        <v>6.3055784716509904E-4</v>
      </c>
      <c r="Q357" s="1">
        <f t="shared" si="346"/>
        <v>1.2717244486373956E-3</v>
      </c>
      <c r="S357" s="3"/>
    </row>
    <row r="358" spans="1:19" x14ac:dyDescent="0.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75">E357</f>
        <v>PJ/yr.</v>
      </c>
      <c r="F358" s="1">
        <f>SUM(F359:F364)</f>
        <v>22.4955081225966</v>
      </c>
      <c r="G358" s="1">
        <f t="shared" ref="G358:K358" si="376">SUM(G359:G364)</f>
        <v>24.564637935439379</v>
      </c>
      <c r="H358" s="1">
        <f t="shared" si="376"/>
        <v>25.126030196393572</v>
      </c>
      <c r="I358" s="1">
        <f t="shared" si="376"/>
        <v>25.141266603782974</v>
      </c>
      <c r="J358" s="1">
        <f t="shared" si="376"/>
        <v>25.547293311603514</v>
      </c>
      <c r="K358" s="1">
        <f t="shared" si="376"/>
        <v>26.539746578416839</v>
      </c>
      <c r="L358" s="1">
        <f t="shared" ref="L358:O358" si="377">SUM(L359:L364)</f>
        <v>32.008396947823684</v>
      </c>
      <c r="M358" s="1">
        <f t="shared" si="377"/>
        <v>33.547267526097365</v>
      </c>
      <c r="N358" s="1">
        <f t="shared" si="377"/>
        <v>33.699184316557144</v>
      </c>
      <c r="O358" s="1">
        <f t="shared" si="377"/>
        <v>33.754842846791263</v>
      </c>
      <c r="P358" s="1">
        <f>SUM(P359:P364)</f>
        <v>33.810570983295065</v>
      </c>
      <c r="Q358" s="1">
        <f>SUM(Q359:Q364)</f>
        <v>33.866561076226454</v>
      </c>
      <c r="S358" s="3"/>
    </row>
    <row r="359" spans="1:19" x14ac:dyDescent="0.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75"/>
        <v>PJ/yr.</v>
      </c>
      <c r="F359" s="1">
        <f>'[1]Electricity and CHPs_IN'!B$19</f>
        <v>18.203591075972078</v>
      </c>
      <c r="G359" s="1">
        <f>'[1]Electricity and CHPs_IN'!C$19</f>
        <v>20.429784036757798</v>
      </c>
      <c r="H359" s="1">
        <f>'[1]Electricity and CHPs_IN'!D$19</f>
        <v>20.760180849076569</v>
      </c>
      <c r="I359" s="1">
        <f>'[1]Electricity and CHPs_IN'!E$19</f>
        <v>20.696585711058717</v>
      </c>
      <c r="J359" s="1">
        <f>'[1]Electricity and CHPs_IN'!F$19</f>
        <v>20.958776635600721</v>
      </c>
      <c r="K359" s="1">
        <f>'[1]Electricity and CHPs_IN'!G$19</f>
        <v>15.205959058513395</v>
      </c>
      <c r="L359" s="1">
        <f>'[1]Electricity and CHPs_IN'!H$19</f>
        <v>12.523771809680056</v>
      </c>
      <c r="M359" s="1">
        <f>'[1]Electricity and CHPs_IN'!I$19</f>
        <v>13.018159217022086</v>
      </c>
      <c r="N359" s="1">
        <f>'[1]Electricity and CHPs_IN'!J$19</f>
        <v>13.018155963593705</v>
      </c>
      <c r="O359" s="1">
        <f>'[1]Electricity and CHPs_IN'!K$19</f>
        <v>13.018157429179237</v>
      </c>
      <c r="P359" s="1">
        <f>'[1]Electricity and CHPs_IN'!L$19</f>
        <v>13.018156065432743</v>
      </c>
      <c r="Q359" s="1">
        <f>'[1]Electricity and CHPs_IN'!M$19</f>
        <v>13.01815667151152</v>
      </c>
      <c r="S359" s="3"/>
    </row>
    <row r="360" spans="1:19" x14ac:dyDescent="0.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75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'[1]Electricity and CHPs_IN'!F$20</f>
        <v>0</v>
      </c>
      <c r="K360" s="1">
        <f>'[1]Electricity and CHPs_IN'!G$20</f>
        <v>6.5813584105389653</v>
      </c>
      <c r="L360" s="1">
        <f>'[1]Electricity and CHPs_IN'!H$20</f>
        <v>12.635756132503102</v>
      </c>
      <c r="M360" s="1">
        <f>'[1]Electricity and CHPs_IN'!I$20</f>
        <v>13.01723292136729</v>
      </c>
      <c r="N360" s="1">
        <f>'[1]Electricity and CHPs_IN'!J$20</f>
        <v>13.017231170072609</v>
      </c>
      <c r="O360" s="1">
        <f>'[1]Electricity and CHPs_IN'!K$20</f>
        <v>13.017231172252796</v>
      </c>
      <c r="P360" s="1">
        <f>'[1]Electricity and CHPs_IN'!L$20</f>
        <v>13.017230559058728</v>
      </c>
      <c r="Q360" s="1">
        <f>'[1]Electricity and CHPs_IN'!M$20</f>
        <v>13.017230984792162</v>
      </c>
      <c r="S360" s="3"/>
    </row>
    <row r="361" spans="1:19" x14ac:dyDescent="0.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75"/>
        <v>PJ/yr.</v>
      </c>
      <c r="F361" s="1">
        <f>IFERROR(F133/SUM(F133,F198),0)*'[1]Electricity and CHPs_IN'!B$26</f>
        <v>3.897473254442374</v>
      </c>
      <c r="G361" s="1">
        <f>IFERROR(G133/SUM(G133,G198),0)*'[1]Electricity and CHPs_IN'!C$26</f>
        <v>3.725662351626581</v>
      </c>
      <c r="H361" s="1">
        <f>IFERROR(H133/SUM(H133,H198),0)*'[1]Electricity and CHPs_IN'!D$26</f>
        <v>3.7321904293626726</v>
      </c>
      <c r="I361" s="1">
        <f>IFERROR(I133/SUM(I133,I198),0)*'[1]Electricity and CHPs_IN'!E$26</f>
        <v>3.7503704623329388</v>
      </c>
      <c r="J361" s="1">
        <f>IFERROR(J133/SUM(J133,J198),0)*'[1]Electricity and CHPs_IN'!F$26</f>
        <v>3.8188534633747873</v>
      </c>
      <c r="K361" s="1">
        <f>IFERROR(K133/SUM(K133,K198),0)*'[1]Electricity and CHPs_IN'!G$26</f>
        <v>3.1453912967758515</v>
      </c>
      <c r="L361" s="1">
        <f>IFERROR(L133/SUM(L133,L198),0)*'[1]Electricity and CHPs_IN'!H$26</f>
        <v>3.4541063391758855</v>
      </c>
      <c r="M361" s="1">
        <f>IFERROR(M133/SUM(M133,M198),0)*'[1]Electricity and CHPs_IN'!I$26</f>
        <v>3.754669622686154</v>
      </c>
      <c r="N361" s="1">
        <f>IFERROR(N133/SUM(N133,N198),0)*'[1]Electricity and CHPs_IN'!J$26</f>
        <v>3.9067062455316579</v>
      </c>
      <c r="O361" s="1">
        <f>IFERROR(O133/SUM(O133,O198),0)*'[1]Electricity and CHPs_IN'!K$26</f>
        <v>3.9622398078632655</v>
      </c>
      <c r="P361" s="1">
        <f>IFERROR(P133/SUM(P133,P198),0)*'[1]Electricity and CHPs_IN'!L$26</f>
        <v>4.0179892082975552</v>
      </c>
      <c r="Q361" s="1">
        <f>IFERROR(Q133/SUM(Q133,Q198),0)*'[1]Electricity and CHPs_IN'!M$26</f>
        <v>4.0739345833303711</v>
      </c>
      <c r="S361" s="3"/>
    </row>
    <row r="362" spans="1:19" x14ac:dyDescent="0.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75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IFERROR(J134/SUM(J134,J199),0)*'[1]Electricity and CHPs_IN'!F$27</f>
        <v>0</v>
      </c>
      <c r="K362" s="1">
        <f>IFERROR(K134/SUM(K134,K199),0)*'[1]Electricity and CHPs_IN'!G$27</f>
        <v>0.73564489321199766</v>
      </c>
      <c r="L362" s="1">
        <f>IFERROR(L134/SUM(L134,L199),0)*'[1]Electricity and CHPs_IN'!H$27</f>
        <v>1.3515649564408119</v>
      </c>
      <c r="M362" s="1">
        <f>IFERROR(M134/SUM(M134,M199),0)*'[1]Electricity and CHPs_IN'!I$27</f>
        <v>1.33677369586564</v>
      </c>
      <c r="N362" s="1">
        <f>IFERROR(N134/SUM(N134,N199),0)*'[1]Electricity and CHPs_IN'!J$27</f>
        <v>1.3367734233435336</v>
      </c>
      <c r="O362" s="1">
        <f>IFERROR(O134/SUM(O134,O199),0)*'[1]Electricity and CHPs_IN'!K$27</f>
        <v>1.3367734927282733</v>
      </c>
      <c r="P362" s="1">
        <f>IFERROR(P134/SUM(P134,P199),0)*'[1]Electricity and CHPs_IN'!L$27</f>
        <v>1.336773381255991</v>
      </c>
      <c r="Q362" s="1">
        <f>IFERROR(Q134/SUM(Q134,Q199),0)*'[1]Electricity and CHPs_IN'!M$27</f>
        <v>1.3367734994612024</v>
      </c>
      <c r="S362" s="3"/>
    </row>
    <row r="363" spans="1:19" x14ac:dyDescent="0.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75"/>
        <v>PJ/yr.</v>
      </c>
      <c r="F363" s="1">
        <f>IFERROR(F135/SUM(F135,F274),0)*'[1]Electricity and CHPs_IN'!B$44</f>
        <v>0.3944437921821497</v>
      </c>
      <c r="G363" s="1">
        <f>IFERROR(G135/SUM(G135,G274),0)*'[1]Electricity and CHPs_IN'!C$44</f>
        <v>0.40919154705499894</v>
      </c>
      <c r="H363" s="1">
        <f>IFERROR(H135/SUM(H135,H274),0)*'[1]Electricity and CHPs_IN'!D$44</f>
        <v>0.63365891795432927</v>
      </c>
      <c r="I363" s="1">
        <f>IFERROR(I135/SUM(I135,I274),0)*'[1]Electricity and CHPs_IN'!E$44</f>
        <v>0.69431043039132001</v>
      </c>
      <c r="J363" s="1">
        <f>IFERROR(J135/SUM(J135,J274),0)*'[1]Electricity and CHPs_IN'!F$44</f>
        <v>0.76966321262800652</v>
      </c>
      <c r="K363" s="1">
        <f>IFERROR(K135/SUM(K135,K274),0)*'[1]Electricity and CHPs_IN'!G$44</f>
        <v>0.52355717429012905</v>
      </c>
      <c r="L363" s="1">
        <f>IFERROR(L135/SUM(L135,L274),0)*'[1]Electricity and CHPs_IN'!H$44</f>
        <v>1.951693087529398E-4</v>
      </c>
      <c r="M363" s="1">
        <f>IFERROR(M135/SUM(M135,M274),0)*'[1]Electricity and CHPs_IN'!I$44</f>
        <v>1.2874922705299218E-4</v>
      </c>
      <c r="N363" s="1">
        <f>IFERROR(N135/SUM(N135,N274),0)*'[1]Electricity and CHPs_IN'!J$44</f>
        <v>1.6536974754793109E-4</v>
      </c>
      <c r="O363" s="1">
        <f>IFERROR(O135/SUM(O135,O274),0)*'[1]Electricity and CHPs_IN'!K$44</f>
        <v>9.0653319752914983E-5</v>
      </c>
      <c r="P363" s="1">
        <f>IFERROR(P135/SUM(P135,P274),0)*'[1]Electricity and CHPs_IN'!L$44</f>
        <v>1.5623022789882412E-4</v>
      </c>
      <c r="Q363" s="1">
        <f>IFERROR(Q135/SUM(Q135,Q274),0)*'[1]Electricity and CHPs_IN'!M$44</f>
        <v>6.6665678102268143E-5</v>
      </c>
      <c r="S363" s="3"/>
    </row>
    <row r="364" spans="1:19" x14ac:dyDescent="0.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75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IFERROR(J136/SUM(J136,J275),0)*'[1]Electricity and CHPs_IN'!F$45</f>
        <v>0</v>
      </c>
      <c r="K364" s="1">
        <f>IFERROR(K136/SUM(K136,K275),0)*'[1]Electricity and CHPs_IN'!G$45</f>
        <v>0.34783574508649834</v>
      </c>
      <c r="L364" s="1">
        <f>IFERROR(L136/SUM(L136,L275),0)*'[1]Electricity and CHPs_IN'!H$45</f>
        <v>2.0430025407150749</v>
      </c>
      <c r="M364" s="1">
        <f>IFERROR(M136/SUM(M136,M275),0)*'[1]Electricity and CHPs_IN'!I$45</f>
        <v>2.4203033199291419</v>
      </c>
      <c r="N364" s="1">
        <f>IFERROR(N136/SUM(N136,N275),0)*'[1]Electricity and CHPs_IN'!J$45</f>
        <v>2.4201521442680916</v>
      </c>
      <c r="O364" s="1">
        <f>IFERROR(O136/SUM(O136,O275),0)*'[1]Electricity and CHPs_IN'!K$45</f>
        <v>2.4203502914479404</v>
      </c>
      <c r="P364" s="1">
        <f>IFERROR(P136/SUM(P136,P275),0)*'[1]Electricity and CHPs_IN'!L$45</f>
        <v>2.4202655390221479</v>
      </c>
      <c r="Q364" s="1">
        <f>IFERROR(Q136/SUM(Q136,Q275),0)*'[1]Electricity and CHPs_IN'!M$45</f>
        <v>2.4203986714530994</v>
      </c>
      <c r="S364" s="3"/>
    </row>
    <row r="365" spans="1:19" x14ac:dyDescent="0.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75"/>
        <v>PJ/yr.</v>
      </c>
      <c r="F365" s="1">
        <f>SUM(F366:F369)</f>
        <v>11.050532165207226</v>
      </c>
      <c r="G365" s="1">
        <f t="shared" ref="G365:K365" si="378">SUM(G366:G369)</f>
        <v>12.07772319419219</v>
      </c>
      <c r="H365" s="1">
        <f t="shared" si="378"/>
        <v>12.246185639219622</v>
      </c>
      <c r="I365" s="1">
        <f t="shared" si="378"/>
        <v>12.223478086695827</v>
      </c>
      <c r="J365" s="1">
        <f t="shared" si="378"/>
        <v>12.388815049487754</v>
      </c>
      <c r="K365" s="1">
        <f t="shared" si="378"/>
        <v>12.834176829520105</v>
      </c>
      <c r="L365" s="1">
        <f t="shared" ref="L365:O365" si="379">SUM(L366:L369)</f>
        <v>14.982599618899929</v>
      </c>
      <c r="M365" s="1">
        <f t="shared" si="379"/>
        <v>15.563417728470586</v>
      </c>
      <c r="N365" s="1">
        <f t="shared" si="379"/>
        <v>15.639433401270752</v>
      </c>
      <c r="O365" s="1">
        <f t="shared" si="379"/>
        <v>15.667200951011786</v>
      </c>
      <c r="P365" s="1">
        <f>SUM(P366:P369)</f>
        <v>15.69507460702251</v>
      </c>
      <c r="Q365" s="1">
        <f>SUM(Q366:Q369)</f>
        <v>15.723047869547628</v>
      </c>
      <c r="S365" s="3"/>
    </row>
    <row r="366" spans="1:19" x14ac:dyDescent="0.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75"/>
        <v>PJ/yr.</v>
      </c>
      <c r="F366" s="1">
        <f>F359*IFERROR(F138/F131,0)</f>
        <v>9.1017955379860389</v>
      </c>
      <c r="G366" s="1">
        <f t="shared" ref="G366:K366" si="380">G359*IFERROR(G138/G131,0)</f>
        <v>10.214892018378899</v>
      </c>
      <c r="H366" s="1">
        <f t="shared" si="380"/>
        <v>10.380090424538286</v>
      </c>
      <c r="I366" s="1">
        <f t="shared" si="380"/>
        <v>10.348292855529358</v>
      </c>
      <c r="J366" s="1">
        <f t="shared" si="380"/>
        <v>10.47938831780036</v>
      </c>
      <c r="K366" s="1">
        <f t="shared" si="380"/>
        <v>7.6029795292566975</v>
      </c>
      <c r="L366" s="1">
        <f t="shared" ref="L366:O366" si="381">L359*IFERROR(L138/L131,0)</f>
        <v>6.2618859048400282</v>
      </c>
      <c r="M366" s="1">
        <f t="shared" si="381"/>
        <v>6.5090796085110432</v>
      </c>
      <c r="N366" s="1">
        <f t="shared" si="381"/>
        <v>6.5090779817968523</v>
      </c>
      <c r="O366" s="1">
        <f t="shared" si="381"/>
        <v>6.5090787145896183</v>
      </c>
      <c r="P366" s="1">
        <f t="shared" ref="P366:Q371" si="382">P359*IFERROR(P138/P131,0)</f>
        <v>6.5090780327163715</v>
      </c>
      <c r="Q366" s="1">
        <f t="shared" si="382"/>
        <v>6.5090783357557598</v>
      </c>
      <c r="S366" s="3"/>
    </row>
    <row r="367" spans="1:19" x14ac:dyDescent="0.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75"/>
        <v>PJ/yr.</v>
      </c>
      <c r="F367" s="1">
        <f t="shared" ref="F367:K367" si="383">F360*IFERROR(F139/F132,0)</f>
        <v>0</v>
      </c>
      <c r="G367" s="1">
        <f t="shared" si="383"/>
        <v>0</v>
      </c>
      <c r="H367" s="1">
        <f t="shared" si="383"/>
        <v>0</v>
      </c>
      <c r="I367" s="1">
        <f t="shared" si="383"/>
        <v>0</v>
      </c>
      <c r="J367" s="1">
        <f t="shared" si="383"/>
        <v>0</v>
      </c>
      <c r="K367" s="1">
        <f t="shared" si="383"/>
        <v>3.2906792052694827</v>
      </c>
      <c r="L367" s="1">
        <f t="shared" ref="L367:O367" si="384">L360*IFERROR(L139/L132,0)</f>
        <v>6.3178780662515512</v>
      </c>
      <c r="M367" s="1">
        <f t="shared" si="384"/>
        <v>6.508616460683645</v>
      </c>
      <c r="N367" s="1">
        <f t="shared" si="384"/>
        <v>6.5086155850363046</v>
      </c>
      <c r="O367" s="1">
        <f t="shared" si="384"/>
        <v>6.5086155861263979</v>
      </c>
      <c r="P367" s="1">
        <f t="shared" si="382"/>
        <v>6.5086152795293639</v>
      </c>
      <c r="Q367" s="1">
        <f t="shared" si="382"/>
        <v>6.5086154923960811</v>
      </c>
      <c r="S367" s="3"/>
    </row>
    <row r="368" spans="1:19" x14ac:dyDescent="0.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75"/>
        <v>PJ/yr.</v>
      </c>
      <c r="F368" s="1">
        <f t="shared" ref="F368:K368" si="385">F361*IFERROR(F140/F133,0)</f>
        <v>1.948736627221187</v>
      </c>
      <c r="G368" s="1">
        <f t="shared" si="385"/>
        <v>1.8628311758132905</v>
      </c>
      <c r="H368" s="1">
        <f t="shared" si="385"/>
        <v>1.8660952146813363</v>
      </c>
      <c r="I368" s="1">
        <f t="shared" si="385"/>
        <v>1.8751852311664692</v>
      </c>
      <c r="J368" s="1">
        <f t="shared" si="385"/>
        <v>1.9094267316873934</v>
      </c>
      <c r="K368" s="1">
        <f t="shared" si="385"/>
        <v>1.5726956483879257</v>
      </c>
      <c r="L368" s="1">
        <f t="shared" ref="L368:O368" si="386">L361*IFERROR(L140/L133,0)</f>
        <v>1.7270531695879427</v>
      </c>
      <c r="M368" s="1">
        <f t="shared" si="386"/>
        <v>1.877334811343077</v>
      </c>
      <c r="N368" s="1">
        <f t="shared" si="386"/>
        <v>1.953353122765829</v>
      </c>
      <c r="O368" s="1">
        <f t="shared" si="386"/>
        <v>1.9811199039316327</v>
      </c>
      <c r="P368" s="1">
        <f t="shared" si="382"/>
        <v>2.0089946041487776</v>
      </c>
      <c r="Q368" s="1">
        <f t="shared" si="382"/>
        <v>2.0369672916651855</v>
      </c>
      <c r="S368" s="3"/>
    </row>
    <row r="369" spans="1:19" x14ac:dyDescent="0.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75"/>
        <v>PJ/yr.</v>
      </c>
      <c r="F369" s="1">
        <f t="shared" ref="F369:K369" si="387">F362*IFERROR(F141/F134,0)</f>
        <v>0</v>
      </c>
      <c r="G369" s="1">
        <f t="shared" si="387"/>
        <v>0</v>
      </c>
      <c r="H369" s="1">
        <f t="shared" si="387"/>
        <v>0</v>
      </c>
      <c r="I369" s="1">
        <f t="shared" si="387"/>
        <v>0</v>
      </c>
      <c r="J369" s="1">
        <f t="shared" si="387"/>
        <v>0</v>
      </c>
      <c r="K369" s="1">
        <f t="shared" si="387"/>
        <v>0.36782244660599883</v>
      </c>
      <c r="L369" s="1">
        <f t="shared" ref="L369:O369" si="388">L362*IFERROR(L141/L134,0)</f>
        <v>0.67578247822040582</v>
      </c>
      <c r="M369" s="1">
        <f t="shared" si="388"/>
        <v>0.66838684793281999</v>
      </c>
      <c r="N369" s="1">
        <f t="shared" si="388"/>
        <v>0.66838671167176689</v>
      </c>
      <c r="O369" s="1">
        <f t="shared" si="388"/>
        <v>0.66838674636413675</v>
      </c>
      <c r="P369" s="1">
        <f t="shared" si="382"/>
        <v>0.66838669062799549</v>
      </c>
      <c r="Q369" s="1">
        <f t="shared" si="382"/>
        <v>0.66838674973060119</v>
      </c>
      <c r="S369" s="3"/>
    </row>
    <row r="370" spans="1:19" x14ac:dyDescent="0.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75"/>
        <v>PJ/yr.</v>
      </c>
      <c r="F370" s="1">
        <f t="shared" ref="F370:K370" si="389">F363*IFERROR(F142/F135,0)</f>
        <v>0</v>
      </c>
      <c r="G370" s="1">
        <f t="shared" si="389"/>
        <v>0</v>
      </c>
      <c r="H370" s="1">
        <f t="shared" si="389"/>
        <v>0</v>
      </c>
      <c r="I370" s="1">
        <f t="shared" si="389"/>
        <v>0</v>
      </c>
      <c r="J370" s="1">
        <f t="shared" si="389"/>
        <v>0</v>
      </c>
      <c r="K370" s="1">
        <f t="shared" si="389"/>
        <v>0</v>
      </c>
      <c r="L370" s="1">
        <f t="shared" ref="L370:O370" si="390">L363*IFERROR(L142/L135,0)</f>
        <v>0</v>
      </c>
      <c r="M370" s="1">
        <f t="shared" si="390"/>
        <v>0</v>
      </c>
      <c r="N370" s="1">
        <f t="shared" si="390"/>
        <v>0</v>
      </c>
      <c r="O370" s="1">
        <f t="shared" si="390"/>
        <v>0</v>
      </c>
      <c r="P370" s="1">
        <f t="shared" si="382"/>
        <v>0</v>
      </c>
      <c r="Q370" s="1">
        <f t="shared" si="382"/>
        <v>0</v>
      </c>
      <c r="S370" s="3"/>
    </row>
    <row r="371" spans="1:19" x14ac:dyDescent="0.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75"/>
        <v>PJ/yr.</v>
      </c>
      <c r="F371" s="1">
        <f t="shared" ref="F371:K371" si="391">F364*IFERROR(F143/F136,0)</f>
        <v>0</v>
      </c>
      <c r="G371" s="1">
        <f t="shared" si="391"/>
        <v>0</v>
      </c>
      <c r="H371" s="1">
        <f t="shared" si="391"/>
        <v>0</v>
      </c>
      <c r="I371" s="1">
        <f t="shared" si="391"/>
        <v>0</v>
      </c>
      <c r="J371" s="1">
        <f t="shared" si="391"/>
        <v>0</v>
      </c>
      <c r="K371" s="1">
        <f t="shared" si="391"/>
        <v>0</v>
      </c>
      <c r="L371" s="1">
        <f t="shared" ref="L371:O371" si="392">L364*IFERROR(L143/L136,0)</f>
        <v>0</v>
      </c>
      <c r="M371" s="1">
        <f t="shared" si="392"/>
        <v>0</v>
      </c>
      <c r="N371" s="1">
        <f t="shared" si="392"/>
        <v>0</v>
      </c>
      <c r="O371" s="1">
        <f t="shared" si="392"/>
        <v>0</v>
      </c>
      <c r="P371" s="1">
        <f t="shared" si="382"/>
        <v>0</v>
      </c>
      <c r="Q371" s="1">
        <f t="shared" si="382"/>
        <v>0</v>
      </c>
      <c r="S371" s="3"/>
    </row>
    <row r="372" spans="1:19" x14ac:dyDescent="0.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75"/>
        <v>PJ/yr.</v>
      </c>
      <c r="F372" s="1">
        <f>SUM(F373:F378)</f>
        <v>11.444975957389376</v>
      </c>
      <c r="G372" s="1">
        <f t="shared" ref="G372:K372" si="393">SUM(G373:G378)</f>
        <v>12.486914741247189</v>
      </c>
      <c r="H372" s="1">
        <f t="shared" si="393"/>
        <v>12.879844557173952</v>
      </c>
      <c r="I372" s="1">
        <f t="shared" si="393"/>
        <v>12.917788517087148</v>
      </c>
      <c r="J372" s="1">
        <f t="shared" si="393"/>
        <v>13.158478262115761</v>
      </c>
      <c r="K372" s="1">
        <f t="shared" si="393"/>
        <v>13.705569748896734</v>
      </c>
      <c r="L372" s="1">
        <f t="shared" ref="L372:O372" si="394">SUM(L373:L378)</f>
        <v>17.025797328923758</v>
      </c>
      <c r="M372" s="1">
        <f t="shared" si="394"/>
        <v>17.983849797626782</v>
      </c>
      <c r="N372" s="1">
        <f t="shared" si="394"/>
        <v>18.05975091528639</v>
      </c>
      <c r="O372" s="1">
        <f t="shared" si="394"/>
        <v>18.087641895779477</v>
      </c>
      <c r="P372" s="1">
        <f>SUM(P373:P378)</f>
        <v>18.115496376272556</v>
      </c>
      <c r="Q372" s="1">
        <f>SUM(Q373:Q378)</f>
        <v>18.143513206678829</v>
      </c>
      <c r="S372" s="3"/>
    </row>
    <row r="373" spans="1:19" x14ac:dyDescent="0.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75"/>
        <v>PJ/yr.</v>
      </c>
      <c r="F373" s="1">
        <f t="shared" ref="F373:K373" si="395">F366*IFERROR(F145/F138,0)</f>
        <v>9.1017955379860389</v>
      </c>
      <c r="G373" s="1">
        <f t="shared" si="395"/>
        <v>10.214892018378899</v>
      </c>
      <c r="H373" s="1">
        <f t="shared" si="395"/>
        <v>10.380090424538285</v>
      </c>
      <c r="I373" s="1">
        <f t="shared" si="395"/>
        <v>10.348292855529358</v>
      </c>
      <c r="J373" s="1">
        <f t="shared" si="395"/>
        <v>10.47938831780036</v>
      </c>
      <c r="K373" s="1">
        <f t="shared" si="395"/>
        <v>7.6029795292566975</v>
      </c>
      <c r="L373" s="1">
        <f t="shared" ref="L373:O373" si="396">L366*IFERROR(L145/L138,0)</f>
        <v>6.2618859048400282</v>
      </c>
      <c r="M373" s="1">
        <f t="shared" si="396"/>
        <v>6.5090796085110432</v>
      </c>
      <c r="N373" s="1">
        <f t="shared" si="396"/>
        <v>6.5090779817968523</v>
      </c>
      <c r="O373" s="1">
        <f t="shared" si="396"/>
        <v>6.5090787145896183</v>
      </c>
      <c r="P373" s="1">
        <f t="shared" ref="P373:Q376" si="397">P366*IFERROR(P145/P138,0)</f>
        <v>6.5090780327163715</v>
      </c>
      <c r="Q373" s="1">
        <f t="shared" si="397"/>
        <v>6.5090783357557598</v>
      </c>
      <c r="S373" s="3"/>
    </row>
    <row r="374" spans="1:19" x14ac:dyDescent="0.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75"/>
        <v>PJ/yr.</v>
      </c>
      <c r="F374" s="1">
        <f t="shared" ref="F374:K374" si="398">F367*IFERROR(F146/F139,0)</f>
        <v>0</v>
      </c>
      <c r="G374" s="1">
        <f t="shared" si="398"/>
        <v>0</v>
      </c>
      <c r="H374" s="1">
        <f t="shared" si="398"/>
        <v>0</v>
      </c>
      <c r="I374" s="1">
        <f t="shared" si="398"/>
        <v>0</v>
      </c>
      <c r="J374" s="1">
        <f t="shared" si="398"/>
        <v>0</v>
      </c>
      <c r="K374" s="1">
        <f t="shared" si="398"/>
        <v>3.2906792052694827</v>
      </c>
      <c r="L374" s="1">
        <f t="shared" ref="L374:O374" si="399">L367*IFERROR(L146/L139,0)</f>
        <v>6.3178780662515512</v>
      </c>
      <c r="M374" s="1">
        <f t="shared" si="399"/>
        <v>6.508616460683645</v>
      </c>
      <c r="N374" s="1">
        <f t="shared" si="399"/>
        <v>6.5086155850363046</v>
      </c>
      <c r="O374" s="1">
        <f t="shared" si="399"/>
        <v>6.5086155861263979</v>
      </c>
      <c r="P374" s="1">
        <f t="shared" si="397"/>
        <v>6.5086152795293639</v>
      </c>
      <c r="Q374" s="1">
        <f t="shared" si="397"/>
        <v>6.5086154923960811</v>
      </c>
      <c r="S374" s="3"/>
    </row>
    <row r="375" spans="1:19" x14ac:dyDescent="0.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75"/>
        <v>PJ/yr.</v>
      </c>
      <c r="F375" s="1">
        <f t="shared" ref="F375:K375" si="400">F368*IFERROR(F147/F140,0)</f>
        <v>1.948736627221187</v>
      </c>
      <c r="G375" s="1">
        <f t="shared" si="400"/>
        <v>1.8628311758132905</v>
      </c>
      <c r="H375" s="1">
        <f t="shared" si="400"/>
        <v>1.8660952146813363</v>
      </c>
      <c r="I375" s="1">
        <f t="shared" si="400"/>
        <v>1.8751852311664696</v>
      </c>
      <c r="J375" s="1">
        <f t="shared" si="400"/>
        <v>1.9094267316873939</v>
      </c>
      <c r="K375" s="1">
        <f t="shared" si="400"/>
        <v>1.5726956483879257</v>
      </c>
      <c r="L375" s="1">
        <f t="shared" ref="L375:O375" si="401">L368*IFERROR(L147/L140,0)</f>
        <v>1.7270531695879427</v>
      </c>
      <c r="M375" s="1">
        <f t="shared" si="401"/>
        <v>1.877334811343077</v>
      </c>
      <c r="N375" s="1">
        <f t="shared" si="401"/>
        <v>1.953353122765829</v>
      </c>
      <c r="O375" s="1">
        <f t="shared" si="401"/>
        <v>1.9811199039316327</v>
      </c>
      <c r="P375" s="1">
        <f t="shared" si="397"/>
        <v>2.0089946041487776</v>
      </c>
      <c r="Q375" s="1">
        <f t="shared" si="397"/>
        <v>2.0369672916651855</v>
      </c>
      <c r="S375" s="3"/>
    </row>
    <row r="376" spans="1:19" x14ac:dyDescent="0.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75"/>
        <v>PJ/yr.</v>
      </c>
      <c r="F376" s="1">
        <f t="shared" ref="F376:K376" si="402">F369*IFERROR(F148/F141,0)</f>
        <v>0</v>
      </c>
      <c r="G376" s="1">
        <f t="shared" si="402"/>
        <v>0</v>
      </c>
      <c r="H376" s="1">
        <f t="shared" si="402"/>
        <v>0</v>
      </c>
      <c r="I376" s="1">
        <f t="shared" si="402"/>
        <v>0</v>
      </c>
      <c r="J376" s="1">
        <f t="shared" si="402"/>
        <v>0</v>
      </c>
      <c r="K376" s="1">
        <f t="shared" si="402"/>
        <v>0.36782244660599883</v>
      </c>
      <c r="L376" s="1">
        <f t="shared" ref="L376:O376" si="403">L369*IFERROR(L148/L141,0)</f>
        <v>0.67578247822040594</v>
      </c>
      <c r="M376" s="1">
        <f t="shared" si="403"/>
        <v>0.66838684793281999</v>
      </c>
      <c r="N376" s="1">
        <f t="shared" si="403"/>
        <v>0.66838671167176666</v>
      </c>
      <c r="O376" s="1">
        <f t="shared" si="403"/>
        <v>0.66838674636413653</v>
      </c>
      <c r="P376" s="1">
        <f t="shared" si="397"/>
        <v>0.66838669062799549</v>
      </c>
      <c r="Q376" s="1">
        <f t="shared" si="397"/>
        <v>0.66838674973060119</v>
      </c>
      <c r="S376" s="3"/>
    </row>
    <row r="377" spans="1:19" x14ac:dyDescent="0.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75"/>
        <v>PJ/yr.</v>
      </c>
      <c r="F377" s="1">
        <f>F363</f>
        <v>0.3944437921821497</v>
      </c>
      <c r="G377" s="1">
        <f t="shared" ref="G377:K377" si="404">G363</f>
        <v>0.40919154705499894</v>
      </c>
      <c r="H377" s="1">
        <f t="shared" si="404"/>
        <v>0.63365891795432927</v>
      </c>
      <c r="I377" s="1">
        <f t="shared" si="404"/>
        <v>0.69431043039132001</v>
      </c>
      <c r="J377" s="1">
        <f t="shared" si="404"/>
        <v>0.76966321262800652</v>
      </c>
      <c r="K377" s="1">
        <f t="shared" si="404"/>
        <v>0.52355717429012905</v>
      </c>
      <c r="L377" s="1">
        <f t="shared" ref="L377:O377" si="405">L363</f>
        <v>1.951693087529398E-4</v>
      </c>
      <c r="M377" s="1">
        <f t="shared" si="405"/>
        <v>1.2874922705299218E-4</v>
      </c>
      <c r="N377" s="1">
        <f t="shared" si="405"/>
        <v>1.6536974754793109E-4</v>
      </c>
      <c r="O377" s="1">
        <f t="shared" si="405"/>
        <v>9.0653319752914983E-5</v>
      </c>
      <c r="P377" s="1">
        <f>P363</f>
        <v>1.5623022789882412E-4</v>
      </c>
      <c r="Q377" s="1">
        <f>Q363</f>
        <v>6.6665678102268143E-5</v>
      </c>
      <c r="S377" s="3"/>
    </row>
    <row r="378" spans="1:19" x14ac:dyDescent="0.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75"/>
        <v>PJ/yr.</v>
      </c>
      <c r="F378" s="1">
        <f t="shared" ref="F378:K378" si="406">F364</f>
        <v>0</v>
      </c>
      <c r="G378" s="1">
        <f t="shared" si="406"/>
        <v>0</v>
      </c>
      <c r="H378" s="1">
        <f t="shared" si="406"/>
        <v>0</v>
      </c>
      <c r="I378" s="1">
        <f t="shared" si="406"/>
        <v>0</v>
      </c>
      <c r="J378" s="1">
        <f t="shared" si="406"/>
        <v>0</v>
      </c>
      <c r="K378" s="1">
        <f t="shared" si="406"/>
        <v>0.34783574508649834</v>
      </c>
      <c r="L378" s="1">
        <f t="shared" ref="L378:O378" si="407">L364</f>
        <v>2.0430025407150749</v>
      </c>
      <c r="M378" s="1">
        <f t="shared" si="407"/>
        <v>2.4203033199291419</v>
      </c>
      <c r="N378" s="1">
        <f t="shared" si="407"/>
        <v>2.4201521442680916</v>
      </c>
      <c r="O378" s="1">
        <f t="shared" si="407"/>
        <v>2.4203502914479404</v>
      </c>
      <c r="P378" s="1">
        <f>P364</f>
        <v>2.4202655390221479</v>
      </c>
      <c r="Q378" s="1">
        <f>Q364</f>
        <v>2.4203986714530994</v>
      </c>
      <c r="S378" s="3"/>
    </row>
    <row r="379" spans="1:19" x14ac:dyDescent="0.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75"/>
        <v>PJ/yr.</v>
      </c>
      <c r="F379" s="1">
        <f>SUM(F380:F386)</f>
        <v>0.21481034899688248</v>
      </c>
      <c r="G379" s="1">
        <f t="shared" ref="G379:K379" si="408">SUM(G380:G386)</f>
        <v>0.23529305738676265</v>
      </c>
      <c r="H379" s="1">
        <f t="shared" si="408"/>
        <v>1.1452698313398171</v>
      </c>
      <c r="I379" s="1">
        <f t="shared" si="408"/>
        <v>1.6824961947419266</v>
      </c>
      <c r="J379" s="1">
        <f t="shared" si="408"/>
        <v>1.7914532736596309</v>
      </c>
      <c r="K379" s="1">
        <f t="shared" si="408"/>
        <v>3.0198314627998011</v>
      </c>
      <c r="L379" s="1">
        <f t="shared" ref="L379:O379" si="409">SUM(L380:L386)</f>
        <v>4.9290016422480685</v>
      </c>
      <c r="M379" s="1">
        <f t="shared" si="409"/>
        <v>6.4098859917146846</v>
      </c>
      <c r="N379" s="1">
        <f t="shared" si="409"/>
        <v>6.38439107725321</v>
      </c>
      <c r="O379" s="1">
        <f t="shared" si="409"/>
        <v>6.4486012478857155</v>
      </c>
      <c r="P379" s="1">
        <f>SUM(P380:P386)</f>
        <v>6.4298987255928104</v>
      </c>
      <c r="Q379" s="1">
        <f>SUM(Q380:Q386)</f>
        <v>6.4194365493147059</v>
      </c>
      <c r="S379" s="3"/>
    </row>
    <row r="380" spans="1:19" x14ac:dyDescent="0.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75"/>
        <v>PJ/yr.</v>
      </c>
      <c r="F380" s="1">
        <f>IFERROR(F152/SUM(F152,F207),0)*'[1]Electricity and CHPs_IN'!B$25</f>
        <v>3.3923249460131588E-2</v>
      </c>
      <c r="G380" s="1">
        <f>IFERROR(G152/SUM(G152,G207),0)*'[1]Electricity and CHPs_IN'!C$25</f>
        <v>2.2513344817167089E-7</v>
      </c>
      <c r="H380" s="1">
        <f>IFERROR(H152/SUM(H152,H207),0)*'[1]Electricity and CHPs_IN'!D$25</f>
        <v>1.9902652266836469E-3</v>
      </c>
      <c r="I380" s="1">
        <f>IFERROR(I152/SUM(I152,I207),0)*'[1]Electricity and CHPs_IN'!E$25</f>
        <v>4.1780238448892989E-4</v>
      </c>
      <c r="J380" s="1">
        <f>IFERROR(J152/SUM(J152,J207),0)*'[1]Electricity and CHPs_IN'!F$25</f>
        <v>6.6005245988767086E-4</v>
      </c>
      <c r="K380" s="1">
        <f>IFERROR(K152/SUM(K152,K207),0)*'[1]Electricity and CHPs_IN'!G$25</f>
        <v>0.81180129212545427</v>
      </c>
      <c r="L380" s="1">
        <f>IFERROR(L152/SUM(L152,L207),0)*'[1]Electricity and CHPs_IN'!H$25</f>
        <v>1.1378655679067398</v>
      </c>
      <c r="M380" s="1">
        <f>IFERROR(M152/SUM(M152,M207),0)*'[1]Electricity and CHPs_IN'!I$25</f>
        <v>0.71364171838683643</v>
      </c>
      <c r="N380" s="1">
        <f>IFERROR(N152/SUM(N152,N207),0)*'[1]Electricity and CHPs_IN'!J$25</f>
        <v>0.69441464191958768</v>
      </c>
      <c r="O380" s="1">
        <f>IFERROR(O152/SUM(O152,O207),0)*'[1]Electricity and CHPs_IN'!K$25</f>
        <v>0.70619505406562533</v>
      </c>
      <c r="P380" s="1">
        <f>IFERROR(P152/SUM(P152,P207),0)*'[1]Electricity and CHPs_IN'!L$25</f>
        <v>0.69476452498147911</v>
      </c>
      <c r="Q380" s="1">
        <f>IFERROR(Q152/SUM(Q152,Q207),0)*'[1]Electricity and CHPs_IN'!M$25</f>
        <v>0.67631458195994054</v>
      </c>
      <c r="S380" s="3"/>
    </row>
    <row r="381" spans="1:19" x14ac:dyDescent="0.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75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'[1]Electricity and CHPs_IN'!F$31</f>
        <v>0</v>
      </c>
      <c r="K381" s="1">
        <f>'[1]Electricity and CHPs_IN'!G$31</f>
        <v>1.0264472724410534E-3</v>
      </c>
      <c r="L381" s="1">
        <f>'[1]Electricity and CHPs_IN'!H$31</f>
        <v>0.10692866786284609</v>
      </c>
      <c r="M381" s="1">
        <f>'[1]Electricity and CHPs_IN'!I$31</f>
        <v>1.6563000456705772</v>
      </c>
      <c r="N381" s="1">
        <f>'[1]Electricity and CHPs_IN'!J$31</f>
        <v>1.7052672875606096</v>
      </c>
      <c r="O381" s="1">
        <f>'[1]Electricity and CHPs_IN'!K$31</f>
        <v>1.7071772724434258</v>
      </c>
      <c r="P381" s="1">
        <f>'[1]Electricity and CHPs_IN'!L$31</f>
        <v>1.7148487088754327</v>
      </c>
      <c r="Q381" s="1">
        <f>'[1]Electricity and CHPs_IN'!M$31</f>
        <v>1.7055407016271611</v>
      </c>
      <c r="S381" s="3"/>
    </row>
    <row r="382" spans="1:19" x14ac:dyDescent="0.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75"/>
        <v>PJ/yr.</v>
      </c>
      <c r="F382" s="1">
        <f>IFERROR(F154/SUM(F154,F283),0)*'[1]Electricity and CHPs_IN'!B$42</f>
        <v>0.18088709953675089</v>
      </c>
      <c r="G382" s="1">
        <f>IFERROR(G154/SUM(G154,G283),0)*'[1]Electricity and CHPs_IN'!C$42</f>
        <v>0.23529283225331449</v>
      </c>
      <c r="H382" s="1">
        <f>IFERROR(H154/SUM(H154,H283),0)*'[1]Electricity and CHPs_IN'!D$42</f>
        <v>1.1432795661131334</v>
      </c>
      <c r="I382" s="1">
        <f>IFERROR(I154/SUM(I154,I283),0)*'[1]Electricity and CHPs_IN'!E$42</f>
        <v>1.6809630066864356</v>
      </c>
      <c r="J382" s="1">
        <f>IFERROR(J154/SUM(J154,J283),0)*'[1]Electricity and CHPs_IN'!F$42</f>
        <v>1.7890661057262467</v>
      </c>
      <c r="K382" s="1">
        <f>IFERROR(K154/SUM(K154,K283),0)*'[1]Electricity and CHPs_IN'!G$42</f>
        <v>0.57937335135806001</v>
      </c>
      <c r="L382" s="1">
        <f>IFERROR(L154/SUM(L154,L283),0)*'[1]Electricity and CHPs_IN'!H$42</f>
        <v>0.19158236496490866</v>
      </c>
      <c r="M382" s="1">
        <f>IFERROR(M154/SUM(M154,M283),0)*'[1]Electricity and CHPs_IN'!I$42</f>
        <v>3.4336365785005813E-4</v>
      </c>
      <c r="N382" s="1">
        <f>IFERROR(N154/SUM(N154,N283),0)*'[1]Electricity and CHPs_IN'!J$42</f>
        <v>3.1417994814271694E-4</v>
      </c>
      <c r="O382" s="1">
        <f>IFERROR(O154/SUM(O154,O283),0)*'[1]Electricity and CHPs_IN'!K$42</f>
        <v>5.1104193677102626E-4</v>
      </c>
      <c r="P382" s="1">
        <f>IFERROR(P154/SUM(P154,P283),0)*'[1]Electricity and CHPs_IN'!L$42</f>
        <v>3.0261037939005808E-4</v>
      </c>
      <c r="Q382" s="1">
        <f>IFERROR(Q154/SUM(Q154,Q283),0)*'[1]Electricity and CHPs_IN'!M$42</f>
        <v>4.8788860991126566E-4</v>
      </c>
      <c r="S382" s="3"/>
    </row>
    <row r="383" spans="1:19" x14ac:dyDescent="0.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75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IFERROR(J155/SUM(J155,J284),0)*'[1]Electricity and CHPs_IN'!F$43</f>
        <v>0</v>
      </c>
      <c r="K383" s="1">
        <f>IFERROR(K155/SUM(K155,K284),0)*'[1]Electricity and CHPs_IN'!G$43</f>
        <v>1.5705579443494393</v>
      </c>
      <c r="L383" s="1">
        <f>IFERROR(L155/SUM(L155,L284),0)*'[1]Electricity and CHPs_IN'!H$43</f>
        <v>3.4005817534282894</v>
      </c>
      <c r="M383" s="1">
        <f>IFERROR(M155/SUM(M155,M284),0)*'[1]Electricity and CHPs_IN'!I$43</f>
        <v>3.9504375688641113</v>
      </c>
      <c r="N383" s="1">
        <f>IFERROR(N155/SUM(N155,N284),0)*'[1]Electricity and CHPs_IN'!J$43</f>
        <v>3.898423982059227</v>
      </c>
      <c r="O383" s="1">
        <f>IFERROR(O155/SUM(O155,O284),0)*'[1]Electricity and CHPs_IN'!K$43</f>
        <v>3.9505183847980971</v>
      </c>
      <c r="P383" s="1">
        <f>IFERROR(P155/SUM(P155,P284),0)*'[1]Electricity and CHPs_IN'!L$43</f>
        <v>3.934998722011561</v>
      </c>
      <c r="Q383" s="1">
        <f>IFERROR(Q155/SUM(Q155,Q284),0)*'[1]Electricity and CHPs_IN'!M$43</f>
        <v>3.9515900872419913</v>
      </c>
      <c r="S383" s="3"/>
    </row>
    <row r="384" spans="1:19" x14ac:dyDescent="0.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75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3.348931272134704E-4</v>
      </c>
      <c r="J384" s="1">
        <f>IFERROR(J156/SUM(J285,J156),0)*'[1]Electricity and CHPs_IN'!F$50</f>
        <v>5.5504278421925144E-4</v>
      </c>
      <c r="K384" s="1">
        <f>IFERROR(K156/SUM(K285,K156),0)*'[1]Electricity and CHPs_IN'!G$50</f>
        <v>1.5062062963605762E-3</v>
      </c>
      <c r="L384" s="1">
        <f>IFERROR(L156/SUM(L285,L156),0)*'[1]Electricity and CHPs_IN'!H$50</f>
        <v>2.7161019048045324E-3</v>
      </c>
      <c r="M384" s="1">
        <f>IFERROR(M156/SUM(M285,M156),0)*'[1]Electricity and CHPs_IN'!I$50</f>
        <v>3.1307983742654205E-3</v>
      </c>
      <c r="N384" s="1">
        <f>IFERROR(N156/SUM(N285,N156),0)*'[1]Electricity and CHPs_IN'!J$50</f>
        <v>2.0210651020976145E-3</v>
      </c>
      <c r="O384" s="1">
        <f>IFERROR(O156/SUM(O285,O156),0)*'[1]Electricity and CHPs_IN'!K$50</f>
        <v>1.3364005702748414E-3</v>
      </c>
      <c r="P384" s="1">
        <f>IFERROR(P156/SUM(P285,P156),0)*'[1]Electricity and CHPs_IN'!L$50</f>
        <v>1.2282460944234566E-3</v>
      </c>
      <c r="Q384" s="1">
        <f>IFERROR(Q156/SUM(Q285,Q156),0)*'[1]Electricity and CHPs_IN'!M$50</f>
        <v>2.0683570071789144E-3</v>
      </c>
      <c r="S384" s="3"/>
    </row>
    <row r="385" spans="1:19" x14ac:dyDescent="0.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75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4.251135488999805E-4</v>
      </c>
      <c r="J385" s="1">
        <f>IFERROR(J157/SUM(J286,J157),0)*'[1]Electricity and CHPs_IN'!F$53</f>
        <v>7.3642240969457886E-4</v>
      </c>
      <c r="K385" s="1">
        <f>IFERROR(K157/SUM(K286,K157),0)*'[1]Electricity and CHPs_IN'!G$53</f>
        <v>5.3037633206288605E-2</v>
      </c>
      <c r="L385" s="1">
        <f>IFERROR(L157/SUM(L286,L157),0)*'[1]Electricity and CHPs_IN'!H$53</f>
        <v>8.7038562057665109E-2</v>
      </c>
      <c r="M385" s="1">
        <f>IFERROR(M157/SUM(M286,M157),0)*'[1]Electricity and CHPs_IN'!I$53</f>
        <v>8.4586916239507245E-2</v>
      </c>
      <c r="N385" s="1">
        <f>IFERROR(N157/SUM(N286,N157),0)*'[1]Electricity and CHPs_IN'!J$53</f>
        <v>8.3186153124478412E-2</v>
      </c>
      <c r="O385" s="1">
        <f>IFERROR(O157/SUM(O286,O157),0)*'[1]Electricity and CHPs_IN'!K$53</f>
        <v>8.2009356779654541E-2</v>
      </c>
      <c r="P385" s="1">
        <f>IFERROR(P157/SUM(P286,P157),0)*'[1]Electricity and CHPs_IN'!L$53</f>
        <v>8.3000299220088544E-2</v>
      </c>
      <c r="Q385" s="1">
        <f>IFERROR(Q157/SUM(Q286,Q157),0)*'[1]Electricity and CHPs_IN'!M$53</f>
        <v>8.2063642007654189E-2</v>
      </c>
      <c r="S385" s="3"/>
    </row>
    <row r="386" spans="1:19" x14ac:dyDescent="0.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75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3.5537899488835741E-4</v>
      </c>
      <c r="J386" s="1">
        <f>IFERROR(J158/SUM(J287,J158),0)*'[1]Electricity and CHPs_IN'!F$56</f>
        <v>4.3565027958251159E-4</v>
      </c>
      <c r="K386" s="1">
        <f>IFERROR(K158/SUM(K287,K158),0)*'[1]Electricity and CHPs_IN'!G$56</f>
        <v>2.5285881917576892E-3</v>
      </c>
      <c r="L386" s="1">
        <f>IFERROR(L158/SUM(L287,L158),0)*'[1]Electricity and CHPs_IN'!H$56</f>
        <v>2.288624122815637E-3</v>
      </c>
      <c r="M386" s="1">
        <f>IFERROR(M158/SUM(M287,M158),0)*'[1]Electricity and CHPs_IN'!I$56</f>
        <v>1.4455805215372063E-3</v>
      </c>
      <c r="N386" s="1">
        <f>IFERROR(N158/SUM(N287,N158),0)*'[1]Electricity and CHPs_IN'!J$56</f>
        <v>7.6376753906662017E-4</v>
      </c>
      <c r="O386" s="1">
        <f>IFERROR(O158/SUM(O287,O158),0)*'[1]Electricity and CHPs_IN'!K$56</f>
        <v>8.5373729186603777E-4</v>
      </c>
      <c r="P386" s="1">
        <f>IFERROR(P158/SUM(P287,P158),0)*'[1]Electricity and CHPs_IN'!L$56</f>
        <v>7.556140304350483E-4</v>
      </c>
      <c r="Q386" s="1">
        <f>IFERROR(Q158/SUM(Q287,Q158),0)*'[1]Electricity and CHPs_IN'!M$56</f>
        <v>1.3712908608695899E-3</v>
      </c>
      <c r="S386" s="3"/>
    </row>
    <row r="387" spans="1:19" x14ac:dyDescent="0.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75"/>
        <v>PJ/yr.</v>
      </c>
      <c r="F387" s="1">
        <f>F388</f>
        <v>0.52400000000000047</v>
      </c>
      <c r="G387" s="1">
        <f t="shared" ref="G387:O387" si="410">G388</f>
        <v>0.54529201541730321</v>
      </c>
      <c r="H387" s="1">
        <f t="shared" si="410"/>
        <v>0.50316461375085242</v>
      </c>
      <c r="I387" s="1">
        <f t="shared" si="410"/>
        <v>2.0502580118443223</v>
      </c>
      <c r="J387" s="1">
        <f t="shared" si="410"/>
        <v>2.6087278270265699</v>
      </c>
      <c r="K387" s="1">
        <f t="shared" si="410"/>
        <v>2.6087303278524723</v>
      </c>
      <c r="L387" s="1">
        <f t="shared" si="410"/>
        <v>3.02629808325768</v>
      </c>
      <c r="M387" s="1">
        <f t="shared" si="410"/>
        <v>3.0263334704456639</v>
      </c>
      <c r="N387" s="1">
        <f t="shared" si="410"/>
        <v>3.0263347098079607</v>
      </c>
      <c r="O387" s="1">
        <f t="shared" si="410"/>
        <v>3.0264180288717606</v>
      </c>
      <c r="P387" s="1">
        <f>P388</f>
        <v>3.0268161257046819</v>
      </c>
      <c r="Q387" s="1">
        <f>Q388</f>
        <v>3.0270610836370531</v>
      </c>
      <c r="S387" s="3"/>
    </row>
    <row r="388" spans="1:19" x14ac:dyDescent="0.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75"/>
        <v>PJ/yr.</v>
      </c>
      <c r="F388" s="1">
        <f>'[1]Electricity and CHPs_IN'!B$33</f>
        <v>0.52400000000000047</v>
      </c>
      <c r="G388" s="1">
        <f>'[1]Electricity and CHPs_IN'!C$33</f>
        <v>0.54529201541730321</v>
      </c>
      <c r="H388" s="1">
        <f>'[1]Electricity and CHPs_IN'!D$33</f>
        <v>0.50316461375085242</v>
      </c>
      <c r="I388" s="1">
        <f>'[1]Electricity and CHPs_IN'!E$33</f>
        <v>2.0502580118443223</v>
      </c>
      <c r="J388" s="1">
        <f>'[1]Electricity and CHPs_IN'!F$33</f>
        <v>2.6087278270265699</v>
      </c>
      <c r="K388" s="1">
        <f>'[1]Electricity and CHPs_IN'!G$33</f>
        <v>2.6087303278524723</v>
      </c>
      <c r="L388" s="1">
        <f>'[1]Electricity and CHPs_IN'!H$33</f>
        <v>3.02629808325768</v>
      </c>
      <c r="M388" s="1">
        <f>'[1]Electricity and CHPs_IN'!I$33</f>
        <v>3.0263334704456639</v>
      </c>
      <c r="N388" s="1">
        <f>'[1]Electricity and CHPs_IN'!J$33</f>
        <v>3.0263347098079607</v>
      </c>
      <c r="O388" s="1">
        <f>'[1]Electricity and CHPs_IN'!K$33</f>
        <v>3.0264180288717606</v>
      </c>
      <c r="P388" s="1">
        <f>'[1]Electricity and CHPs_IN'!L$33</f>
        <v>3.0268161257046819</v>
      </c>
      <c r="Q388" s="1">
        <f>'[1]Electricity and CHPs_IN'!M$33</f>
        <v>3.0270610836370531</v>
      </c>
      <c r="S388" s="3"/>
    </row>
    <row r="389" spans="1:19" x14ac:dyDescent="0.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75"/>
        <v>PJ/yr.</v>
      </c>
      <c r="F389" s="1">
        <f>SUM(F390:F394)</f>
        <v>9.3550000000000111</v>
      </c>
      <c r="G389" s="1">
        <f t="shared" ref="G389:K389" si="411">SUM(G390:G394)</f>
        <v>12.821330483791327</v>
      </c>
      <c r="H389" s="1">
        <f t="shared" si="411"/>
        <v>28.800000863153848</v>
      </c>
      <c r="I389" s="1">
        <f t="shared" si="411"/>
        <v>54.747142053291533</v>
      </c>
      <c r="J389" s="1">
        <f t="shared" si="411"/>
        <v>81.326298072036266</v>
      </c>
      <c r="K389" s="1">
        <f t="shared" si="411"/>
        <v>87.354510227626662</v>
      </c>
      <c r="L389" s="1">
        <f t="shared" ref="L389:O389" si="412">SUM(L390:L394)</f>
        <v>96.367606739289371</v>
      </c>
      <c r="M389" s="1">
        <f t="shared" si="412"/>
        <v>106.01015920767045</v>
      </c>
      <c r="N389" s="1">
        <f t="shared" si="412"/>
        <v>110.41825128779602</v>
      </c>
      <c r="O389" s="1">
        <f t="shared" si="412"/>
        <v>114.47916669640969</v>
      </c>
      <c r="P389" s="1">
        <f>SUM(P390:P394)</f>
        <v>119.49419983720229</v>
      </c>
      <c r="Q389" s="1">
        <f>SUM(Q390:Q394)</f>
        <v>123.76405360681655</v>
      </c>
      <c r="S389" s="3"/>
    </row>
    <row r="390" spans="1:19" x14ac:dyDescent="0.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75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0.15619207185326314</v>
      </c>
      <c r="I390" s="1">
        <f>'[1]Electricity and CHPs_IN'!E34</f>
        <v>0.64200371044621907</v>
      </c>
      <c r="J390" s="1">
        <f>'[1]Electricity and CHPs_IN'!F34</f>
        <v>2.3202395754064646</v>
      </c>
      <c r="K390" s="1">
        <f>'[1]Electricity and CHPs_IN'!G34</f>
        <v>3.0679891737690017</v>
      </c>
      <c r="L390" s="1">
        <f>'[1]Electricity and CHPs_IN'!H34</f>
        <v>7.7816154149580532</v>
      </c>
      <c r="M390" s="1">
        <f>'[1]Electricity and CHPs_IN'!I34</f>
        <v>12.905384321944524</v>
      </c>
      <c r="N390" s="1">
        <f>'[1]Electricity and CHPs_IN'!J34</f>
        <v>12.564192617371187</v>
      </c>
      <c r="O390" s="1">
        <f>'[1]Electricity and CHPs_IN'!K34</f>
        <v>11.633556415844186</v>
      </c>
      <c r="P390" s="1">
        <f>'[1]Electricity and CHPs_IN'!L34</f>
        <v>11.402419710409172</v>
      </c>
      <c r="Q390" s="1">
        <f>'[1]Electricity and CHPs_IN'!M34</f>
        <v>10.158133846573097</v>
      </c>
      <c r="S390" s="3"/>
    </row>
    <row r="391" spans="1:19" x14ac:dyDescent="0.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75"/>
        <v>PJ/yr.</v>
      </c>
      <c r="F391" s="1">
        <f>'[1]Electricity and CHPs_IN'!B35</f>
        <v>3.517953999707534</v>
      </c>
      <c r="G391" s="1">
        <f>'[1]Electricity and CHPs_IN'!C35</f>
        <v>4.8486222317880792</v>
      </c>
      <c r="H391" s="1">
        <f>'[1]Electricity and CHPs_IN'!D35</f>
        <v>11.927075264761642</v>
      </c>
      <c r="I391" s="1">
        <f>'[1]Electricity and CHPs_IN'!E35</f>
        <v>14.11662421317634</v>
      </c>
      <c r="J391" s="1">
        <f>'[1]Electricity and CHPs_IN'!F35</f>
        <v>19.784680653789398</v>
      </c>
      <c r="K391" s="1">
        <f>'[1]Electricity and CHPs_IN'!G35</f>
        <v>20.793899372673938</v>
      </c>
      <c r="L391" s="1">
        <f>'[1]Electricity and CHPs_IN'!H35</f>
        <v>21.854597760987033</v>
      </c>
      <c r="M391" s="1">
        <f>'[1]Electricity and CHPs_IN'!I35</f>
        <v>22.969402308816292</v>
      </c>
      <c r="N391" s="1">
        <f>'[1]Electricity and CHPs_IN'!J35</f>
        <v>24.141072964450984</v>
      </c>
      <c r="O391" s="1">
        <f>'[1]Electricity and CHPs_IN'!K35</f>
        <v>25.372510578218783</v>
      </c>
      <c r="P391" s="1">
        <f>'[1]Electricity and CHPs_IN'!L35</f>
        <v>26.666763841702945</v>
      </c>
      <c r="Q391" s="1">
        <f>'[1]Electricity and CHPs_IN'!M35</f>
        <v>28.027037153395895</v>
      </c>
      <c r="S391" s="3"/>
    </row>
    <row r="392" spans="1:19" x14ac:dyDescent="0.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75"/>
        <v>PJ/yr.</v>
      </c>
      <c r="F392" s="1">
        <f>'[1]Electricity and CHPs_IN'!B36</f>
        <v>2.1349390887346629</v>
      </c>
      <c r="G392" s="1">
        <f>'[1]Electricity and CHPs_IN'!C36</f>
        <v>3.3906677965880174</v>
      </c>
      <c r="H392" s="1">
        <f>'[1]Electricity and CHPs_IN'!D36</f>
        <v>4.317899359575466</v>
      </c>
      <c r="I392" s="1">
        <f>'[1]Electricity and CHPs_IN'!E36</f>
        <v>18.917594622614914</v>
      </c>
      <c r="J392" s="1">
        <f>'[1]Electricity and CHPs_IN'!F36</f>
        <v>19.882586928798681</v>
      </c>
      <c r="K392" s="1">
        <f>'[1]Electricity and CHPs_IN'!G36</f>
        <v>20.896798949908288</v>
      </c>
      <c r="L392" s="1">
        <f>'[1]Electricity and CHPs_IN'!H36</f>
        <v>21.962746706891227</v>
      </c>
      <c r="M392" s="1">
        <f>'[1]Electricity and CHPs_IN'!I36</f>
        <v>23.083071197112371</v>
      </c>
      <c r="N392" s="1">
        <f>'[1]Electricity and CHPs_IN'!J36</f>
        <v>24.260541662721149</v>
      </c>
      <c r="O392" s="1">
        <f>'[1]Electricity and CHPs_IN'!K36</f>
        <v>25.498079912401227</v>
      </c>
      <c r="P392" s="1">
        <f>'[1]Electricity and CHPs_IN'!L36</f>
        <v>26.798743556109635</v>
      </c>
      <c r="Q392" s="1">
        <f>'[1]Electricity and CHPs_IN'!M36</f>
        <v>28.166099323931</v>
      </c>
      <c r="S392" s="3"/>
    </row>
    <row r="393" spans="1:19" x14ac:dyDescent="0.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75"/>
        <v>PJ/yr.</v>
      </c>
      <c r="F393" s="1">
        <f>'[1]Electricity and CHPs_IN'!B37</f>
        <v>0.86248322578584768</v>
      </c>
      <c r="G393" s="1">
        <f>'[1]Electricity and CHPs_IN'!C37</f>
        <v>1.287585404580073</v>
      </c>
      <c r="H393" s="1">
        <f>'[1]Electricity and CHPs_IN'!D37</f>
        <v>5.8101383398366746</v>
      </c>
      <c r="I393" s="1">
        <f>'[1]Electricity and CHPs_IN'!E37</f>
        <v>13.46065870031693</v>
      </c>
      <c r="J393" s="1">
        <f>'[1]Electricity and CHPs_IN'!F37</f>
        <v>14.147297290901427</v>
      </c>
      <c r="K393" s="1">
        <f>'[1]Electricity and CHPs_IN'!G37</f>
        <v>14.868952473924839</v>
      </c>
      <c r="L393" s="1">
        <f>'[1]Electricity and CHPs_IN'!H37</f>
        <v>15.627420627348634</v>
      </c>
      <c r="M393" s="1">
        <f>'[1]Electricity and CHPs_IN'!I37</f>
        <v>16.424578182911205</v>
      </c>
      <c r="N393" s="1">
        <f>'[1]Electricity and CHPs_IN'!J37</f>
        <v>17.262398113239961</v>
      </c>
      <c r="O393" s="1">
        <f>'[1]Electricity and CHPs_IN'!K37</f>
        <v>18.142956858653015</v>
      </c>
      <c r="P393" s="1">
        <f>'[1]Electricity and CHPs_IN'!L37</f>
        <v>19.068433390353412</v>
      </c>
      <c r="Q393" s="1">
        <f>'[1]Electricity and CHPs_IN'!M37</f>
        <v>20.041134622302931</v>
      </c>
      <c r="S393" s="3"/>
    </row>
    <row r="394" spans="1:19" x14ac:dyDescent="0.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75"/>
        <v>PJ/yr.</v>
      </c>
      <c r="F394" s="1">
        <f>'[1]Electricity and CHPs_IN'!B38</f>
        <v>2.8396236857719668</v>
      </c>
      <c r="G394" s="1">
        <f>'[1]Electricity and CHPs_IN'!C38</f>
        <v>3.294455050835158</v>
      </c>
      <c r="H394" s="1">
        <f>'[1]Electricity and CHPs_IN'!D38</f>
        <v>6.5886958271267977</v>
      </c>
      <c r="I394" s="1">
        <f>'[1]Electricity and CHPs_IN'!E38</f>
        <v>7.610260806737136</v>
      </c>
      <c r="J394" s="1">
        <f>'[1]Electricity and CHPs_IN'!F38</f>
        <v>25.191493623140293</v>
      </c>
      <c r="K394" s="1">
        <f>'[1]Electricity and CHPs_IN'!G38</f>
        <v>27.726870257350591</v>
      </c>
      <c r="L394" s="1">
        <f>'[1]Electricity and CHPs_IN'!H38</f>
        <v>29.141226229104419</v>
      </c>
      <c r="M394" s="1">
        <f>'[1]Electricity and CHPs_IN'!I38</f>
        <v>30.62772319688607</v>
      </c>
      <c r="N394" s="1">
        <f>'[1]Electricity and CHPs_IN'!J38</f>
        <v>32.190045930012744</v>
      </c>
      <c r="O394" s="1">
        <f>'[1]Electricity and CHPs_IN'!K38</f>
        <v>33.832062931292477</v>
      </c>
      <c r="P394" s="1">
        <f>'[1]Electricity and CHPs_IN'!L38</f>
        <v>35.557839338627119</v>
      </c>
      <c r="Q394" s="1">
        <f>'[1]Electricity and CHPs_IN'!M38</f>
        <v>37.371648660613616</v>
      </c>
      <c r="S394" s="3"/>
    </row>
    <row r="395" spans="1:19" x14ac:dyDescent="0.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75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'[1]Electricity and CHPs'!F252</f>
        <v>0</v>
      </c>
      <c r="K395" s="1">
        <f>'[1]Electricity and CHPs'!G252</f>
        <v>0</v>
      </c>
      <c r="L395" s="1">
        <f>'[1]Electricity and CHPs'!H252</f>
        <v>0</v>
      </c>
      <c r="M395" s="1">
        <f>'[1]Electricity and CHPs'!I252</f>
        <v>0</v>
      </c>
      <c r="N395" s="1">
        <f>'[1]Electricity and CHPs'!J252</f>
        <v>0</v>
      </c>
      <c r="O395" s="1">
        <f>'[1]Electricity and CHPs'!K252</f>
        <v>0</v>
      </c>
      <c r="P395" s="1">
        <f>'[1]Electricity and CHPs'!L252</f>
        <v>0</v>
      </c>
      <c r="Q395" s="1">
        <f>'[1]Electricity and CHPs'!M252</f>
        <v>0</v>
      </c>
      <c r="S395" s="3"/>
    </row>
    <row r="396" spans="1:19" x14ac:dyDescent="0.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75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'[1]Electricity and CHPs_IN'!F$32</f>
        <v>0</v>
      </c>
      <c r="K396" s="1">
        <f>'[1]Electricity and CHPs_IN'!G$32</f>
        <v>0</v>
      </c>
      <c r="L396" s="1">
        <f>'[1]Electricity and CHPs_IN'!H$32</f>
        <v>5.5572346848883139E-2</v>
      </c>
      <c r="M396" s="1">
        <f>'[1]Electricity and CHPs_IN'!I$32</f>
        <v>5.591815711943042E-2</v>
      </c>
      <c r="N396" s="1">
        <f>'[1]Electricity and CHPs_IN'!J$32</f>
        <v>5.5944678893016707E-2</v>
      </c>
      <c r="O396" s="1">
        <f>'[1]Electricity and CHPs_IN'!K$32</f>
        <v>5.596476257397457E-2</v>
      </c>
      <c r="P396" s="1">
        <f>'[1]Electricity and CHPs_IN'!L$32</f>
        <v>5.6171935114664957E-2</v>
      </c>
      <c r="Q396" s="1">
        <f>'[1]Electricity and CHPs_IN'!M$32</f>
        <v>5.7162859287708284E-2</v>
      </c>
      <c r="S396" s="3"/>
    </row>
    <row r="397" spans="1:19" x14ac:dyDescent="0.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75"/>
        <v>PJ/yr.</v>
      </c>
      <c r="F397" s="1">
        <f t="shared" ref="F397" si="413">SUM(F398:F400)</f>
        <v>0</v>
      </c>
      <c r="G397" s="1">
        <f t="shared" ref="G397" si="414">SUM(G398:G400)</f>
        <v>0</v>
      </c>
      <c r="H397" s="1">
        <f t="shared" ref="H397" si="415">SUM(H398:H400)</f>
        <v>0</v>
      </c>
      <c r="I397" s="1">
        <f t="shared" ref="I397" si="416">SUM(I398:I400)</f>
        <v>3.5128076908024493E-3</v>
      </c>
      <c r="J397" s="1">
        <f t="shared" ref="J397" si="417">SUM(J398:J400)</f>
        <v>0.7779831598309529</v>
      </c>
      <c r="K397" s="1">
        <f t="shared" ref="K397" si="418">SUM(K398:K400)</f>
        <v>4.1213033796912777</v>
      </c>
      <c r="L397" s="1">
        <f t="shared" ref="L397:O397" si="419">SUM(L398:L400)</f>
        <v>5.418604177529339</v>
      </c>
      <c r="M397" s="1">
        <f t="shared" si="419"/>
        <v>6.5923941426849773</v>
      </c>
      <c r="N397" s="1">
        <f t="shared" si="419"/>
        <v>6.6063287505636437</v>
      </c>
      <c r="O397" s="1">
        <f t="shared" si="419"/>
        <v>6.6061607131120361</v>
      </c>
      <c r="P397" s="1">
        <f>SUM(P398:P400)</f>
        <v>6.5888504439358808</v>
      </c>
      <c r="Q397" s="1">
        <f>SUM(Q398:Q400)</f>
        <v>6.6518102060001745</v>
      </c>
      <c r="S397" s="3"/>
    </row>
    <row r="398" spans="1:19" x14ac:dyDescent="0.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75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IFERROR(J170/SUM(J170,J209),0)*'[1]Electricity and CHPs_IN'!F$30</f>
        <v>0</v>
      </c>
      <c r="K398" s="1">
        <f>IFERROR(K170/SUM(K170,K209),0)*'[1]Electricity and CHPs_IN'!G$30</f>
        <v>0.2925496570883897</v>
      </c>
      <c r="L398" s="1">
        <f>IFERROR(L170/SUM(L170,L209),0)*'[1]Electricity and CHPs_IN'!H$30</f>
        <v>0.81500830263626856</v>
      </c>
      <c r="M398" s="1">
        <f>IFERROR(M170/SUM(M170,M209),0)*'[1]Electricity and CHPs_IN'!I$30</f>
        <v>1.1914331219781644</v>
      </c>
      <c r="N398" s="1">
        <f>IFERROR(N170/SUM(N170,N209),0)*'[1]Electricity and CHPs_IN'!J$30</f>
        <v>1.1922865961711215</v>
      </c>
      <c r="O398" s="1">
        <f>IFERROR(O170/SUM(O170,O209),0)*'[1]Electricity and CHPs_IN'!K$30</f>
        <v>1.1926631468578446</v>
      </c>
      <c r="P398" s="1">
        <f>IFERROR(P170/SUM(P170,P209),0)*'[1]Electricity and CHPs_IN'!L$30</f>
        <v>1.1926636401425703</v>
      </c>
      <c r="Q398" s="1">
        <f>IFERROR(Q170/SUM(Q170,Q209),0)*'[1]Electricity and CHPs_IN'!M$30</f>
        <v>1.1927904609699367</v>
      </c>
      <c r="S398" s="3"/>
    </row>
    <row r="399" spans="1:19" x14ac:dyDescent="0.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75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2.9746962433883418E-3</v>
      </c>
      <c r="J399" s="1">
        <f>IFERROR(J171/SUM(J171,J289),0)*'[1]Electricity and CHPs_IN'!F$46</f>
        <v>0.77602960998508408</v>
      </c>
      <c r="K399" s="1">
        <f>IFERROR(K171/SUM(K171,K289),0)*'[1]Electricity and CHPs_IN'!G$46</f>
        <v>3.8258036006026166</v>
      </c>
      <c r="L399" s="1">
        <f>IFERROR(L171/SUM(L171,L289),0)*'[1]Electricity and CHPs_IN'!H$46</f>
        <v>4.6001234042501578</v>
      </c>
      <c r="M399" s="1">
        <f>IFERROR(M171/SUM(M171,M289),0)*'[1]Electricity and CHPs_IN'!I$46</f>
        <v>5.3832268581870828</v>
      </c>
      <c r="N399" s="1">
        <f>IFERROR(N171/SUM(N171,N289),0)*'[1]Electricity and CHPs_IN'!J$46</f>
        <v>5.3832303122212828</v>
      </c>
      <c r="O399" s="1">
        <f>IFERROR(O171/SUM(O171,O289),0)*'[1]Electricity and CHPs_IN'!K$46</f>
        <v>5.3832296628041272</v>
      </c>
      <c r="P399" s="1">
        <f>IFERROR(P171/SUM(P171,P289),0)*'[1]Electricity and CHPs_IN'!L$46</f>
        <v>5.3832303770765657</v>
      </c>
      <c r="Q399" s="1">
        <f>IFERROR(Q171/SUM(Q171,Q289),0)*'[1]Electricity and CHPs_IN'!M$46</f>
        <v>5.3832316029976441</v>
      </c>
      <c r="S399" s="3"/>
    </row>
    <row r="400" spans="1:19" x14ac:dyDescent="0.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75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5.3811144741410747E-4</v>
      </c>
      <c r="J400" s="1">
        <f>IFERROR(J172/SUM(J172,J290),0)*'[1]Electricity and CHPs_IN'!F$57</f>
        <v>1.9535498458688118E-3</v>
      </c>
      <c r="K400" s="1">
        <f>IFERROR(K172/SUM(K172,K290),0)*'[1]Electricity and CHPs_IN'!G$57</f>
        <v>2.9501220002714772E-3</v>
      </c>
      <c r="L400" s="1">
        <f>IFERROR(L172/SUM(L172,L290),0)*'[1]Electricity and CHPs_IN'!H$57</f>
        <v>3.4724706429121442E-3</v>
      </c>
      <c r="M400" s="1">
        <f>IFERROR(M172/SUM(M172,M290),0)*'[1]Electricity and CHPs_IN'!I$57</f>
        <v>1.7734162519730232E-2</v>
      </c>
      <c r="N400" s="1">
        <f>IFERROR(N172/SUM(N172,N290),0)*'[1]Electricity and CHPs_IN'!J$57</f>
        <v>3.0811842171239383E-2</v>
      </c>
      <c r="O400" s="1">
        <f>IFERROR(O172/SUM(O172,O290),0)*'[1]Electricity and CHPs_IN'!K$57</f>
        <v>3.0267903450064176E-2</v>
      </c>
      <c r="P400" s="1">
        <f>IFERROR(P172/SUM(P172,P290),0)*'[1]Electricity and CHPs_IN'!L$57</f>
        <v>1.2956426716744313E-2</v>
      </c>
      <c r="Q400" s="1">
        <f>IFERROR(Q172/SUM(Q172,Q290),0)*'[1]Electricity and CHPs_IN'!M$57</f>
        <v>7.5788142032593944E-2</v>
      </c>
      <c r="S400" s="3"/>
    </row>
    <row r="401" spans="1:19" x14ac:dyDescent="0.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75"/>
        <v>PJ/yr.</v>
      </c>
      <c r="F401" s="1">
        <f>SUM(F402:F408)</f>
        <v>0.13927162074815611</v>
      </c>
      <c r="G401" s="1">
        <f t="shared" ref="G401:K401" si="420">SUM(G402:G408)</f>
        <v>1.4230776636035699E-2</v>
      </c>
      <c r="H401" s="1">
        <f t="shared" si="420"/>
        <v>0.12012352984052976</v>
      </c>
      <c r="I401" s="1">
        <f t="shared" si="420"/>
        <v>0.24783922926375779</v>
      </c>
      <c r="J401" s="1">
        <f t="shared" si="420"/>
        <v>1.4107141649444641</v>
      </c>
      <c r="K401" s="1">
        <f t="shared" si="420"/>
        <v>1.8505843095514678</v>
      </c>
      <c r="L401" s="1">
        <f t="shared" ref="L401:O401" si="421">SUM(L402:L408)</f>
        <v>3.0264268868700794</v>
      </c>
      <c r="M401" s="1">
        <f t="shared" si="421"/>
        <v>4.3978551336131728</v>
      </c>
      <c r="N401" s="1">
        <f t="shared" si="421"/>
        <v>6.1057928272003839</v>
      </c>
      <c r="O401" s="1">
        <f t="shared" si="421"/>
        <v>6.1406254078617142</v>
      </c>
      <c r="P401" s="1">
        <f>SUM(P402:P408)</f>
        <v>6.7126260927579429</v>
      </c>
      <c r="Q401" s="1">
        <f>SUM(Q402:Q408)</f>
        <v>7.3429298732257404</v>
      </c>
      <c r="S401" s="3"/>
    </row>
    <row r="402" spans="1:19" x14ac:dyDescent="0.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75"/>
        <v>PJ/yr.</v>
      </c>
      <c r="F402" s="1">
        <f>'[1]Electricity and CHPs_IN'!B63</f>
        <v>0.13501509851530649</v>
      </c>
      <c r="G402" s="1">
        <f>'[1]Electricity and CHPs_IN'!C63</f>
        <v>1.0414441760463848E-2</v>
      </c>
      <c r="H402" s="1">
        <f>'[1]Electricity and CHPs_IN'!D63</f>
        <v>0.11590025617913205</v>
      </c>
      <c r="I402" s="1">
        <f>'[1]Electricity and CHPs_IN'!E63</f>
        <v>6.3287936448446977E-2</v>
      </c>
      <c r="J402" s="1">
        <f>'[1]Electricity and CHPs_IN'!F63</f>
        <v>4.9058317491779788E-2</v>
      </c>
      <c r="K402" s="1">
        <f>'[1]Electricity and CHPs_IN'!G63</f>
        <v>3.4293145258473066E-2</v>
      </c>
      <c r="L402" s="1">
        <f>'[1]Electricity and CHPs_IN'!H63</f>
        <v>3.9718459077678139E-2</v>
      </c>
      <c r="M402" s="1">
        <f>'[1]Electricity and CHPs_IN'!I63</f>
        <v>0.13497225632258714</v>
      </c>
      <c r="N402" s="1">
        <f>'[1]Electricity and CHPs_IN'!J63</f>
        <v>0.13499753872522838</v>
      </c>
      <c r="O402" s="1">
        <f>'[1]Electricity and CHPs_IN'!K63</f>
        <v>0.13499449501990091</v>
      </c>
      <c r="P402" s="1">
        <f>'[1]Electricity and CHPs_IN'!L63</f>
        <v>0.13499429929965964</v>
      </c>
      <c r="Q402" s="1">
        <f>'[1]Electricity and CHPs_IN'!M63</f>
        <v>0.13499470008484316</v>
      </c>
      <c r="S402" s="3"/>
    </row>
    <row r="403" spans="1:19" x14ac:dyDescent="0.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75"/>
        <v>PJ/yr.</v>
      </c>
      <c r="F403" s="1">
        <f>'[1]Electricity and CHPs_IN'!B64</f>
        <v>1.1917417834613195E-3</v>
      </c>
      <c r="G403" s="1">
        <f>'[1]Electricity and CHPs_IN'!C64</f>
        <v>9.5638475720422349E-4</v>
      </c>
      <c r="H403" s="1">
        <f>'[1]Electricity and CHPs_IN'!D64</f>
        <v>1.1759309906962054E-3</v>
      </c>
      <c r="I403" s="1">
        <f>'[1]Electricity and CHPs_IN'!E64</f>
        <v>1.1884877685748299E-3</v>
      </c>
      <c r="J403" s="1">
        <f>'[1]Electricity and CHPs_IN'!F64</f>
        <v>0.90357059092702396</v>
      </c>
      <c r="K403" s="1">
        <f>'[1]Electricity and CHPs_IN'!G64</f>
        <v>1.2696472641633971</v>
      </c>
      <c r="L403" s="1">
        <f>'[1]Electricity and CHPs_IN'!H64</f>
        <v>1.2698942914772025</v>
      </c>
      <c r="M403" s="1">
        <f>'[1]Electricity and CHPs_IN'!I64</f>
        <v>1.7303074148847399</v>
      </c>
      <c r="N403" s="1">
        <f>'[1]Electricity and CHPs_IN'!J64</f>
        <v>2.0117873933667174</v>
      </c>
      <c r="O403" s="1">
        <f>'[1]Electricity and CHPs_IN'!K64</f>
        <v>2.0590974006914831</v>
      </c>
      <c r="P403" s="1">
        <f>'[1]Electricity and CHPs_IN'!L64</f>
        <v>2.2934247004119372</v>
      </c>
      <c r="Q403" s="1">
        <f>'[1]Electricity and CHPs_IN'!M64</f>
        <v>2.3273692855473351</v>
      </c>
      <c r="S403" s="3"/>
    </row>
    <row r="404" spans="1:19" x14ac:dyDescent="0.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75"/>
        <v>PJ/yr.</v>
      </c>
      <c r="F404" s="1">
        <f>'[1]Electricity and CHPs_IN'!B65</f>
        <v>1.0493218910473661E-3</v>
      </c>
      <c r="G404" s="1">
        <f>'[1]Electricity and CHPs_IN'!C65</f>
        <v>8.455989295997118E-4</v>
      </c>
      <c r="H404" s="1">
        <f>'[1]Electricity and CHPs_IN'!D65</f>
        <v>1.0272566175683149E-3</v>
      </c>
      <c r="I404" s="1">
        <f>'[1]Electricity and CHPs_IN'!E65</f>
        <v>1.0833799765445349E-3</v>
      </c>
      <c r="J404" s="1">
        <f>'[1]Electricity and CHPs_IN'!F65</f>
        <v>1.4047049522722016E-2</v>
      </c>
      <c r="K404" s="1">
        <f>'[1]Electricity and CHPs_IN'!G65</f>
        <v>2.0466303845287009E-2</v>
      </c>
      <c r="L404" s="1">
        <f>'[1]Electricity and CHPs_IN'!H65</f>
        <v>1.192732430281636</v>
      </c>
      <c r="M404" s="1">
        <f>'[1]Electricity and CHPs_IN'!I65</f>
        <v>1.8792936464910388</v>
      </c>
      <c r="N404" s="1">
        <f>'[1]Electricity and CHPs_IN'!J65</f>
        <v>3.1861693162236651</v>
      </c>
      <c r="O404" s="1">
        <f>'[1]Electricity and CHPs_IN'!K65</f>
        <v>3.1350630358691682</v>
      </c>
      <c r="P404" s="1">
        <f>'[1]Electricity and CHPs_IN'!L65</f>
        <v>3.4732653347706641</v>
      </c>
      <c r="Q404" s="1">
        <f>'[1]Electricity and CHPs_IN'!M65</f>
        <v>3.9827849405812072</v>
      </c>
      <c r="S404" s="3"/>
    </row>
    <row r="405" spans="1:19" x14ac:dyDescent="0.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75"/>
        <v>PJ/yr.</v>
      </c>
      <c r="F405" s="1">
        <f>'[1]Electricity and CHPs_IN'!B66</f>
        <v>3.3486809457612481E-4</v>
      </c>
      <c r="G405" s="1">
        <f>'[1]Electricity and CHPs_IN'!C66</f>
        <v>3.3468592188201955E-4</v>
      </c>
      <c r="H405" s="1">
        <f>'[1]Electricity and CHPs_IN'!D66</f>
        <v>3.3564833955183562E-4</v>
      </c>
      <c r="I405" s="1">
        <f>'[1]Electricity and CHPs_IN'!E66</f>
        <v>8.4898575896696277E-2</v>
      </c>
      <c r="J405" s="1">
        <f>'[1]Electricity and CHPs_IN'!F66</f>
        <v>0.22802151537497747</v>
      </c>
      <c r="K405" s="1">
        <f>'[1]Electricity and CHPs_IN'!G66</f>
        <v>0.3701178373418394</v>
      </c>
      <c r="L405" s="1">
        <f>'[1]Electricity and CHPs_IN'!H66</f>
        <v>0.40678245843203159</v>
      </c>
      <c r="M405" s="1">
        <f>'[1]Electricity and CHPs_IN'!I66</f>
        <v>0.31540653662677198</v>
      </c>
      <c r="N405" s="1">
        <f>'[1]Electricity and CHPs_IN'!J66</f>
        <v>0.46806375633320801</v>
      </c>
      <c r="O405" s="1">
        <f>'[1]Electricity and CHPs_IN'!K66</f>
        <v>0.52750805062326855</v>
      </c>
      <c r="P405" s="1">
        <f>'[1]Electricity and CHPs_IN'!L66</f>
        <v>0.4968208499980008</v>
      </c>
      <c r="Q405" s="1">
        <f>'[1]Electricity and CHPs_IN'!M66</f>
        <v>0.44558944129727651</v>
      </c>
      <c r="S405" s="3"/>
    </row>
    <row r="406" spans="1:19" x14ac:dyDescent="0.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75"/>
        <v>PJ/yr.</v>
      </c>
      <c r="F406" s="1">
        <f>'[1]Electricity and CHPs_IN'!B67</f>
        <v>6.7234991493892999E-4</v>
      </c>
      <c r="G406" s="1">
        <f>'[1]Electricity and CHPs_IN'!C67</f>
        <v>6.7197964754129886E-4</v>
      </c>
      <c r="H406" s="1">
        <f>'[1]Electricity and CHPs_IN'!D67</f>
        <v>6.739525069141591E-4</v>
      </c>
      <c r="I406" s="1">
        <f>'[1]Electricity and CHPs_IN'!E67</f>
        <v>2.6682797422983101E-2</v>
      </c>
      <c r="J406" s="1">
        <f>'[1]Electricity and CHPs_IN'!F67</f>
        <v>4.1351472485869858E-2</v>
      </c>
      <c r="K406" s="1">
        <f>'[1]Electricity and CHPs_IN'!G67</f>
        <v>2.7824401588949103E-2</v>
      </c>
      <c r="L406" s="1">
        <f>'[1]Electricity and CHPs_IN'!H67</f>
        <v>3.9185664355413832E-2</v>
      </c>
      <c r="M406" s="1">
        <f>'[1]Electricity and CHPs_IN'!I67</f>
        <v>5.144903515339698E-2</v>
      </c>
      <c r="N406" s="1">
        <f>'[1]Electricity and CHPs_IN'!J67</f>
        <v>3.314615998358679E-2</v>
      </c>
      <c r="O406" s="1">
        <f>'[1]Electricity and CHPs_IN'!K67</f>
        <v>5.5119891074484791E-2</v>
      </c>
      <c r="P406" s="1">
        <f>'[1]Electricity and CHPs_IN'!L67</f>
        <v>5.2215438000979983E-2</v>
      </c>
      <c r="Q406" s="1">
        <f>'[1]Electricity and CHPs_IN'!M67</f>
        <v>8.4779413389718714E-2</v>
      </c>
      <c r="S406" s="3"/>
    </row>
    <row r="407" spans="1:19" x14ac:dyDescent="0.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75"/>
        <v>PJ/yr.</v>
      </c>
      <c r="F407" s="1">
        <f>'[1]Electricity and CHPs_IN'!B68</f>
        <v>6.7208425362698886E-4</v>
      </c>
      <c r="G407" s="1">
        <f>'[1]Electricity and CHPs_IN'!C68</f>
        <v>6.717095435812598E-4</v>
      </c>
      <c r="H407" s="1">
        <f>'[1]Electricity and CHPs_IN'!D68</f>
        <v>6.7359378503766302E-4</v>
      </c>
      <c r="I407" s="1">
        <f>'[1]Electricity and CHPs_IN'!E68</f>
        <v>4.3506501153118743E-2</v>
      </c>
      <c r="J407" s="1">
        <f>'[1]Electricity and CHPs_IN'!F68</f>
        <v>8.6070241673489756E-2</v>
      </c>
      <c r="K407" s="1">
        <f>'[1]Electricity and CHPs_IN'!G68</f>
        <v>6.735419486608632E-2</v>
      </c>
      <c r="L407" s="1">
        <f>'[1]Electricity and CHPs_IN'!H68</f>
        <v>4.6778719781222833E-2</v>
      </c>
      <c r="M407" s="1">
        <f>'[1]Electricity and CHPs_IN'!I68</f>
        <v>0.13792271821108837</v>
      </c>
      <c r="N407" s="1">
        <f>'[1]Electricity and CHPs_IN'!J68</f>
        <v>0.12471875864063767</v>
      </c>
      <c r="O407" s="1">
        <f>'[1]Electricity and CHPs_IN'!K68</f>
        <v>0.12265066553046033</v>
      </c>
      <c r="P407" s="1">
        <f>'[1]Electricity and CHPs_IN'!L68</f>
        <v>0.13391405363737441</v>
      </c>
      <c r="Q407" s="1">
        <f>'[1]Electricity and CHPs_IN'!M68</f>
        <v>0.20414740681221538</v>
      </c>
      <c r="S407" s="3"/>
    </row>
    <row r="408" spans="1:19" x14ac:dyDescent="0.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75"/>
        <v>PJ/yr.</v>
      </c>
      <c r="F408" s="1">
        <f>'[1]Electricity and CHPs_IN'!B69</f>
        <v>3.361562951989046E-4</v>
      </c>
      <c r="G408" s="1">
        <f>'[1]Electricity and CHPs_IN'!C69</f>
        <v>3.3597607576333683E-4</v>
      </c>
      <c r="H408" s="1">
        <f>'[1]Electricity and CHPs_IN'!D69</f>
        <v>3.3689142162953567E-4</v>
      </c>
      <c r="I408" s="1">
        <f>'[1]Electricity and CHPs_IN'!E69</f>
        <v>2.7191550597393321E-2</v>
      </c>
      <c r="J408" s="1">
        <f>'[1]Electricity and CHPs_IN'!F69</f>
        <v>8.8594977468601177E-2</v>
      </c>
      <c r="K408" s="1">
        <f>'[1]Electricity and CHPs_IN'!G69</f>
        <v>6.0881162487435601E-2</v>
      </c>
      <c r="L408" s="1">
        <f>'[1]Electricity and CHPs_IN'!H69</f>
        <v>3.1334863464894613E-2</v>
      </c>
      <c r="M408" s="1">
        <f>'[1]Electricity and CHPs_IN'!I69</f>
        <v>0.14850352592354915</v>
      </c>
      <c r="N408" s="1">
        <f>'[1]Electricity and CHPs_IN'!J69</f>
        <v>0.14690990392733974</v>
      </c>
      <c r="O408" s="1">
        <f>'[1]Electricity and CHPs_IN'!K69</f>
        <v>0.10619186905294824</v>
      </c>
      <c r="P408" s="1">
        <f>'[1]Electricity and CHPs_IN'!L69</f>
        <v>0.12799141663932745</v>
      </c>
      <c r="Q408" s="1">
        <f>'[1]Electricity and CHPs_IN'!M69</f>
        <v>0.16326468551314258</v>
      </c>
      <c r="S408" s="3"/>
    </row>
    <row r="409" spans="1:19" x14ac:dyDescent="0.5">
      <c r="A409" s="5"/>
      <c r="B409" s="9" t="str">
        <f t="shared" ref="B409:C409" si="422">B408</f>
        <v>SPS1</v>
      </c>
      <c r="C409" s="2" t="str">
        <f t="shared" si="422"/>
        <v>CH</v>
      </c>
      <c r="D409" s="2" t="s">
        <v>190</v>
      </c>
      <c r="E409" s="2" t="str">
        <f>E397</f>
        <v>PJ/yr.</v>
      </c>
      <c r="F409" s="3">
        <f>F410+F463</f>
        <v>55.942803589433936</v>
      </c>
      <c r="G409" s="3">
        <f t="shared" ref="G409:K409" si="423">G410+G463</f>
        <v>54.593267309560495</v>
      </c>
      <c r="H409" s="3">
        <f t="shared" si="423"/>
        <v>57.730966341514893</v>
      </c>
      <c r="I409" s="3">
        <f t="shared" si="423"/>
        <v>57.208336573259835</v>
      </c>
      <c r="J409" s="3">
        <f t="shared" si="423"/>
        <v>56.260583733109016</v>
      </c>
      <c r="K409" s="3">
        <f t="shared" si="423"/>
        <v>58.847895179073085</v>
      </c>
      <c r="L409" s="3">
        <f t="shared" ref="L409:O409" si="424">L410+L463</f>
        <v>72.021950128517034</v>
      </c>
      <c r="M409" s="3">
        <f t="shared" si="424"/>
        <v>75.205317766987321</v>
      </c>
      <c r="N409" s="3">
        <f t="shared" si="424"/>
        <v>75.995949008445947</v>
      </c>
      <c r="O409" s="3">
        <f t="shared" si="424"/>
        <v>87.806501750155348</v>
      </c>
      <c r="P409" s="3">
        <f>P410+P463</f>
        <v>94.938688186470955</v>
      </c>
      <c r="Q409" s="3">
        <f>Q410+Q463</f>
        <v>101.91623645507461</v>
      </c>
      <c r="R409" s="11"/>
      <c r="S409" s="3"/>
    </row>
    <row r="410" spans="1:19" x14ac:dyDescent="0.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25">F411+F440</f>
        <v>48.061171014716365</v>
      </c>
      <c r="G410" s="1">
        <f t="shared" si="425"/>
        <v>46.369743994402612</v>
      </c>
      <c r="H410" s="1">
        <f t="shared" si="425"/>
        <v>45.924628809074775</v>
      </c>
      <c r="I410" s="1">
        <f t="shared" si="425"/>
        <v>44.229856702757218</v>
      </c>
      <c r="J410" s="1">
        <f t="shared" si="425"/>
        <v>43.035837252122455</v>
      </c>
      <c r="K410" s="1">
        <f t="shared" si="425"/>
        <v>43.256217402867939</v>
      </c>
      <c r="L410" s="1">
        <f t="shared" ref="L410:O410" si="426">L411+L440</f>
        <v>46.362165756258747</v>
      </c>
      <c r="M410" s="1">
        <f t="shared" si="426"/>
        <v>47.10926883077174</v>
      </c>
      <c r="N410" s="1">
        <f t="shared" si="426"/>
        <v>47.47037126590417</v>
      </c>
      <c r="O410" s="1">
        <f t="shared" si="426"/>
        <v>58.386485956682449</v>
      </c>
      <c r="P410" s="1">
        <f>P411+P440</f>
        <v>63.94802006000171</v>
      </c>
      <c r="Q410" s="1">
        <f>Q411+Q440</f>
        <v>69.413209887528978</v>
      </c>
      <c r="R410" s="11"/>
      <c r="S410" s="3"/>
    </row>
    <row r="411" spans="1:19" x14ac:dyDescent="0.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39.061133339786053</v>
      </c>
      <c r="G411" s="1">
        <f t="shared" ref="G411:K411" si="427">SUM(G412,G418,G427,G436,G438)</f>
        <v>34.274119901453567</v>
      </c>
      <c r="H411" s="1">
        <f t="shared" si="427"/>
        <v>34.339349280960839</v>
      </c>
      <c r="I411" s="1">
        <f t="shared" si="427"/>
        <v>34.017037434605371</v>
      </c>
      <c r="J411" s="1">
        <f t="shared" si="427"/>
        <v>33.707446237948609</v>
      </c>
      <c r="K411" s="1">
        <f t="shared" si="427"/>
        <v>35.570765314028428</v>
      </c>
      <c r="L411" s="1">
        <f t="shared" ref="L411:O411" si="428">SUM(L412,L418,L427,L436,L438)</f>
        <v>39.260857196324416</v>
      </c>
      <c r="M411" s="1">
        <f t="shared" si="428"/>
        <v>40.001387510916274</v>
      </c>
      <c r="N411" s="1">
        <f t="shared" si="428"/>
        <v>40.632915646840289</v>
      </c>
      <c r="O411" s="1">
        <f t="shared" si="428"/>
        <v>40.856536592644098</v>
      </c>
      <c r="P411" s="1">
        <f>SUM(P412,P418,P427,P436,P438)</f>
        <v>41.09774536183145</v>
      </c>
      <c r="Q411" s="1">
        <f>SUM(Q412,Q418,Q427,Q436,Q438)</f>
        <v>41.348585884589141</v>
      </c>
      <c r="S411" s="3"/>
    </row>
    <row r="412" spans="1:19" x14ac:dyDescent="0.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1.5038887684570925E-2</v>
      </c>
      <c r="G412" s="1">
        <f t="shared" ref="G412:O412" si="429">G413</f>
        <v>2.4119307950726954E-4</v>
      </c>
      <c r="H412" s="1">
        <f t="shared" si="429"/>
        <v>2.302767025968596E-3</v>
      </c>
      <c r="I412" s="1">
        <f t="shared" si="429"/>
        <v>8.2855168478330457E-4</v>
      </c>
      <c r="J412" s="1">
        <f t="shared" si="429"/>
        <v>3.1041186368884128E-4</v>
      </c>
      <c r="K412" s="1">
        <f t="shared" si="429"/>
        <v>1.7422239643154075E-3</v>
      </c>
      <c r="L412" s="1">
        <f t="shared" si="429"/>
        <v>1.4512890431457059E-3</v>
      </c>
      <c r="M412" s="1">
        <f t="shared" si="429"/>
        <v>1.1415590289109776E-5</v>
      </c>
      <c r="N412" s="1">
        <f t="shared" si="429"/>
        <v>2.6948626617300886E-4</v>
      </c>
      <c r="O412" s="1">
        <f t="shared" si="429"/>
        <v>2.9961895542076673E-4</v>
      </c>
      <c r="P412" s="1">
        <f>P413</f>
        <v>2.870358102532724E-4</v>
      </c>
      <c r="Q412" s="1">
        <f>Q413</f>
        <v>3.6227334933679195E-4</v>
      </c>
      <c r="S412" s="3"/>
    </row>
    <row r="413" spans="1:19" x14ac:dyDescent="0.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1.5038887684570925E-2</v>
      </c>
      <c r="G413" s="1">
        <f>'[1]Electricity and CHPs_IN'!C$28-G300</f>
        <v>2.4119307950726954E-4</v>
      </c>
      <c r="H413" s="1">
        <f>'[1]Electricity and CHPs_IN'!D$28-H300</f>
        <v>2.302767025968596E-3</v>
      </c>
      <c r="I413" s="1">
        <f>'[1]Electricity and CHPs_IN'!E$28-I300</f>
        <v>8.2855168478330457E-4</v>
      </c>
      <c r="J413" s="1">
        <f>'[1]Electricity and CHPs_IN'!F$28-J300</f>
        <v>3.1041186368884128E-4</v>
      </c>
      <c r="K413" s="1">
        <f>'[1]Electricity and CHPs_IN'!G$28-K300</f>
        <v>1.7422239643154075E-3</v>
      </c>
      <c r="L413" s="1">
        <f>'[1]Electricity and CHPs_IN'!H$28-L300</f>
        <v>1.4512890431457059E-3</v>
      </c>
      <c r="M413" s="1">
        <f>'[1]Electricity and CHPs_IN'!I$28-M300</f>
        <v>1.1415590289109776E-5</v>
      </c>
      <c r="N413" s="1">
        <f>'[1]Electricity and CHPs_IN'!J$28-N300</f>
        <v>2.6948626617300886E-4</v>
      </c>
      <c r="O413" s="1">
        <f>'[1]Electricity and CHPs_IN'!K$28-O300</f>
        <v>2.9961895542076673E-4</v>
      </c>
      <c r="P413" s="1">
        <f>'[1]Electricity and CHPs_IN'!L$28-P300</f>
        <v>2.870358102532724E-4</v>
      </c>
      <c r="Q413" s="1">
        <f>'[1]Electricity and CHPs_IN'!M$28-Q300</f>
        <v>3.6227334933679195E-4</v>
      </c>
      <c r="S413" s="3"/>
    </row>
    <row r="414" spans="1:19" x14ac:dyDescent="0.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1.5038887684570925E-2</v>
      </c>
      <c r="G414" s="1">
        <f t="shared" ref="G414:O414" si="430">G415</f>
        <v>2.4119307950726954E-4</v>
      </c>
      <c r="H414" s="1">
        <f t="shared" si="430"/>
        <v>2.302767025968596E-3</v>
      </c>
      <c r="I414" s="1">
        <f t="shared" si="430"/>
        <v>8.2855168478330457E-4</v>
      </c>
      <c r="J414" s="1">
        <f t="shared" si="430"/>
        <v>3.1041186368884128E-4</v>
      </c>
      <c r="K414" s="1">
        <f t="shared" si="430"/>
        <v>1.7422239643154075E-3</v>
      </c>
      <c r="L414" s="1">
        <f t="shared" si="430"/>
        <v>1.4512890431457059E-3</v>
      </c>
      <c r="M414" s="1">
        <f t="shared" si="430"/>
        <v>1.1415590289109776E-5</v>
      </c>
      <c r="N414" s="1">
        <f t="shared" si="430"/>
        <v>2.6948626617300886E-4</v>
      </c>
      <c r="O414" s="1">
        <f t="shared" si="430"/>
        <v>2.9961895542076673E-4</v>
      </c>
      <c r="P414" s="1">
        <f>P415</f>
        <v>2.870358102532724E-4</v>
      </c>
      <c r="Q414" s="1">
        <f>Q415</f>
        <v>3.6227334933679195E-4</v>
      </c>
      <c r="S414" s="3"/>
    </row>
    <row r="415" spans="1:19" x14ac:dyDescent="0.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1.5038887684570925E-2</v>
      </c>
      <c r="G415" s="1">
        <f t="shared" ref="G415:K415" si="431">G413-G417</f>
        <v>2.4119307950726954E-4</v>
      </c>
      <c r="H415" s="1">
        <f t="shared" si="431"/>
        <v>2.302767025968596E-3</v>
      </c>
      <c r="I415" s="1">
        <f t="shared" si="431"/>
        <v>8.2855168478330457E-4</v>
      </c>
      <c r="J415" s="1">
        <f t="shared" si="431"/>
        <v>3.1041186368884128E-4</v>
      </c>
      <c r="K415" s="1">
        <f t="shared" si="431"/>
        <v>1.7422239643154075E-3</v>
      </c>
      <c r="L415" s="1">
        <f t="shared" ref="L415:O415" si="432">L413-L417</f>
        <v>1.4512890431457059E-3</v>
      </c>
      <c r="M415" s="1">
        <f t="shared" si="432"/>
        <v>1.1415590289109776E-5</v>
      </c>
      <c r="N415" s="1">
        <f t="shared" si="432"/>
        <v>2.6948626617300886E-4</v>
      </c>
      <c r="O415" s="1">
        <f t="shared" si="432"/>
        <v>2.9961895542076673E-4</v>
      </c>
      <c r="P415" s="1">
        <f>P413-P417</f>
        <v>2.870358102532724E-4</v>
      </c>
      <c r="Q415" s="1">
        <f>Q413-Q417</f>
        <v>3.6227334933679195E-4</v>
      </c>
      <c r="S415" s="3"/>
    </row>
    <row r="416" spans="1:19" x14ac:dyDescent="0.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O416" si="433">G417</f>
        <v>0</v>
      </c>
      <c r="H416" s="1">
        <f t="shared" si="433"/>
        <v>0</v>
      </c>
      <c r="I416" s="1">
        <f t="shared" si="433"/>
        <v>0</v>
      </c>
      <c r="J416" s="1">
        <f t="shared" si="433"/>
        <v>0</v>
      </c>
      <c r="K416" s="1">
        <f t="shared" si="433"/>
        <v>0</v>
      </c>
      <c r="L416" s="1">
        <f t="shared" si="433"/>
        <v>0</v>
      </c>
      <c r="M416" s="1">
        <f t="shared" si="433"/>
        <v>0</v>
      </c>
      <c r="N416" s="1">
        <f t="shared" si="433"/>
        <v>0</v>
      </c>
      <c r="O416" s="1">
        <f t="shared" si="433"/>
        <v>0</v>
      </c>
      <c r="P416" s="1">
        <f>P417</f>
        <v>0</v>
      </c>
      <c r="Q416" s="1">
        <f>Q417</f>
        <v>0</v>
      </c>
      <c r="S416" s="3"/>
    </row>
    <row r="417" spans="1:19" x14ac:dyDescent="0.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34">IFERROR(G308/G300,0)*G413</f>
        <v>0</v>
      </c>
      <c r="H417" s="1">
        <f t="shared" si="434"/>
        <v>0</v>
      </c>
      <c r="I417" s="1">
        <f t="shared" si="434"/>
        <v>0</v>
      </c>
      <c r="J417" s="1">
        <f t="shared" si="434"/>
        <v>0</v>
      </c>
      <c r="K417" s="1">
        <f t="shared" si="434"/>
        <v>0</v>
      </c>
      <c r="L417" s="1">
        <f t="shared" ref="L417:O417" si="435">IFERROR(L308/L300,0)*L413</f>
        <v>0</v>
      </c>
      <c r="M417" s="1">
        <f t="shared" si="435"/>
        <v>0</v>
      </c>
      <c r="N417" s="1">
        <f t="shared" si="435"/>
        <v>0</v>
      </c>
      <c r="O417" s="1">
        <f t="shared" si="435"/>
        <v>0</v>
      </c>
      <c r="P417" s="1">
        <f>IFERROR(P308/P300,0)*P413</f>
        <v>0</v>
      </c>
      <c r="Q417" s="1">
        <f>IFERROR(Q308/Q300,0)*Q413</f>
        <v>0</v>
      </c>
      <c r="S417" s="3"/>
    </row>
    <row r="418" spans="1:19" x14ac:dyDescent="0.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2.3896262342049202</v>
      </c>
      <c r="G418" s="1">
        <f t="shared" ref="G418:K418" si="436">SUM(G419:G420)</f>
        <v>2.7808361249198491E-4</v>
      </c>
      <c r="H418" s="1">
        <f t="shared" si="436"/>
        <v>1.434340945679069E-3</v>
      </c>
      <c r="I418" s="1">
        <f t="shared" si="436"/>
        <v>0</v>
      </c>
      <c r="J418" s="1">
        <f t="shared" si="436"/>
        <v>0</v>
      </c>
      <c r="K418" s="1">
        <f t="shared" si="436"/>
        <v>0</v>
      </c>
      <c r="L418" s="1">
        <f t="shared" ref="L418:O418" si="437">SUM(L419:L420)</f>
        <v>0</v>
      </c>
      <c r="M418" s="1">
        <f t="shared" si="437"/>
        <v>0</v>
      </c>
      <c r="N418" s="1">
        <f t="shared" si="437"/>
        <v>3.3453194000596173E-5</v>
      </c>
      <c r="O418" s="1">
        <f t="shared" si="437"/>
        <v>4.9915290276277488E-5</v>
      </c>
      <c r="P418" s="1">
        <f>SUM(P419:P420)</f>
        <v>4.6596061018379245E-5</v>
      </c>
      <c r="Q418" s="1">
        <f>SUM(Q419:Q420)</f>
        <v>9.6657650318694992E-5</v>
      </c>
      <c r="S418" s="3"/>
    </row>
    <row r="419" spans="1:19" x14ac:dyDescent="0.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2.3896262342049202</v>
      </c>
      <c r="G419" s="1">
        <f>'[1]Electricity and CHPs_IN'!C$24-G314</f>
        <v>2.7808361249198491E-4</v>
      </c>
      <c r="H419" s="1">
        <f>'[1]Electricity and CHPs_IN'!D$24-H314</f>
        <v>1.434340945679069E-3</v>
      </c>
      <c r="I419" s="1">
        <f>'[1]Electricity and CHPs_IN'!E$24-I314</f>
        <v>0</v>
      </c>
      <c r="J419" s="1">
        <f>'[1]Electricity and CHPs_IN'!F$24-J314</f>
        <v>0</v>
      </c>
      <c r="K419" s="1">
        <f>'[1]Electricity and CHPs_IN'!G$24-K314</f>
        <v>0</v>
      </c>
      <c r="L419" s="1">
        <f>'[1]Electricity and CHPs_IN'!H$24-L314</f>
        <v>0</v>
      </c>
      <c r="M419" s="1">
        <f>'[1]Electricity and CHPs_IN'!I$24-M314</f>
        <v>0</v>
      </c>
      <c r="N419" s="1">
        <f>'[1]Electricity and CHPs_IN'!J$24-N314</f>
        <v>3.3453194000596173E-5</v>
      </c>
      <c r="O419" s="1">
        <f>'[1]Electricity and CHPs_IN'!K$24-O314</f>
        <v>4.9915290276277488E-5</v>
      </c>
      <c r="P419" s="1">
        <f>'[1]Electricity and CHPs_IN'!L$24-P314</f>
        <v>4.6596061018379245E-5</v>
      </c>
      <c r="Q419" s="1">
        <f>'[1]Electricity and CHPs_IN'!M$24-Q314</f>
        <v>9.6657650318694992E-5</v>
      </c>
      <c r="S419" s="3"/>
    </row>
    <row r="420" spans="1:19" x14ac:dyDescent="0.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'[1]Electricity and CHPs_IN'!F$29-J315</f>
        <v>0</v>
      </c>
      <c r="K420" s="1">
        <f>'[1]Electricity and CHPs_IN'!G$29-K315</f>
        <v>0</v>
      </c>
      <c r="L420" s="1">
        <f>'[1]Electricity and CHPs_IN'!H$29-L315</f>
        <v>0</v>
      </c>
      <c r="M420" s="1">
        <f>'[1]Electricity and CHPs_IN'!I$29-M315</f>
        <v>0</v>
      </c>
      <c r="N420" s="1">
        <f>'[1]Electricity and CHPs_IN'!J$29-N315</f>
        <v>0</v>
      </c>
      <c r="O420" s="1">
        <f>'[1]Electricity and CHPs_IN'!K$29-O315</f>
        <v>0</v>
      </c>
      <c r="P420" s="1">
        <f>'[1]Electricity and CHPs_IN'!L$29-P315</f>
        <v>0</v>
      </c>
      <c r="Q420" s="1">
        <f>'[1]Electricity and CHPs_IN'!M$29-Q315</f>
        <v>0</v>
      </c>
      <c r="S420" s="3"/>
    </row>
    <row r="421" spans="1:19" x14ac:dyDescent="0.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2.328443523256797</v>
      </c>
      <c r="G421" s="1">
        <f t="shared" ref="G421:K421" si="438">SUM(G422:G423)</f>
        <v>2.662906844367811E-4</v>
      </c>
      <c r="H421" s="1">
        <f t="shared" si="438"/>
        <v>1.3316581810160449E-3</v>
      </c>
      <c r="I421" s="1">
        <f t="shared" si="438"/>
        <v>0</v>
      </c>
      <c r="J421" s="1">
        <f t="shared" si="438"/>
        <v>0</v>
      </c>
      <c r="K421" s="1">
        <f t="shared" si="438"/>
        <v>0</v>
      </c>
      <c r="L421" s="1">
        <f t="shared" ref="L421:O421" si="439">SUM(L422:L423)</f>
        <v>0</v>
      </c>
      <c r="M421" s="1">
        <f t="shared" si="439"/>
        <v>0</v>
      </c>
      <c r="N421" s="1">
        <f t="shared" si="439"/>
        <v>3.3453194000596173E-5</v>
      </c>
      <c r="O421" s="1">
        <f t="shared" si="439"/>
        <v>4.9915290276277488E-5</v>
      </c>
      <c r="P421" s="1">
        <f>SUM(P422:P423)</f>
        <v>4.6596061018379245E-5</v>
      </c>
      <c r="Q421" s="1">
        <f>SUM(Q422:Q423)</f>
        <v>9.6657650318694992E-5</v>
      </c>
      <c r="S421" s="3"/>
    </row>
    <row r="422" spans="1:19" x14ac:dyDescent="0.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2.328443523256797</v>
      </c>
      <c r="G422" s="1">
        <f t="shared" ref="G422:K422" si="440">G419-G425</f>
        <v>2.662906844367811E-4</v>
      </c>
      <c r="H422" s="1">
        <f t="shared" si="440"/>
        <v>1.3316581810160449E-3</v>
      </c>
      <c r="I422" s="1">
        <f t="shared" si="440"/>
        <v>0</v>
      </c>
      <c r="J422" s="1">
        <f t="shared" si="440"/>
        <v>0</v>
      </c>
      <c r="K422" s="1">
        <f t="shared" si="440"/>
        <v>0</v>
      </c>
      <c r="L422" s="1">
        <f t="shared" ref="L422:O422" si="441">L419-L425</f>
        <v>0</v>
      </c>
      <c r="M422" s="1">
        <f t="shared" si="441"/>
        <v>0</v>
      </c>
      <c r="N422" s="1">
        <f t="shared" si="441"/>
        <v>3.3453194000596173E-5</v>
      </c>
      <c r="O422" s="1">
        <f t="shared" si="441"/>
        <v>4.9915290276277488E-5</v>
      </c>
      <c r="P422" s="1">
        <f>P419-P425</f>
        <v>4.6596061018379245E-5</v>
      </c>
      <c r="Q422" s="1">
        <f>Q419-Q425</f>
        <v>9.6657650318694992E-5</v>
      </c>
      <c r="S422" s="3"/>
    </row>
    <row r="423" spans="1:19" x14ac:dyDescent="0.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42">G420-G426</f>
        <v>0</v>
      </c>
      <c r="H423" s="1">
        <f t="shared" si="442"/>
        <v>0</v>
      </c>
      <c r="I423" s="1">
        <f t="shared" si="442"/>
        <v>0</v>
      </c>
      <c r="J423" s="1">
        <f t="shared" si="442"/>
        <v>0</v>
      </c>
      <c r="K423" s="1">
        <f t="shared" si="442"/>
        <v>0</v>
      </c>
      <c r="L423" s="1">
        <f t="shared" ref="L423:O423" si="443">L420-L426</f>
        <v>0</v>
      </c>
      <c r="M423" s="1">
        <f t="shared" si="443"/>
        <v>0</v>
      </c>
      <c r="N423" s="1">
        <f t="shared" si="443"/>
        <v>0</v>
      </c>
      <c r="O423" s="1">
        <f t="shared" si="443"/>
        <v>0</v>
      </c>
      <c r="P423" s="1">
        <f>P420-P426</f>
        <v>0</v>
      </c>
      <c r="Q423" s="1">
        <f>Q420-Q426</f>
        <v>0</v>
      </c>
      <c r="S423" s="3"/>
    </row>
    <row r="424" spans="1:19" x14ac:dyDescent="0.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6.1182710948123095E-2</v>
      </c>
      <c r="G424" s="1">
        <f t="shared" ref="G424:K424" si="444">SUM(G425:G426)</f>
        <v>1.1792928055203838E-5</v>
      </c>
      <c r="H424" s="1">
        <f t="shared" si="444"/>
        <v>1.02682764663024E-4</v>
      </c>
      <c r="I424" s="1">
        <f t="shared" si="444"/>
        <v>0</v>
      </c>
      <c r="J424" s="1">
        <f t="shared" si="444"/>
        <v>0</v>
      </c>
      <c r="K424" s="1">
        <f t="shared" si="444"/>
        <v>0</v>
      </c>
      <c r="L424" s="1">
        <f t="shared" ref="L424:O424" si="445">SUM(L425:L426)</f>
        <v>0</v>
      </c>
      <c r="M424" s="1">
        <f t="shared" si="445"/>
        <v>0</v>
      </c>
      <c r="N424" s="1">
        <f t="shared" si="445"/>
        <v>0</v>
      </c>
      <c r="O424" s="1">
        <f t="shared" si="445"/>
        <v>0</v>
      </c>
      <c r="P424" s="1">
        <f>SUM(P425:P426)</f>
        <v>0</v>
      </c>
      <c r="Q424" s="1">
        <f>SUM(Q425:Q426)</f>
        <v>0</v>
      </c>
      <c r="S424" s="3"/>
    </row>
    <row r="425" spans="1:19" x14ac:dyDescent="0.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6.1182710948123095E-2</v>
      </c>
      <c r="G425" s="1">
        <f t="shared" ref="G425:K425" si="446">IFERROR(G346/G314,0)*G419</f>
        <v>1.1792928055203838E-5</v>
      </c>
      <c r="H425" s="1">
        <f t="shared" si="446"/>
        <v>1.02682764663024E-4</v>
      </c>
      <c r="I425" s="1">
        <f t="shared" si="446"/>
        <v>0</v>
      </c>
      <c r="J425" s="1">
        <f t="shared" si="446"/>
        <v>0</v>
      </c>
      <c r="K425" s="1">
        <f t="shared" si="446"/>
        <v>0</v>
      </c>
      <c r="L425" s="1">
        <f t="shared" ref="L425:O425" si="447">IFERROR(L346/L314,0)*L419</f>
        <v>0</v>
      </c>
      <c r="M425" s="1">
        <f t="shared" si="447"/>
        <v>0</v>
      </c>
      <c r="N425" s="1">
        <f t="shared" si="447"/>
        <v>0</v>
      </c>
      <c r="O425" s="1">
        <f t="shared" si="447"/>
        <v>0</v>
      </c>
      <c r="P425" s="1">
        <f>IFERROR(P346/P314,0)*P419</f>
        <v>0</v>
      </c>
      <c r="Q425" s="1">
        <f>IFERROR(Q346/Q314,0)*Q419</f>
        <v>0</v>
      </c>
      <c r="S425" s="3"/>
    </row>
    <row r="426" spans="1:19" x14ac:dyDescent="0.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48">IFERROR(G347/G315,0)*G420</f>
        <v>0</v>
      </c>
      <c r="H426" s="1">
        <f t="shared" si="448"/>
        <v>0</v>
      </c>
      <c r="I426" s="1">
        <f t="shared" si="448"/>
        <v>0</v>
      </c>
      <c r="J426" s="1">
        <f t="shared" si="448"/>
        <v>0</v>
      </c>
      <c r="K426" s="1">
        <f t="shared" si="448"/>
        <v>0</v>
      </c>
      <c r="L426" s="1">
        <f t="shared" ref="L426:O426" si="449">IFERROR(L347/L315,0)*L420</f>
        <v>0</v>
      </c>
      <c r="M426" s="1">
        <f t="shared" si="449"/>
        <v>0</v>
      </c>
      <c r="N426" s="1">
        <f t="shared" si="449"/>
        <v>0</v>
      </c>
      <c r="O426" s="1">
        <f t="shared" si="449"/>
        <v>0</v>
      </c>
      <c r="P426" s="1">
        <f>IFERROR(P347/P315,0)*P420</f>
        <v>0</v>
      </c>
      <c r="Q426" s="1">
        <f>IFERROR(Q347/Q315,0)*Q420</f>
        <v>0</v>
      </c>
      <c r="S426" s="3"/>
    </row>
    <row r="427" spans="1:19" x14ac:dyDescent="0.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36.420429538804996</v>
      </c>
      <c r="G427" s="1">
        <f t="shared" ref="G427:K427" si="450">SUM(G428:G429)</f>
        <v>34.273097743899207</v>
      </c>
      <c r="H427" s="1">
        <f t="shared" si="450"/>
        <v>34.295850163391265</v>
      </c>
      <c r="I427" s="1">
        <f t="shared" si="450"/>
        <v>34.015077362288949</v>
      </c>
      <c r="J427" s="1">
        <f t="shared" si="450"/>
        <v>33.705334852674831</v>
      </c>
      <c r="K427" s="1">
        <f t="shared" si="450"/>
        <v>33.090708252787245</v>
      </c>
      <c r="L427" s="1">
        <f t="shared" ref="L427:O427" si="451">SUM(L428:L429)</f>
        <v>35.27455807983025</v>
      </c>
      <c r="M427" s="1">
        <f t="shared" si="451"/>
        <v>35.744171005010777</v>
      </c>
      <c r="N427" s="1">
        <f t="shared" si="451"/>
        <v>36.387334815549188</v>
      </c>
      <c r="O427" s="1">
        <f t="shared" si="451"/>
        <v>36.619293570760171</v>
      </c>
      <c r="P427" s="1">
        <f>SUM(P428:P429)</f>
        <v>36.850603447521671</v>
      </c>
      <c r="Q427" s="1">
        <f>SUM(Q428:Q429)</f>
        <v>37.081195108699291</v>
      </c>
      <c r="S427" s="3"/>
    </row>
    <row r="428" spans="1:19" x14ac:dyDescent="0.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36.420429538804996</v>
      </c>
      <c r="G428" s="1">
        <f>'[1]Electricity and CHPs_IN'!C$26-G361</f>
        <v>34.273097743899207</v>
      </c>
      <c r="H428" s="1">
        <f>'[1]Electricity and CHPs_IN'!D$26-H361</f>
        <v>34.295850163391265</v>
      </c>
      <c r="I428" s="1">
        <f>'[1]Electricity and CHPs_IN'!E$26-I361</f>
        <v>34.015077362288949</v>
      </c>
      <c r="J428" s="1">
        <f>'[1]Electricity and CHPs_IN'!F$26-J361</f>
        <v>33.705334852674831</v>
      </c>
      <c r="K428" s="1">
        <f>'[1]Electricity and CHPs_IN'!G$26-K361</f>
        <v>26.188395300214854</v>
      </c>
      <c r="L428" s="1">
        <f>'[1]Electricity and CHPs_IN'!H$26-L361</f>
        <v>22.946481629648119</v>
      </c>
      <c r="M428" s="1">
        <f>'[1]Electricity and CHPs_IN'!I$26-M361</f>
        <v>23.900356059641201</v>
      </c>
      <c r="N428" s="1">
        <f>'[1]Electricity and CHPs_IN'!J$26-N361</f>
        <v>24.543522284725483</v>
      </c>
      <c r="O428" s="1">
        <f>'[1]Electricity and CHPs_IN'!K$26-O361</f>
        <v>24.775480425187663</v>
      </c>
      <c r="P428" s="1">
        <f>'[1]Electricity and CHPs_IN'!L$26-P361</f>
        <v>25.0067912895936</v>
      </c>
      <c r="Q428" s="1">
        <f>'[1]Electricity and CHPs_IN'!M$26-Q361</f>
        <v>25.237381903473043</v>
      </c>
      <c r="S428" s="3"/>
    </row>
    <row r="429" spans="1:19" x14ac:dyDescent="0.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'[1]Electricity and CHPs_IN'!F$27-J362</f>
        <v>0</v>
      </c>
      <c r="K429" s="1">
        <f>'[1]Electricity and CHPs_IN'!G$27-K362</f>
        <v>6.9023129525723901</v>
      </c>
      <c r="L429" s="1">
        <f>'[1]Electricity and CHPs_IN'!H$27-L362</f>
        <v>12.328076450182131</v>
      </c>
      <c r="M429" s="1">
        <f>'[1]Electricity and CHPs_IN'!I$27-M362</f>
        <v>11.843814945369578</v>
      </c>
      <c r="N429" s="1">
        <f>'[1]Electricity and CHPs_IN'!J$27-N362</f>
        <v>11.843812530823705</v>
      </c>
      <c r="O429" s="1">
        <f>'[1]Electricity and CHPs_IN'!K$27-O362</f>
        <v>11.84381314557251</v>
      </c>
      <c r="P429" s="1">
        <f>'[1]Electricity and CHPs_IN'!L$27-P362</f>
        <v>11.84381215792807</v>
      </c>
      <c r="Q429" s="1">
        <f>'[1]Electricity and CHPs_IN'!M$27-Q362</f>
        <v>11.843813205226247</v>
      </c>
      <c r="S429" s="3"/>
    </row>
    <row r="430" spans="1:19" x14ac:dyDescent="0.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18.210214769402498</v>
      </c>
      <c r="G430" s="1">
        <f t="shared" ref="G430:K430" si="452">SUM(G431:G432)</f>
        <v>17.136548871949604</v>
      </c>
      <c r="H430" s="1">
        <f t="shared" si="452"/>
        <v>17.147925081695632</v>
      </c>
      <c r="I430" s="1">
        <f t="shared" si="452"/>
        <v>17.007538681144471</v>
      </c>
      <c r="J430" s="1">
        <f t="shared" si="452"/>
        <v>16.852667426337412</v>
      </c>
      <c r="K430" s="1">
        <f t="shared" si="452"/>
        <v>16.545354126393622</v>
      </c>
      <c r="L430" s="1">
        <f t="shared" ref="L430:O430" si="453">SUM(L431:L432)</f>
        <v>17.637279039915125</v>
      </c>
      <c r="M430" s="1">
        <f t="shared" si="453"/>
        <v>17.872085502505389</v>
      </c>
      <c r="N430" s="1">
        <f t="shared" si="453"/>
        <v>18.193667407774594</v>
      </c>
      <c r="O430" s="1">
        <f t="shared" si="453"/>
        <v>18.309646785380089</v>
      </c>
      <c r="P430" s="1">
        <f>SUM(P431:P432)</f>
        <v>18.425301723760835</v>
      </c>
      <c r="Q430" s="1">
        <f>SUM(Q431:Q432)</f>
        <v>18.540597554349645</v>
      </c>
      <c r="S430" s="3"/>
    </row>
    <row r="431" spans="1:19" x14ac:dyDescent="0.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18.210214769402498</v>
      </c>
      <c r="G431" s="1">
        <f t="shared" ref="G431:K431" si="454">IFERROR(G368/G361,0)*G428</f>
        <v>17.136548871949604</v>
      </c>
      <c r="H431" s="1">
        <f t="shared" si="454"/>
        <v>17.147925081695632</v>
      </c>
      <c r="I431" s="1">
        <f t="shared" si="454"/>
        <v>17.007538681144471</v>
      </c>
      <c r="J431" s="1">
        <f t="shared" si="454"/>
        <v>16.852667426337412</v>
      </c>
      <c r="K431" s="1">
        <f t="shared" si="454"/>
        <v>13.094197650107427</v>
      </c>
      <c r="L431" s="1">
        <f t="shared" ref="L431:O431" si="455">IFERROR(L368/L361,0)*L428</f>
        <v>11.473240814824059</v>
      </c>
      <c r="M431" s="1">
        <f t="shared" si="455"/>
        <v>11.9501780298206</v>
      </c>
      <c r="N431" s="1">
        <f t="shared" si="455"/>
        <v>12.271761142362742</v>
      </c>
      <c r="O431" s="1">
        <f t="shared" si="455"/>
        <v>12.387740212593831</v>
      </c>
      <c r="P431" s="1">
        <f>IFERROR(P368/P361,0)*P428</f>
        <v>12.5033956447968</v>
      </c>
      <c r="Q431" s="1">
        <f>IFERROR(Q368/Q361,0)*Q428</f>
        <v>12.618690951736522</v>
      </c>
      <c r="S431" s="3"/>
    </row>
    <row r="432" spans="1:19" x14ac:dyDescent="0.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56">IFERROR(G369/G362,0)*G429</f>
        <v>0</v>
      </c>
      <c r="H432" s="1">
        <f t="shared" si="456"/>
        <v>0</v>
      </c>
      <c r="I432" s="1">
        <f t="shared" si="456"/>
        <v>0</v>
      </c>
      <c r="J432" s="1">
        <f t="shared" si="456"/>
        <v>0</v>
      </c>
      <c r="K432" s="1">
        <f t="shared" si="456"/>
        <v>3.451156476286195</v>
      </c>
      <c r="L432" s="1">
        <f t="shared" ref="L432:O432" si="457">IFERROR(L369/L362,0)*L429</f>
        <v>6.1640382250910646</v>
      </c>
      <c r="M432" s="1">
        <f t="shared" si="457"/>
        <v>5.9219074726847891</v>
      </c>
      <c r="N432" s="1">
        <f t="shared" si="457"/>
        <v>5.9219062654118533</v>
      </c>
      <c r="O432" s="1">
        <f t="shared" si="457"/>
        <v>5.9219065727862557</v>
      </c>
      <c r="P432" s="1">
        <f>IFERROR(P369/P362,0)*P429</f>
        <v>5.9219060789640352</v>
      </c>
      <c r="Q432" s="1">
        <f>IFERROR(Q369/Q362,0)*Q429</f>
        <v>5.9219066026131237</v>
      </c>
      <c r="S432" s="3"/>
    </row>
    <row r="433" spans="1:19" x14ac:dyDescent="0.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18.210214769402498</v>
      </c>
      <c r="G433" s="1">
        <f t="shared" ref="G433:K433" si="458">SUM(G434:G435)</f>
        <v>17.136548871949604</v>
      </c>
      <c r="H433" s="1">
        <f t="shared" si="458"/>
        <v>17.147925081695632</v>
      </c>
      <c r="I433" s="1">
        <f t="shared" si="458"/>
        <v>17.007538681144478</v>
      </c>
      <c r="J433" s="1">
        <f t="shared" si="458"/>
        <v>16.852667426337419</v>
      </c>
      <c r="K433" s="1">
        <f t="shared" si="458"/>
        <v>16.545354126393622</v>
      </c>
      <c r="L433" s="1">
        <f t="shared" ref="L433:O433" si="459">SUM(L434:L435)</f>
        <v>17.637279039915125</v>
      </c>
      <c r="M433" s="1">
        <f t="shared" si="459"/>
        <v>17.872085502505389</v>
      </c>
      <c r="N433" s="1">
        <f t="shared" si="459"/>
        <v>18.193667407774594</v>
      </c>
      <c r="O433" s="1">
        <f t="shared" si="459"/>
        <v>18.309646785380085</v>
      </c>
      <c r="P433" s="1">
        <f>SUM(P434:P435)</f>
        <v>18.425301723760835</v>
      </c>
      <c r="Q433" s="1">
        <f>SUM(Q434:Q435)</f>
        <v>18.540597554349645</v>
      </c>
      <c r="S433" s="3"/>
    </row>
    <row r="434" spans="1:19" x14ac:dyDescent="0.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18.210214769402498</v>
      </c>
      <c r="G434" s="1">
        <f t="shared" ref="G434:K434" si="460">G428-G431</f>
        <v>17.136548871949604</v>
      </c>
      <c r="H434" s="1">
        <f t="shared" si="460"/>
        <v>17.147925081695632</v>
      </c>
      <c r="I434" s="1">
        <f t="shared" si="460"/>
        <v>17.007538681144478</v>
      </c>
      <c r="J434" s="1">
        <f t="shared" si="460"/>
        <v>16.852667426337419</v>
      </c>
      <c r="K434" s="1">
        <f t="shared" si="460"/>
        <v>13.094197650107427</v>
      </c>
      <c r="L434" s="1">
        <f t="shared" ref="L434:O434" si="461">L428-L431</f>
        <v>11.473240814824059</v>
      </c>
      <c r="M434" s="1">
        <f t="shared" si="461"/>
        <v>11.9501780298206</v>
      </c>
      <c r="N434" s="1">
        <f t="shared" si="461"/>
        <v>12.271761142362742</v>
      </c>
      <c r="O434" s="1">
        <f t="shared" si="461"/>
        <v>12.387740212593831</v>
      </c>
      <c r="P434" s="1">
        <f>P428-P431</f>
        <v>12.5033956447968</v>
      </c>
      <c r="Q434" s="1">
        <f>Q428-Q431</f>
        <v>12.618690951736522</v>
      </c>
      <c r="S434" s="3"/>
    </row>
    <row r="435" spans="1:19" x14ac:dyDescent="0.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62">G429-G432</f>
        <v>0</v>
      </c>
      <c r="H435" s="1">
        <f t="shared" si="462"/>
        <v>0</v>
      </c>
      <c r="I435" s="1">
        <f t="shared" si="462"/>
        <v>0</v>
      </c>
      <c r="J435" s="1">
        <f t="shared" si="462"/>
        <v>0</v>
      </c>
      <c r="K435" s="1">
        <f t="shared" si="462"/>
        <v>3.451156476286195</v>
      </c>
      <c r="L435" s="1">
        <f t="shared" ref="L435:O435" si="463">L429-L432</f>
        <v>6.1640382250910664</v>
      </c>
      <c r="M435" s="1">
        <f t="shared" si="463"/>
        <v>5.9219074726847891</v>
      </c>
      <c r="N435" s="1">
        <f t="shared" si="463"/>
        <v>5.9219062654118515</v>
      </c>
      <c r="O435" s="1">
        <f t="shared" si="463"/>
        <v>5.9219065727862539</v>
      </c>
      <c r="P435" s="1">
        <f>P429-P432</f>
        <v>5.9219060789640352</v>
      </c>
      <c r="Q435" s="1">
        <f>Q429-Q432</f>
        <v>5.9219066026131237</v>
      </c>
      <c r="S435" s="3"/>
    </row>
    <row r="436" spans="1:19" x14ac:dyDescent="0.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0.23603867909156401</v>
      </c>
      <c r="G436" s="1">
        <f t="shared" ref="G436:O436" si="464">G437</f>
        <v>5.0288086236344144E-4</v>
      </c>
      <c r="H436" s="1">
        <f t="shared" si="464"/>
        <v>3.9762009597928076E-2</v>
      </c>
      <c r="I436" s="1">
        <f t="shared" si="464"/>
        <v>1.1315206316398659E-3</v>
      </c>
      <c r="J436" s="1">
        <f t="shared" si="464"/>
        <v>1.8009734100915089E-3</v>
      </c>
      <c r="K436" s="1">
        <f t="shared" si="464"/>
        <v>2.1230759679552529</v>
      </c>
      <c r="L436" s="1">
        <f t="shared" si="464"/>
        <v>2.9757899289489771</v>
      </c>
      <c r="M436" s="1">
        <f t="shared" si="464"/>
        <v>2.7537299601999115</v>
      </c>
      <c r="N436" s="1">
        <f t="shared" si="464"/>
        <v>2.7407257585673626</v>
      </c>
      <c r="O436" s="1">
        <f t="shared" si="464"/>
        <v>2.7318661832699918</v>
      </c>
      <c r="P436" s="1">
        <f>P437</f>
        <v>2.7417803555919376</v>
      </c>
      <c r="Q436" s="1">
        <f>Q437</f>
        <v>2.7617438822376625</v>
      </c>
      <c r="S436" s="3"/>
    </row>
    <row r="437" spans="1:19" x14ac:dyDescent="0.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0.23603867909156401</v>
      </c>
      <c r="G437" s="1">
        <f>'[1]Electricity and CHPs_IN'!C$25-G380</f>
        <v>5.0288086236344144E-4</v>
      </c>
      <c r="H437" s="1">
        <f>'[1]Electricity and CHPs_IN'!D$25-H380</f>
        <v>3.9762009597928076E-2</v>
      </c>
      <c r="I437" s="1">
        <f>'[1]Electricity and CHPs_IN'!E$25-I380</f>
        <v>1.1315206316398659E-3</v>
      </c>
      <c r="J437" s="1">
        <f>'[1]Electricity and CHPs_IN'!F$25-J380</f>
        <v>1.8009734100915089E-3</v>
      </c>
      <c r="K437" s="1">
        <f>'[1]Electricity and CHPs_IN'!G$25-K380</f>
        <v>2.1230759679552529</v>
      </c>
      <c r="L437" s="1">
        <f>'[1]Electricity and CHPs_IN'!H$25-L380</f>
        <v>2.9757899289489771</v>
      </c>
      <c r="M437" s="1">
        <f>'[1]Electricity and CHPs_IN'!I$25-M380</f>
        <v>2.7537299601999115</v>
      </c>
      <c r="N437" s="1">
        <f>'[1]Electricity and CHPs_IN'!J$25-N380</f>
        <v>2.7407257585673626</v>
      </c>
      <c r="O437" s="1">
        <f>'[1]Electricity and CHPs_IN'!K$25-O380</f>
        <v>2.7318661832699918</v>
      </c>
      <c r="P437" s="1">
        <f>'[1]Electricity and CHPs_IN'!L$25-P380</f>
        <v>2.7417803555919376</v>
      </c>
      <c r="Q437" s="1">
        <f>'[1]Electricity and CHPs_IN'!M$25-Q380</f>
        <v>2.7617438822376625</v>
      </c>
      <c r="S437" s="3"/>
    </row>
    <row r="438" spans="1:19" x14ac:dyDescent="0.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O438" si="465">+G439</f>
        <v>0</v>
      </c>
      <c r="H438" s="1">
        <f t="shared" si="465"/>
        <v>0</v>
      </c>
      <c r="I438" s="1">
        <f t="shared" si="465"/>
        <v>0</v>
      </c>
      <c r="J438" s="1">
        <f t="shared" si="465"/>
        <v>0</v>
      </c>
      <c r="K438" s="1">
        <f t="shared" si="465"/>
        <v>0.35523886932161503</v>
      </c>
      <c r="L438" s="1">
        <f t="shared" si="465"/>
        <v>1.0090578985020455</v>
      </c>
      <c r="M438" s="1">
        <f t="shared" si="465"/>
        <v>1.5034751301153007</v>
      </c>
      <c r="N438" s="1">
        <f t="shared" si="465"/>
        <v>1.5045521332635565</v>
      </c>
      <c r="O438" s="1">
        <f t="shared" si="465"/>
        <v>1.5050273043682321</v>
      </c>
      <c r="P438" s="1">
        <f>+P439</f>
        <v>1.5050279268465745</v>
      </c>
      <c r="Q438" s="1">
        <f>+Q439</f>
        <v>1.5051879626525373</v>
      </c>
      <c r="S438" s="3"/>
    </row>
    <row r="439" spans="1:19" x14ac:dyDescent="0.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'[1]Electricity and CHPs_IN'!F$30-J398</f>
        <v>0</v>
      </c>
      <c r="K439" s="1">
        <f>'[1]Electricity and CHPs_IN'!G$30-K398</f>
        <v>0.35523886932161503</v>
      </c>
      <c r="L439" s="1">
        <f>'[1]Electricity and CHPs_IN'!H$30-L398</f>
        <v>1.0090578985020455</v>
      </c>
      <c r="M439" s="1">
        <f>'[1]Electricity and CHPs_IN'!I$30-M398</f>
        <v>1.5034751301153007</v>
      </c>
      <c r="N439" s="1">
        <f>'[1]Electricity and CHPs_IN'!J$30-N398</f>
        <v>1.5045521332635565</v>
      </c>
      <c r="O439" s="1">
        <f>'[1]Electricity and CHPs_IN'!K$30-O398</f>
        <v>1.5050273043682321</v>
      </c>
      <c r="P439" s="1">
        <f>'[1]Electricity and CHPs_IN'!L$30-P398</f>
        <v>1.5050279268465745</v>
      </c>
      <c r="Q439" s="1">
        <f>'[1]Electricity and CHPs_IN'!M$30-Q398</f>
        <v>1.5051879626525373</v>
      </c>
      <c r="S439" s="3"/>
    </row>
    <row r="440" spans="1:19" x14ac:dyDescent="0.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9.0000376749303079</v>
      </c>
      <c r="G440" s="1">
        <f t="shared" ref="G440:K440" si="466">SUM(G441,G447,G449,G455,G457,G459,G461)</f>
        <v>12.095624092949048</v>
      </c>
      <c r="H440" s="1">
        <f t="shared" si="466"/>
        <v>11.585279528113933</v>
      </c>
      <c r="I440" s="1">
        <f t="shared" si="466"/>
        <v>10.212819268151845</v>
      </c>
      <c r="J440" s="1">
        <f t="shared" si="466"/>
        <v>9.328391014173846</v>
      </c>
      <c r="K440" s="1">
        <f t="shared" si="466"/>
        <v>7.6854520888395088</v>
      </c>
      <c r="L440" s="1">
        <f t="shared" ref="L440:O440" si="467">SUM(L441,L447,L449,L455,L457,L459,L461)</f>
        <v>7.1013085599343349</v>
      </c>
      <c r="M440" s="1">
        <f t="shared" si="467"/>
        <v>7.1078813198554638</v>
      </c>
      <c r="N440" s="1">
        <f t="shared" si="467"/>
        <v>6.8374556190638813</v>
      </c>
      <c r="O440" s="1">
        <f t="shared" si="467"/>
        <v>17.529949364038352</v>
      </c>
      <c r="P440" s="1">
        <f>SUM(P441,P447,P449,P455,P457,P459,P461)</f>
        <v>22.85027469817026</v>
      </c>
      <c r="Q440" s="1">
        <f>SUM(Q441,Q447,Q449,Q455,Q457,Q459,Q461)</f>
        <v>28.06462400293983</v>
      </c>
      <c r="S440" s="3"/>
    </row>
    <row r="441" spans="1:19" x14ac:dyDescent="0.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4.3959779639344703</v>
      </c>
      <c r="G441" s="1">
        <f t="shared" ref="G441:O441" si="468">+G442</f>
        <v>4.1109161570673702</v>
      </c>
      <c r="H441" s="1">
        <f t="shared" si="468"/>
        <v>4.0941186310944646</v>
      </c>
      <c r="I441" s="1">
        <f t="shared" si="468"/>
        <v>2.3678994737232308</v>
      </c>
      <c r="J441" s="1">
        <f t="shared" si="468"/>
        <v>2.3679007656810915</v>
      </c>
      <c r="K441" s="1">
        <f t="shared" si="468"/>
        <v>2.3679010217007912</v>
      </c>
      <c r="L441" s="1">
        <f t="shared" si="468"/>
        <v>2.3678965168527122</v>
      </c>
      <c r="M441" s="1">
        <f t="shared" si="468"/>
        <v>2.3679010595631298</v>
      </c>
      <c r="N441" s="1">
        <f t="shared" si="468"/>
        <v>2.3678966444076606</v>
      </c>
      <c r="O441" s="1">
        <f t="shared" si="468"/>
        <v>11.865265183849049</v>
      </c>
      <c r="P441" s="1">
        <f>+P442</f>
        <v>17.203295024708062</v>
      </c>
      <c r="Q441" s="1">
        <f>+Q442</f>
        <v>22.366407188532285</v>
      </c>
      <c r="S441" s="3"/>
    </row>
    <row r="442" spans="1:19" x14ac:dyDescent="0.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4.3959779639344703</v>
      </c>
      <c r="G442" s="1">
        <f t="shared" ref="G442:K442" si="469">SUM(G444:G446)</f>
        <v>4.1109161570673702</v>
      </c>
      <c r="H442" s="1">
        <f t="shared" si="469"/>
        <v>4.0941186310944646</v>
      </c>
      <c r="I442" s="1">
        <f t="shared" si="469"/>
        <v>2.3678994737232308</v>
      </c>
      <c r="J442" s="1">
        <f t="shared" si="469"/>
        <v>2.3679007656810915</v>
      </c>
      <c r="K442" s="1">
        <f t="shared" si="469"/>
        <v>2.3679010217007912</v>
      </c>
      <c r="L442" s="1">
        <f t="shared" ref="L442:O442" si="470">SUM(L444:L446)</f>
        <v>2.3678965168527122</v>
      </c>
      <c r="M442" s="1">
        <f t="shared" si="470"/>
        <v>2.3679010595631298</v>
      </c>
      <c r="N442" s="1">
        <f t="shared" si="470"/>
        <v>2.3678966444076606</v>
      </c>
      <c r="O442" s="1">
        <f t="shared" si="470"/>
        <v>11.865265183849049</v>
      </c>
      <c r="P442" s="1">
        <f>SUM(P444:P446)</f>
        <v>17.203295024708062</v>
      </c>
      <c r="Q442" s="1">
        <f>SUM(Q444:Q446)</f>
        <v>22.366407188532285</v>
      </c>
      <c r="S442" s="3"/>
    </row>
    <row r="443" spans="1:19" x14ac:dyDescent="0.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2.0280758312452618</v>
      </c>
      <c r="G443" s="1">
        <f t="shared" ref="G443:O443" si="471">G444</f>
        <v>1.7430169821491588</v>
      </c>
      <c r="H443" s="1">
        <f t="shared" si="471"/>
        <v>1.7262191399321081</v>
      </c>
      <c r="I443" s="1">
        <f t="shared" si="471"/>
        <v>0</v>
      </c>
      <c r="J443" s="1">
        <f t="shared" si="471"/>
        <v>0</v>
      </c>
      <c r="K443" s="1">
        <f t="shared" si="471"/>
        <v>0</v>
      </c>
      <c r="L443" s="1">
        <f t="shared" si="471"/>
        <v>0</v>
      </c>
      <c r="M443" s="1">
        <f t="shared" si="471"/>
        <v>0</v>
      </c>
      <c r="N443" s="1">
        <f t="shared" si="471"/>
        <v>0</v>
      </c>
      <c r="O443" s="1">
        <f t="shared" si="471"/>
        <v>0</v>
      </c>
      <c r="P443" s="1">
        <f>P444</f>
        <v>0</v>
      </c>
      <c r="Q443" s="1">
        <f>Q444</f>
        <v>0</v>
      </c>
      <c r="S443" s="3"/>
    </row>
    <row r="444" spans="1:19" x14ac:dyDescent="0.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2.0280758312452618</v>
      </c>
      <c r="G444" s="1">
        <f>'[1]Electricity and CHPs_IN'!C$90</f>
        <v>1.7430169821491588</v>
      </c>
      <c r="H444" s="1">
        <f>'[1]Electricity and CHPs_IN'!D$90</f>
        <v>1.7262191399321081</v>
      </c>
      <c r="I444" s="1">
        <f>'[1]Electricity and CHPs_IN'!E$90</f>
        <v>0</v>
      </c>
      <c r="J444" s="1">
        <f>'[1]Electricity and CHPs_IN'!F$90</f>
        <v>0</v>
      </c>
      <c r="K444" s="1">
        <f>'[1]Electricity and CHPs_IN'!G$90</f>
        <v>0</v>
      </c>
      <c r="L444" s="1">
        <f>'[1]Electricity and CHPs_IN'!H$90</f>
        <v>0</v>
      </c>
      <c r="M444" s="1">
        <f>'[1]Electricity and CHPs_IN'!I$90</f>
        <v>0</v>
      </c>
      <c r="N444" s="1">
        <f>'[1]Electricity and CHPs_IN'!J$90</f>
        <v>0</v>
      </c>
      <c r="O444" s="1">
        <f>'[1]Electricity and CHPs_IN'!K$90</f>
        <v>0</v>
      </c>
      <c r="P444" s="1">
        <f>'[1]Electricity and CHPs_IN'!L$90</f>
        <v>0</v>
      </c>
      <c r="Q444" s="1">
        <f>'[1]Electricity and CHPs_IN'!M$90</f>
        <v>0</v>
      </c>
      <c r="S444" s="3"/>
    </row>
    <row r="445" spans="1:19" x14ac:dyDescent="0.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1.1839510663446045</v>
      </c>
      <c r="G445" s="1">
        <f t="shared" ref="G445:O445" si="472">G446</f>
        <v>1.1839495874591059</v>
      </c>
      <c r="H445" s="1">
        <f t="shared" si="472"/>
        <v>1.1839497455811783</v>
      </c>
      <c r="I445" s="1">
        <f t="shared" si="472"/>
        <v>1.1839497368616154</v>
      </c>
      <c r="J445" s="1">
        <f t="shared" si="472"/>
        <v>1.1839503828405458</v>
      </c>
      <c r="K445" s="1">
        <f t="shared" si="472"/>
        <v>1.1839505108503956</v>
      </c>
      <c r="L445" s="1">
        <f t="shared" si="472"/>
        <v>1.1839482584263561</v>
      </c>
      <c r="M445" s="1">
        <f t="shared" si="472"/>
        <v>1.1839505297815649</v>
      </c>
      <c r="N445" s="1">
        <f t="shared" si="472"/>
        <v>1.1839483222038303</v>
      </c>
      <c r="O445" s="1">
        <f t="shared" si="472"/>
        <v>5.9326325919245244</v>
      </c>
      <c r="P445" s="1">
        <f>P446</f>
        <v>8.601647512354031</v>
      </c>
      <c r="Q445" s="1">
        <f>Q446</f>
        <v>11.183203594266143</v>
      </c>
      <c r="S445" s="3"/>
    </row>
    <row r="446" spans="1:19" x14ac:dyDescent="0.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1.1839510663446045</v>
      </c>
      <c r="G446" s="1">
        <f>'[1]Electricity and CHPs_IN'!C$91</f>
        <v>1.1839495874591059</v>
      </c>
      <c r="H446" s="1">
        <f>'[1]Electricity and CHPs_IN'!D$91</f>
        <v>1.1839497455811783</v>
      </c>
      <c r="I446" s="1">
        <f>'[1]Electricity and CHPs_IN'!E$91</f>
        <v>1.1839497368616154</v>
      </c>
      <c r="J446" s="1">
        <f>'[1]Electricity and CHPs_IN'!F$91</f>
        <v>1.1839503828405458</v>
      </c>
      <c r="K446" s="1">
        <f>'[1]Electricity and CHPs_IN'!G$91</f>
        <v>1.1839505108503956</v>
      </c>
      <c r="L446" s="1">
        <f>'[1]Electricity and CHPs_IN'!H$91</f>
        <v>1.1839482584263561</v>
      </c>
      <c r="M446" s="1">
        <f>'[1]Electricity and CHPs_IN'!I$91</f>
        <v>1.1839505297815649</v>
      </c>
      <c r="N446" s="1">
        <f>'[1]Electricity and CHPs_IN'!J$91</f>
        <v>1.1839483222038303</v>
      </c>
      <c r="O446" s="1">
        <f>'[1]Electricity and CHPs_IN'!K$91</f>
        <v>5.9326325919245244</v>
      </c>
      <c r="P446" s="1">
        <f>'[1]Electricity and CHPs_IN'!L$91</f>
        <v>8.601647512354031</v>
      </c>
      <c r="Q446" s="1">
        <f>'[1]Electricity and CHPs_IN'!M$91</f>
        <v>11.183203594266143</v>
      </c>
      <c r="S446" s="3"/>
    </row>
    <row r="447" spans="1:19" x14ac:dyDescent="0.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1.4500060406957316</v>
      </c>
      <c r="G447" s="1">
        <f t="shared" ref="G447:O447" si="473">G448</f>
        <v>3.8019002858450222</v>
      </c>
      <c r="H447" s="1">
        <f t="shared" si="473"/>
        <v>3.8017535681727064</v>
      </c>
      <c r="I447" s="1">
        <f t="shared" si="473"/>
        <v>1.1502614204076411</v>
      </c>
      <c r="J447" s="1">
        <f t="shared" si="473"/>
        <v>0.8491292130673822</v>
      </c>
      <c r="K447" s="1">
        <f t="shared" si="473"/>
        <v>0</v>
      </c>
      <c r="L447" s="1">
        <f t="shared" si="473"/>
        <v>0</v>
      </c>
      <c r="M447" s="1">
        <f t="shared" si="473"/>
        <v>0</v>
      </c>
      <c r="N447" s="1">
        <f t="shared" si="473"/>
        <v>0</v>
      </c>
      <c r="O447" s="1">
        <f t="shared" si="473"/>
        <v>0</v>
      </c>
      <c r="P447" s="1">
        <f>P448</f>
        <v>0</v>
      </c>
      <c r="Q447" s="1">
        <f>Q448</f>
        <v>0</v>
      </c>
      <c r="S447" s="3"/>
    </row>
    <row r="448" spans="1:19" x14ac:dyDescent="0.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1.4500060406957316</v>
      </c>
      <c r="G448" s="1">
        <f>'[1]Electricity and CHPs_IN'!C$92</f>
        <v>3.8019002858450222</v>
      </c>
      <c r="H448" s="1">
        <f>'[1]Electricity and CHPs_IN'!D$92</f>
        <v>3.8017535681727064</v>
      </c>
      <c r="I448" s="1">
        <f>'[1]Electricity and CHPs_IN'!E$92</f>
        <v>1.1502614204076411</v>
      </c>
      <c r="J448" s="1">
        <f>'[1]Electricity and CHPs_IN'!F$92</f>
        <v>0.8491292130673822</v>
      </c>
      <c r="K448" s="1">
        <f>'[1]Electricity and CHPs_IN'!G$92</f>
        <v>0</v>
      </c>
      <c r="L448" s="1">
        <f>'[1]Electricity and CHPs_IN'!H$92</f>
        <v>0</v>
      </c>
      <c r="M448" s="1">
        <f>'[1]Electricity and CHPs_IN'!I$92</f>
        <v>0</v>
      </c>
      <c r="N448" s="1">
        <f>'[1]Electricity and CHPs_IN'!J$92</f>
        <v>0</v>
      </c>
      <c r="O448" s="1">
        <f>'[1]Electricity and CHPs_IN'!K$92</f>
        <v>0</v>
      </c>
      <c r="P448" s="1">
        <f>'[1]Electricity and CHPs_IN'!L$92</f>
        <v>0</v>
      </c>
      <c r="Q448" s="1">
        <f>'[1]Electricity and CHPs_IN'!M$92</f>
        <v>0</v>
      </c>
      <c r="S448" s="3"/>
    </row>
    <row r="449" spans="1:19" x14ac:dyDescent="0.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0.21541904122800415</v>
      </c>
      <c r="G449" s="1">
        <f t="shared" ref="G449:O449" si="474">G450</f>
        <v>0.21752271118348868</v>
      </c>
      <c r="H449" s="1">
        <f t="shared" si="474"/>
        <v>6.2575886294138683E-2</v>
      </c>
      <c r="I449" s="1">
        <f t="shared" si="474"/>
        <v>6.276659866143286E-2</v>
      </c>
      <c r="J449" s="1">
        <f t="shared" si="474"/>
        <v>2.2119234420743398E-4</v>
      </c>
      <c r="K449" s="1">
        <f t="shared" si="474"/>
        <v>2.8523612180709091E-5</v>
      </c>
      <c r="L449" s="1">
        <f t="shared" si="474"/>
        <v>5.886031518250917E-5</v>
      </c>
      <c r="M449" s="1">
        <f t="shared" si="474"/>
        <v>3.6816924070177393E-5</v>
      </c>
      <c r="N449" s="1">
        <f t="shared" si="474"/>
        <v>3.7402364418359915E-7</v>
      </c>
      <c r="O449" s="1">
        <f t="shared" si="474"/>
        <v>0</v>
      </c>
      <c r="P449" s="1">
        <f>P450</f>
        <v>5.9915253344627698E-8</v>
      </c>
      <c r="Q449" s="1">
        <f>Q450</f>
        <v>1.1722239047034299E-8</v>
      </c>
      <c r="S449" s="3"/>
    </row>
    <row r="450" spans="1:19" x14ac:dyDescent="0.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0.21541904122800415</v>
      </c>
      <c r="G450" s="1">
        <f>'[1]Electricity and CHPs_IN'!C$93</f>
        <v>0.21752271118348868</v>
      </c>
      <c r="H450" s="1">
        <f>'[1]Electricity and CHPs_IN'!D$93</f>
        <v>6.2575886294138683E-2</v>
      </c>
      <c r="I450" s="1">
        <f>'[1]Electricity and CHPs_IN'!E$93</f>
        <v>6.276659866143286E-2</v>
      </c>
      <c r="J450" s="1">
        <f>'[1]Electricity and CHPs_IN'!F$93</f>
        <v>2.2119234420743398E-4</v>
      </c>
      <c r="K450" s="1">
        <f>'[1]Electricity and CHPs_IN'!G$93</f>
        <v>2.8523612180709091E-5</v>
      </c>
      <c r="L450" s="1">
        <f>'[1]Electricity and CHPs_IN'!H$93</f>
        <v>5.886031518250917E-5</v>
      </c>
      <c r="M450" s="1">
        <f>'[1]Electricity and CHPs_IN'!I$93</f>
        <v>3.6816924070177393E-5</v>
      </c>
      <c r="N450" s="1">
        <f>'[1]Electricity and CHPs_IN'!J$93</f>
        <v>3.7402364418359915E-7</v>
      </c>
      <c r="O450" s="1">
        <f>'[1]Electricity and CHPs_IN'!K$93</f>
        <v>0</v>
      </c>
      <c r="P450" s="1">
        <f>'[1]Electricity and CHPs_IN'!L$93</f>
        <v>5.9915253344627698E-8</v>
      </c>
      <c r="Q450" s="1">
        <f>'[1]Electricity and CHPs_IN'!M$93</f>
        <v>1.1722239047034299E-8</v>
      </c>
      <c r="S450" s="3"/>
    </row>
    <row r="451" spans="1:19" x14ac:dyDescent="0.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0.21541904122800415</v>
      </c>
      <c r="G451" s="1">
        <f t="shared" ref="G451:O451" si="475">G452</f>
        <v>0.21752271118348868</v>
      </c>
      <c r="H451" s="1">
        <f t="shared" si="475"/>
        <v>6.2575886294138683E-2</v>
      </c>
      <c r="I451" s="1">
        <f t="shared" si="475"/>
        <v>6.276659866143286E-2</v>
      </c>
      <c r="J451" s="1">
        <f t="shared" si="475"/>
        <v>2.2119234420743398E-4</v>
      </c>
      <c r="K451" s="1">
        <f t="shared" si="475"/>
        <v>2.8523612180709091E-5</v>
      </c>
      <c r="L451" s="1">
        <f t="shared" si="475"/>
        <v>5.886031518250917E-5</v>
      </c>
      <c r="M451" s="1">
        <f t="shared" si="475"/>
        <v>3.6816924070177393E-5</v>
      </c>
      <c r="N451" s="1">
        <f t="shared" si="475"/>
        <v>3.7402364418359915E-7</v>
      </c>
      <c r="O451" s="1">
        <f t="shared" si="475"/>
        <v>0</v>
      </c>
      <c r="P451" s="1">
        <f>P452</f>
        <v>5.9915253344627698E-8</v>
      </c>
      <c r="Q451" s="1">
        <f>Q452</f>
        <v>1.1722239047034299E-8</v>
      </c>
      <c r="S451" s="3"/>
    </row>
    <row r="452" spans="1:19" x14ac:dyDescent="0.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0.21541904122800415</v>
      </c>
      <c r="G452" s="1">
        <f t="shared" ref="G452:K452" si="476">G450</f>
        <v>0.21752271118348868</v>
      </c>
      <c r="H452" s="1">
        <f t="shared" si="476"/>
        <v>6.2575886294138683E-2</v>
      </c>
      <c r="I452" s="1">
        <f t="shared" si="476"/>
        <v>6.276659866143286E-2</v>
      </c>
      <c r="J452" s="1">
        <f t="shared" si="476"/>
        <v>2.2119234420743398E-4</v>
      </c>
      <c r="K452" s="1">
        <f t="shared" si="476"/>
        <v>2.8523612180709091E-5</v>
      </c>
      <c r="L452" s="1">
        <f t="shared" ref="L452:O452" si="477">L450</f>
        <v>5.886031518250917E-5</v>
      </c>
      <c r="M452" s="1">
        <f t="shared" si="477"/>
        <v>3.6816924070177393E-5</v>
      </c>
      <c r="N452" s="1">
        <f t="shared" si="477"/>
        <v>3.7402364418359915E-7</v>
      </c>
      <c r="O452" s="1">
        <f t="shared" si="477"/>
        <v>0</v>
      </c>
      <c r="P452" s="1">
        <f>P450</f>
        <v>5.9915253344627698E-8</v>
      </c>
      <c r="Q452" s="1">
        <f>Q450</f>
        <v>1.1722239047034299E-8</v>
      </c>
      <c r="S452" s="3"/>
    </row>
    <row r="453" spans="1:19" x14ac:dyDescent="0.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O453" si="478">G454</f>
        <v>0</v>
      </c>
      <c r="H453" s="1">
        <f t="shared" si="478"/>
        <v>0</v>
      </c>
      <c r="I453" s="1">
        <f t="shared" si="478"/>
        <v>0</v>
      </c>
      <c r="J453" s="1">
        <f t="shared" si="478"/>
        <v>0</v>
      </c>
      <c r="K453" s="1">
        <f t="shared" si="478"/>
        <v>0</v>
      </c>
      <c r="L453" s="1">
        <f t="shared" si="478"/>
        <v>0</v>
      </c>
      <c r="M453" s="1">
        <f t="shared" si="478"/>
        <v>0</v>
      </c>
      <c r="N453" s="1">
        <f t="shared" si="478"/>
        <v>0</v>
      </c>
      <c r="O453" s="1">
        <f t="shared" si="478"/>
        <v>4</v>
      </c>
      <c r="P453" s="1">
        <f>P454</f>
        <v>0</v>
      </c>
      <c r="Q453" s="1">
        <f>Q454</f>
        <v>0</v>
      </c>
      <c r="S453" s="3"/>
    </row>
    <row r="454" spans="1:19" x14ac:dyDescent="0.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4</v>
      </c>
      <c r="P454" s="1">
        <v>0</v>
      </c>
      <c r="Q454" s="1">
        <v>0</v>
      </c>
      <c r="S454" s="3"/>
    </row>
    <row r="455" spans="1:19" x14ac:dyDescent="0.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2.9386346290721015</v>
      </c>
      <c r="G455" s="1">
        <f t="shared" ref="G455:O455" si="479">G456</f>
        <v>2.6521174406264709</v>
      </c>
      <c r="H455" s="1">
        <f t="shared" si="479"/>
        <v>2.2738735211137793</v>
      </c>
      <c r="I455" s="1">
        <f t="shared" si="479"/>
        <v>5.1530654460146703</v>
      </c>
      <c r="J455" s="1">
        <f t="shared" si="479"/>
        <v>3.987654408393607</v>
      </c>
      <c r="K455" s="1">
        <f t="shared" si="479"/>
        <v>3.0855709880391844</v>
      </c>
      <c r="L455" s="1">
        <f t="shared" si="479"/>
        <v>2.387556950402427</v>
      </c>
      <c r="M455" s="1">
        <f t="shared" si="479"/>
        <v>1.8474520265494778</v>
      </c>
      <c r="N455" s="1">
        <f t="shared" si="479"/>
        <v>1.4295168804568346</v>
      </c>
      <c r="O455" s="1">
        <f t="shared" si="479"/>
        <v>1.1061363929730823</v>
      </c>
      <c r="P455" s="1">
        <f>P456</f>
        <v>0.85590583837136058</v>
      </c>
      <c r="Q455" s="1">
        <f>Q456</f>
        <v>0.6622903398013229</v>
      </c>
      <c r="S455" s="3"/>
    </row>
    <row r="456" spans="1:19" x14ac:dyDescent="0.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2.9386346290721015</v>
      </c>
      <c r="G456" s="1">
        <f>'[1]Electricity and CHPs_IN'!C$94</f>
        <v>2.6521174406264709</v>
      </c>
      <c r="H456" s="1">
        <f>'[1]Electricity and CHPs_IN'!D$94</f>
        <v>2.2738735211137793</v>
      </c>
      <c r="I456" s="1">
        <f>'[1]Electricity and CHPs_IN'!E$94</f>
        <v>5.1530654460146703</v>
      </c>
      <c r="J456" s="1">
        <f>'[1]Electricity and CHPs_IN'!F$94</f>
        <v>3.987654408393607</v>
      </c>
      <c r="K456" s="1">
        <f>'[1]Electricity and CHPs_IN'!G$94</f>
        <v>3.0855709880391844</v>
      </c>
      <c r="L456" s="1">
        <f>'[1]Electricity and CHPs_IN'!H$94</f>
        <v>2.387556950402427</v>
      </c>
      <c r="M456" s="1">
        <f>'[1]Electricity and CHPs_IN'!I$94</f>
        <v>1.8474520265494778</v>
      </c>
      <c r="N456" s="1">
        <f>'[1]Electricity and CHPs_IN'!J$94</f>
        <v>1.4295168804568346</v>
      </c>
      <c r="O456" s="1">
        <f>'[1]Electricity and CHPs_IN'!K$94</f>
        <v>1.1061363929730823</v>
      </c>
      <c r="P456" s="1">
        <f>'[1]Electricity and CHPs_IN'!L$94</f>
        <v>0.85590583837136058</v>
      </c>
      <c r="Q456" s="1">
        <f>'[1]Electricity and CHPs_IN'!M$94</f>
        <v>0.6622903398013229</v>
      </c>
      <c r="S456" s="3"/>
    </row>
    <row r="457" spans="1:19" x14ac:dyDescent="0.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O457" si="480">G458</f>
        <v>0</v>
      </c>
      <c r="H457" s="1">
        <f t="shared" si="480"/>
        <v>0</v>
      </c>
      <c r="I457" s="1">
        <f t="shared" si="480"/>
        <v>2.9110944730474573E-5</v>
      </c>
      <c r="J457" s="1">
        <f t="shared" si="480"/>
        <v>4.3880086842418192E-5</v>
      </c>
      <c r="K457" s="1">
        <f t="shared" si="480"/>
        <v>4.4453703751221391E-5</v>
      </c>
      <c r="L457" s="1">
        <f t="shared" si="480"/>
        <v>4.5802662075083037E-5</v>
      </c>
      <c r="M457" s="1">
        <f t="shared" si="480"/>
        <v>5.0500860190741622E-5</v>
      </c>
      <c r="N457" s="1">
        <f t="shared" si="480"/>
        <v>5.1561691472176253E-5</v>
      </c>
      <c r="O457" s="1">
        <f t="shared" si="480"/>
        <v>6.2954054784622064E-5</v>
      </c>
      <c r="P457" s="1">
        <f>P458</f>
        <v>6.5308523934639156E-5</v>
      </c>
      <c r="Q457" s="1">
        <f>Q458</f>
        <v>1.231327353764442E-4</v>
      </c>
      <c r="S457" s="3"/>
    </row>
    <row r="458" spans="1:19" x14ac:dyDescent="0.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2.9110944730474573E-5</v>
      </c>
      <c r="J458" s="1">
        <f>'[1]Electricity and CHPs_IN'!F$95</f>
        <v>4.3880086842418192E-5</v>
      </c>
      <c r="K458" s="1">
        <f>'[1]Electricity and CHPs_IN'!G$95</f>
        <v>4.4453703751221391E-5</v>
      </c>
      <c r="L458" s="1">
        <f>'[1]Electricity and CHPs_IN'!H$95</f>
        <v>4.5802662075083037E-5</v>
      </c>
      <c r="M458" s="1">
        <f>'[1]Electricity and CHPs_IN'!I$95</f>
        <v>5.0500860190741622E-5</v>
      </c>
      <c r="N458" s="1">
        <f>'[1]Electricity and CHPs_IN'!J$95</f>
        <v>5.1561691472176253E-5</v>
      </c>
      <c r="O458" s="1">
        <f>'[1]Electricity and CHPs_IN'!K$95</f>
        <v>6.2954054784622064E-5</v>
      </c>
      <c r="P458" s="1">
        <f>'[1]Electricity and CHPs_IN'!L$95</f>
        <v>6.5308523934639156E-5</v>
      </c>
      <c r="Q458" s="1">
        <f>'[1]Electricity and CHPs_IN'!M$95</f>
        <v>1.231327353764442E-4</v>
      </c>
      <c r="S458" s="3"/>
    </row>
    <row r="459" spans="1:19" x14ac:dyDescent="0.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O459" si="481">G460</f>
        <v>0</v>
      </c>
      <c r="H459" s="1">
        <f t="shared" si="481"/>
        <v>0</v>
      </c>
      <c r="I459" s="1">
        <f t="shared" si="481"/>
        <v>0</v>
      </c>
      <c r="J459" s="1">
        <f t="shared" si="481"/>
        <v>0</v>
      </c>
      <c r="K459" s="1">
        <f t="shared" si="481"/>
        <v>1.4852531621137782E-4</v>
      </c>
      <c r="L459" s="1">
        <f t="shared" si="481"/>
        <v>1.4906308264818745E-4</v>
      </c>
      <c r="M459" s="1">
        <f t="shared" si="481"/>
        <v>1.5049663037248025E-4</v>
      </c>
      <c r="N459" s="1">
        <f t="shared" si="481"/>
        <v>1.5212178433908838E-4</v>
      </c>
      <c r="O459" s="1">
        <f t="shared" si="481"/>
        <v>1.6685930856070156E-4</v>
      </c>
      <c r="P459" s="1">
        <f>P460</f>
        <v>1.6946947839944536E-4</v>
      </c>
      <c r="Q459" s="1">
        <f>Q460</f>
        <v>3.6854804703089178E-4</v>
      </c>
      <c r="S459" s="3"/>
    </row>
    <row r="460" spans="1:19" x14ac:dyDescent="0.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'[1]Electricity and CHPs_IN'!F$96</f>
        <v>0</v>
      </c>
      <c r="K460" s="1">
        <f>'[1]Electricity and CHPs_IN'!G$96</f>
        <v>1.4852531621137782E-4</v>
      </c>
      <c r="L460" s="1">
        <f>'[1]Electricity and CHPs_IN'!H$96</f>
        <v>1.4906308264818745E-4</v>
      </c>
      <c r="M460" s="1">
        <f>'[1]Electricity and CHPs_IN'!I$96</f>
        <v>1.5049663037248025E-4</v>
      </c>
      <c r="N460" s="1">
        <f>'[1]Electricity and CHPs_IN'!J$96</f>
        <v>1.5212178433908838E-4</v>
      </c>
      <c r="O460" s="1">
        <f>'[1]Electricity and CHPs_IN'!K$96</f>
        <v>1.6685930856070156E-4</v>
      </c>
      <c r="P460" s="1">
        <f>'[1]Electricity and CHPs_IN'!L$96</f>
        <v>1.6946947839944536E-4</v>
      </c>
      <c r="Q460" s="1">
        <f>'[1]Electricity and CHPs_IN'!M$96</f>
        <v>3.6854804703089178E-4</v>
      </c>
      <c r="S460" s="3"/>
    </row>
    <row r="461" spans="1:19" x14ac:dyDescent="0.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82">G462</f>
        <v>1.3131674982266976</v>
      </c>
      <c r="H461" s="1">
        <f>H462</f>
        <v>1.3529579214388443</v>
      </c>
      <c r="I461" s="1">
        <f t="shared" ref="I461" si="483">I462</f>
        <v>1.4787972184001406</v>
      </c>
      <c r="J461" s="1">
        <f t="shared" ref="J461" si="484">J462</f>
        <v>2.1234415546007153</v>
      </c>
      <c r="K461" s="1">
        <f t="shared" ref="K461:O461" si="485">K462</f>
        <v>2.2317585764673904</v>
      </c>
      <c r="L461" s="1">
        <f t="shared" si="485"/>
        <v>2.3456013666192912</v>
      </c>
      <c r="M461" s="1">
        <f t="shared" si="485"/>
        <v>2.8922904193282224</v>
      </c>
      <c r="N461" s="1">
        <f t="shared" si="485"/>
        <v>3.0398380366999311</v>
      </c>
      <c r="O461" s="1">
        <f t="shared" si="485"/>
        <v>4.5583179738528745</v>
      </c>
      <c r="P461" s="1">
        <f>P462</f>
        <v>4.7908389971732452</v>
      </c>
      <c r="Q461" s="1">
        <f>Q462</f>
        <v>5.0354347821015768</v>
      </c>
      <c r="S461" s="3"/>
    </row>
    <row r="462" spans="1:19" x14ac:dyDescent="0.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1.3131674982266976</v>
      </c>
      <c r="H462" s="1">
        <f>'[1]Electricity and CHPs_IN'!D$97</f>
        <v>1.3529579214388443</v>
      </c>
      <c r="I462" s="1">
        <f>'[1]Electricity and CHPs_IN'!E$97</f>
        <v>1.4787972184001406</v>
      </c>
      <c r="J462" s="1">
        <f>'[1]Electricity and CHPs_IN'!F$97</f>
        <v>2.1234415546007153</v>
      </c>
      <c r="K462" s="1">
        <f>'[1]Electricity and CHPs_IN'!G$97</f>
        <v>2.2317585764673904</v>
      </c>
      <c r="L462" s="1">
        <f>'[1]Electricity and CHPs_IN'!H$97</f>
        <v>2.3456013666192912</v>
      </c>
      <c r="M462" s="1">
        <f>'[1]Electricity and CHPs_IN'!I$97</f>
        <v>2.8922904193282224</v>
      </c>
      <c r="N462" s="1">
        <f>'[1]Electricity and CHPs_IN'!J$97</f>
        <v>3.0398380366999311</v>
      </c>
      <c r="O462" s="1">
        <f>'[1]Electricity and CHPs_IN'!K$97</f>
        <v>4.5583179738528745</v>
      </c>
      <c r="P462" s="1">
        <f>'[1]Electricity and CHPs_IN'!L$97</f>
        <v>4.7908389971732452</v>
      </c>
      <c r="Q462" s="1">
        <f>'[1]Electricity and CHPs_IN'!M$97</f>
        <v>5.0354347821015768</v>
      </c>
      <c r="S462" s="3"/>
    </row>
    <row r="463" spans="1:19" x14ac:dyDescent="0.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7.8816325747175737</v>
      </c>
      <c r="G463" s="1">
        <f t="shared" ref="G463:K463" si="486">SUM(G464,G470,G503,G512,G518)</f>
        <v>8.2235233151578839</v>
      </c>
      <c r="H463" s="1">
        <f t="shared" si="486"/>
        <v>11.806337532440116</v>
      </c>
      <c r="I463" s="1">
        <f t="shared" si="486"/>
        <v>12.978479870502616</v>
      </c>
      <c r="J463" s="1">
        <f t="shared" si="486"/>
        <v>13.224746480986557</v>
      </c>
      <c r="K463" s="1">
        <f t="shared" si="486"/>
        <v>15.591677776205147</v>
      </c>
      <c r="L463" s="1">
        <f t="shared" ref="L463:O463" si="487">SUM(L464,L470,L503,L512,L518)</f>
        <v>25.659784372258279</v>
      </c>
      <c r="M463" s="1">
        <f t="shared" si="487"/>
        <v>28.096048936215588</v>
      </c>
      <c r="N463" s="1">
        <f t="shared" si="487"/>
        <v>28.525577742541774</v>
      </c>
      <c r="O463" s="1">
        <f t="shared" si="487"/>
        <v>29.420015793472892</v>
      </c>
      <c r="P463" s="1">
        <f>SUM(P464,P470,P503,P512,P518)</f>
        <v>30.990668126469238</v>
      </c>
      <c r="Q463" s="1">
        <f>SUM(Q464,Q470,Q503,Q512,Q518)</f>
        <v>32.503026567545632</v>
      </c>
      <c r="S463" s="3"/>
    </row>
    <row r="464" spans="1:19" x14ac:dyDescent="0.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0.27151443661524144</v>
      </c>
      <c r="G464" s="1">
        <f t="shared" ref="G464:O464" si="488">+G465</f>
        <v>0.64217744667145982</v>
      </c>
      <c r="H464" s="1">
        <f t="shared" si="488"/>
        <v>3.1723180937481943E-2</v>
      </c>
      <c r="I464" s="1">
        <f t="shared" si="488"/>
        <v>0.57561711697351448</v>
      </c>
      <c r="J464" s="1">
        <f t="shared" si="488"/>
        <v>0.54137799623685223</v>
      </c>
      <c r="K464" s="1">
        <f t="shared" si="488"/>
        <v>0</v>
      </c>
      <c r="L464" s="1">
        <f t="shared" si="488"/>
        <v>0</v>
      </c>
      <c r="M464" s="1">
        <f t="shared" si="488"/>
        <v>0</v>
      </c>
      <c r="N464" s="1">
        <f t="shared" si="488"/>
        <v>5.6072487776824952E-3</v>
      </c>
      <c r="O464" s="1">
        <f t="shared" si="488"/>
        <v>5.5002137602172697E-3</v>
      </c>
      <c r="P464" s="1">
        <f>+P465</f>
        <v>0.4490203896616502</v>
      </c>
      <c r="Q464" s="1">
        <f>+Q465</f>
        <v>0.44994167624614068</v>
      </c>
      <c r="S464" s="3"/>
    </row>
    <row r="465" spans="1:19" x14ac:dyDescent="0.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0.27151443661524144</v>
      </c>
      <c r="G465" s="1">
        <f>'[1]Electricity and CHPs_IN'!C$41-G301</f>
        <v>0.64217744667145982</v>
      </c>
      <c r="H465" s="1">
        <f>'[1]Electricity and CHPs_IN'!D$41-H301</f>
        <v>3.1723180937481943E-2</v>
      </c>
      <c r="I465" s="1">
        <f>'[1]Electricity and CHPs_IN'!E$41-I301</f>
        <v>0.57561711697351448</v>
      </c>
      <c r="J465" s="1">
        <f>'[1]Electricity and CHPs_IN'!F$41-J301</f>
        <v>0.54137799623685223</v>
      </c>
      <c r="K465" s="1">
        <f>'[1]Electricity and CHPs_IN'!G$41-K301</f>
        <v>0</v>
      </c>
      <c r="L465" s="1">
        <f>'[1]Electricity and CHPs_IN'!H$41-L301</f>
        <v>0</v>
      </c>
      <c r="M465" s="1">
        <f>'[1]Electricity and CHPs_IN'!I$41-M301</f>
        <v>0</v>
      </c>
      <c r="N465" s="1">
        <f>'[1]Electricity and CHPs_IN'!J$41-N301</f>
        <v>5.6072487776824952E-3</v>
      </c>
      <c r="O465" s="1">
        <f>'[1]Electricity and CHPs_IN'!K$41-O301</f>
        <v>5.5002137602172697E-3</v>
      </c>
      <c r="P465" s="1">
        <f>'[1]Electricity and CHPs_IN'!L$41-P301</f>
        <v>0.4490203896616502</v>
      </c>
      <c r="Q465" s="1">
        <f>'[1]Electricity and CHPs_IN'!M$41-Q301</f>
        <v>0.44994167624614068</v>
      </c>
      <c r="S465" s="3"/>
    </row>
    <row r="466" spans="1:19" x14ac:dyDescent="0.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0.27151443661524144</v>
      </c>
      <c r="G466" s="1">
        <f t="shared" ref="G466:O466" si="489">G467</f>
        <v>0.64217744667145982</v>
      </c>
      <c r="H466" s="1">
        <f t="shared" si="489"/>
        <v>3.1723180937481943E-2</v>
      </c>
      <c r="I466" s="1">
        <f t="shared" si="489"/>
        <v>0.57561711697351448</v>
      </c>
      <c r="J466" s="1">
        <f t="shared" si="489"/>
        <v>0.54137799623685223</v>
      </c>
      <c r="K466" s="1">
        <f t="shared" si="489"/>
        <v>0</v>
      </c>
      <c r="L466" s="1">
        <f t="shared" si="489"/>
        <v>0</v>
      </c>
      <c r="M466" s="1">
        <f t="shared" si="489"/>
        <v>0</v>
      </c>
      <c r="N466" s="1">
        <f t="shared" si="489"/>
        <v>5.6072487776824952E-3</v>
      </c>
      <c r="O466" s="1">
        <f t="shared" si="489"/>
        <v>5.5002137602172697E-3</v>
      </c>
      <c r="P466" s="1">
        <f>P467</f>
        <v>0.4490203896616502</v>
      </c>
      <c r="Q466" s="1">
        <f>Q467</f>
        <v>0.44994167624614068</v>
      </c>
      <c r="S466" s="3"/>
    </row>
    <row r="467" spans="1:19" x14ac:dyDescent="0.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0.27151443661524144</v>
      </c>
      <c r="G467" s="1">
        <f t="shared" ref="G467:K467" si="490">G465-G469</f>
        <v>0.64217744667145982</v>
      </c>
      <c r="H467" s="1">
        <f t="shared" si="490"/>
        <v>3.1723180937481943E-2</v>
      </c>
      <c r="I467" s="1">
        <f t="shared" si="490"/>
        <v>0.57561711697351448</v>
      </c>
      <c r="J467" s="1">
        <f t="shared" si="490"/>
        <v>0.54137799623685223</v>
      </c>
      <c r="K467" s="1">
        <f t="shared" si="490"/>
        <v>0</v>
      </c>
      <c r="L467" s="1">
        <f t="shared" ref="L467:O467" si="491">L465-L469</f>
        <v>0</v>
      </c>
      <c r="M467" s="1">
        <f t="shared" si="491"/>
        <v>0</v>
      </c>
      <c r="N467" s="1">
        <f t="shared" si="491"/>
        <v>5.6072487776824952E-3</v>
      </c>
      <c r="O467" s="1">
        <f t="shared" si="491"/>
        <v>5.5002137602172697E-3</v>
      </c>
      <c r="P467" s="1">
        <f>P465-P469</f>
        <v>0.4490203896616502</v>
      </c>
      <c r="Q467" s="1">
        <f>Q465-Q469</f>
        <v>0.44994167624614068</v>
      </c>
      <c r="S467" s="3"/>
    </row>
    <row r="468" spans="1:19" x14ac:dyDescent="0.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O468" si="492">G469</f>
        <v>0</v>
      </c>
      <c r="H468" s="1">
        <f t="shared" si="492"/>
        <v>0</v>
      </c>
      <c r="I468" s="1">
        <f t="shared" si="492"/>
        <v>0</v>
      </c>
      <c r="J468" s="1">
        <f t="shared" si="492"/>
        <v>0</v>
      </c>
      <c r="K468" s="1">
        <f t="shared" si="492"/>
        <v>0</v>
      </c>
      <c r="L468" s="1">
        <f t="shared" si="492"/>
        <v>0</v>
      </c>
      <c r="M468" s="1">
        <f t="shared" si="492"/>
        <v>0</v>
      </c>
      <c r="N468" s="1">
        <f t="shared" si="492"/>
        <v>0</v>
      </c>
      <c r="O468" s="1">
        <f t="shared" si="492"/>
        <v>0</v>
      </c>
      <c r="P468" s="1">
        <f>P469</f>
        <v>0</v>
      </c>
      <c r="Q468" s="1">
        <f>Q469</f>
        <v>0</v>
      </c>
      <c r="S468" s="3"/>
    </row>
    <row r="469" spans="1:19" x14ac:dyDescent="0.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93">IFERROR(G309/G301,0)*G465</f>
        <v>0</v>
      </c>
      <c r="H469" s="1">
        <f t="shared" si="493"/>
        <v>0</v>
      </c>
      <c r="I469" s="1">
        <f t="shared" si="493"/>
        <v>0</v>
      </c>
      <c r="J469" s="1">
        <f t="shared" si="493"/>
        <v>0</v>
      </c>
      <c r="K469" s="1">
        <f t="shared" si="493"/>
        <v>0</v>
      </c>
      <c r="L469" s="1">
        <f t="shared" ref="L469:O469" si="494">IFERROR(L309/L301,0)*L465</f>
        <v>0</v>
      </c>
      <c r="M469" s="1">
        <f t="shared" si="494"/>
        <v>0</v>
      </c>
      <c r="N469" s="1">
        <f t="shared" si="494"/>
        <v>0</v>
      </c>
      <c r="O469" s="1">
        <f t="shared" si="494"/>
        <v>0</v>
      </c>
      <c r="P469" s="1">
        <f>IFERROR(P309/P301,0)*P465</f>
        <v>0</v>
      </c>
      <c r="Q469" s="1">
        <f>IFERROR(Q309/Q301,0)*Q465</f>
        <v>0</v>
      </c>
      <c r="S469" s="3"/>
    </row>
    <row r="470" spans="1:19" x14ac:dyDescent="0.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3.6008106819608257</v>
      </c>
      <c r="G470" s="1">
        <f t="shared" ref="G470:K470" si="495">SUM(G471:G480)</f>
        <v>3.4572533795126601</v>
      </c>
      <c r="H470" s="1">
        <f t="shared" si="495"/>
        <v>3.5797049037826323</v>
      </c>
      <c r="I470" s="1">
        <f t="shared" si="495"/>
        <v>4.1636020500409483</v>
      </c>
      <c r="J470" s="1">
        <f t="shared" si="495"/>
        <v>3.8283904179506072</v>
      </c>
      <c r="K470" s="1">
        <f t="shared" si="495"/>
        <v>3.8360813981691004</v>
      </c>
      <c r="L470" s="1">
        <f t="shared" ref="L470:O470" si="496">SUM(L471:L480)</f>
        <v>4.6040252843813096</v>
      </c>
      <c r="M470" s="1">
        <f t="shared" si="496"/>
        <v>6.1710696601805459</v>
      </c>
      <c r="N470" s="1">
        <f t="shared" si="496"/>
        <v>6.7057135239110242</v>
      </c>
      <c r="O470" s="1">
        <f t="shared" si="496"/>
        <v>7.49403325944321</v>
      </c>
      <c r="P470" s="1">
        <f>SUM(P471:P480)</f>
        <v>8.6621474734559083</v>
      </c>
      <c r="Q470" s="1">
        <f>SUM(Q471:Q480)</f>
        <v>10.101799936296205</v>
      </c>
      <c r="S470" s="3"/>
    </row>
    <row r="471" spans="1:19" x14ac:dyDescent="0.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1.022789058777994</v>
      </c>
      <c r="G471" s="1">
        <f>'[1]Electricity and CHPs_IN'!C$39-G316</f>
        <v>0.64598875533779154</v>
      </c>
      <c r="H471" s="1">
        <f>'[1]Electricity and CHPs_IN'!D$39-H316</f>
        <v>7.8050273813452531E-2</v>
      </c>
      <c r="I471" s="1">
        <f>'[1]Electricity and CHPs_IN'!E$39-I316</f>
        <v>0.52090521976525617</v>
      </c>
      <c r="J471" s="1">
        <f>'[1]Electricity and CHPs_IN'!F$39-J316</f>
        <v>0.38333469604879644</v>
      </c>
      <c r="K471" s="1">
        <f>'[1]Electricity and CHPs_IN'!G$39-K316</f>
        <v>0.98942877973546495</v>
      </c>
      <c r="L471" s="1">
        <f>'[1]Electricity and CHPs_IN'!H$39-L316</f>
        <v>1.0280702406223505</v>
      </c>
      <c r="M471" s="1">
        <f>'[1]Electricity and CHPs_IN'!I$39-M316</f>
        <v>1.0235438738289837</v>
      </c>
      <c r="N471" s="1">
        <f>'[1]Electricity and CHPs_IN'!J$39-N316</f>
        <v>1.0231136905440523</v>
      </c>
      <c r="O471" s="1">
        <f>'[1]Electricity and CHPs_IN'!K$39-O316</f>
        <v>0.74697745096089485</v>
      </c>
      <c r="P471" s="1">
        <f>'[1]Electricity and CHPs_IN'!L$39-P316</f>
        <v>1.0251458715741215</v>
      </c>
      <c r="Q471" s="1">
        <f>'[1]Electricity and CHPs_IN'!M$39-Q316</f>
        <v>1.0483074147417255</v>
      </c>
      <c r="S471" s="3"/>
    </row>
    <row r="472" spans="1:19" x14ac:dyDescent="0.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'[1]Electricity and CHPs_IN'!F$40-J317</f>
        <v>0</v>
      </c>
      <c r="K472" s="6">
        <f>'[1]Electricity and CHPs_IN'!G$40-K317</f>
        <v>3.0149572429384592E-3</v>
      </c>
      <c r="L472" s="6">
        <f>'[1]Electricity and CHPs_IN'!H$40-L317</f>
        <v>0.39996357871816279</v>
      </c>
      <c r="M472" s="6">
        <f>'[1]Electricity and CHPs_IN'!I$40-M317</f>
        <v>0.39857147987408958</v>
      </c>
      <c r="N472" s="6">
        <f>'[1]Electricity and CHPs_IN'!J$40-N317</f>
        <v>0.3983757645384105</v>
      </c>
      <c r="O472" s="6">
        <f>'[1]Electricity and CHPs_IN'!K$40-O317</f>
        <v>0.29164606244610125</v>
      </c>
      <c r="P472" s="6">
        <f>'[1]Electricity and CHPs_IN'!L$40-P317</f>
        <v>0.3998494401709467</v>
      </c>
      <c r="Q472" s="6">
        <f>'[1]Electricity and CHPs_IN'!M$40-Q317</f>
        <v>0.41145171956630111</v>
      </c>
      <c r="S472" s="3"/>
    </row>
    <row r="473" spans="1:19" x14ac:dyDescent="0.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'[1]Electricity and CHPs_IN'!$B$47-J318</f>
        <v>0</v>
      </c>
      <c r="K473" s="6">
        <f>'[1]Electricity and CHPs_IN'!$B$47-K318</f>
        <v>0</v>
      </c>
      <c r="L473" s="6">
        <f>'[1]Electricity and CHPs_IN'!$B$47-L318</f>
        <v>0</v>
      </c>
      <c r="M473" s="6">
        <f>'[1]Electricity and CHPs_IN'!$B$47-M318</f>
        <v>0</v>
      </c>
      <c r="N473" s="6">
        <f>'[1]Electricity and CHPs_IN'!$B$47-N318</f>
        <v>0</v>
      </c>
      <c r="O473" s="6">
        <f>'[1]Electricity and CHPs_IN'!$B$47-O318</f>
        <v>0</v>
      </c>
      <c r="P473" s="6">
        <f>'[1]Electricity and CHPs_IN'!$B$47-P318</f>
        <v>0</v>
      </c>
      <c r="Q473" s="6">
        <f>'[1]Electricity and CHPs_IN'!$B$47-Q318</f>
        <v>0</v>
      </c>
      <c r="S473" s="3"/>
    </row>
    <row r="474" spans="1:19" x14ac:dyDescent="0.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3.8135828130741858E-2</v>
      </c>
      <c r="G474" s="1">
        <f>'[1]Electricity and CHPs_IN'!C$48-G319</f>
        <v>4.4868173966072103E-3</v>
      </c>
      <c r="H474" s="1">
        <f>'[1]Electricity and CHPs_IN'!D$48-H319</f>
        <v>1.0676527155243375E-2</v>
      </c>
      <c r="I474" s="1">
        <f>'[1]Electricity and CHPs_IN'!E$48-I319</f>
        <v>7.4494693945639486E-3</v>
      </c>
      <c r="J474" s="1">
        <f>'[1]Electricity and CHPs_IN'!F$48-J319</f>
        <v>7.1044471081392569E-3</v>
      </c>
      <c r="K474" s="1">
        <f>'[1]Electricity and CHPs_IN'!G$48-K319</f>
        <v>5.2392002682112668E-3</v>
      </c>
      <c r="L474" s="1">
        <f>'[1]Electricity and CHPs_IN'!H$48-L319</f>
        <v>0</v>
      </c>
      <c r="M474" s="1">
        <f>'[1]Electricity and CHPs_IN'!I$48-M319</f>
        <v>0</v>
      </c>
      <c r="N474" s="1">
        <f>'[1]Electricity and CHPs_IN'!J$48-N319</f>
        <v>3.0246814290687198E-3</v>
      </c>
      <c r="O474" s="1">
        <f>'[1]Electricity and CHPs_IN'!K$48-O319</f>
        <v>4.4181432758113289E-3</v>
      </c>
      <c r="P474" s="1">
        <f>'[1]Electricity and CHPs_IN'!L$48-P319</f>
        <v>4.4346110102558246E-3</v>
      </c>
      <c r="Q474" s="1">
        <f>'[1]Electricity and CHPs_IN'!M$48-Q319</f>
        <v>5.3196608768198627E-3</v>
      </c>
      <c r="S474" s="3"/>
    </row>
    <row r="475" spans="1:19" x14ac:dyDescent="0.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'[1]Electricity and CHPs_IN'!F$49-J320</f>
        <v>0</v>
      </c>
      <c r="K475" s="6">
        <f>'[1]Electricity and CHPs_IN'!G$49-K320</f>
        <v>0</v>
      </c>
      <c r="L475" s="6">
        <f>'[1]Electricity and CHPs_IN'!H$49-L320</f>
        <v>0</v>
      </c>
      <c r="M475" s="6">
        <f>'[1]Electricity and CHPs_IN'!I$49-M320</f>
        <v>0</v>
      </c>
      <c r="N475" s="6">
        <f>'[1]Electricity and CHPs_IN'!J$49-N320</f>
        <v>0</v>
      </c>
      <c r="O475" s="6">
        <f>'[1]Electricity and CHPs_IN'!K$49-O320</f>
        <v>0</v>
      </c>
      <c r="P475" s="6">
        <f>'[1]Electricity and CHPs_IN'!L$49-P320</f>
        <v>0</v>
      </c>
      <c r="Q475" s="6">
        <f>'[1]Electricity and CHPs_IN'!M$49-Q320</f>
        <v>0</v>
      </c>
      <c r="S475" s="3"/>
    </row>
    <row r="476" spans="1:19" x14ac:dyDescent="0.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6.8729158212237018E-2</v>
      </c>
      <c r="G476" s="1">
        <f>'[1]Electricity and CHPs_IN'!C$51-G321</f>
        <v>6.7925147884891984E-2</v>
      </c>
      <c r="H476" s="1">
        <f>'[1]Electricity and CHPs_IN'!D$51-H321</f>
        <v>0.26698488098569195</v>
      </c>
      <c r="I476" s="1">
        <f>'[1]Electricity and CHPs_IN'!E$51-I321</f>
        <v>0.25810130211858373</v>
      </c>
      <c r="J476" s="1">
        <f>'[1]Electricity and CHPs_IN'!F$51-J321</f>
        <v>0.25762459980506319</v>
      </c>
      <c r="K476" s="1">
        <f>'[1]Electricity and CHPs_IN'!G$51-K321</f>
        <v>0.10707063563718389</v>
      </c>
      <c r="L476" s="1">
        <f>'[1]Electricity and CHPs_IN'!H$51-L321</f>
        <v>0</v>
      </c>
      <c r="M476" s="1">
        <f>'[1]Electricity and CHPs_IN'!I$51-M321</f>
        <v>0</v>
      </c>
      <c r="N476" s="1">
        <f>'[1]Electricity and CHPs_IN'!J$51-N321</f>
        <v>3.3055155723528424E-3</v>
      </c>
      <c r="O476" s="1">
        <f>'[1]Electricity and CHPs_IN'!K$51-O321</f>
        <v>8.005973204761754E-3</v>
      </c>
      <c r="P476" s="1">
        <f>'[1]Electricity and CHPs_IN'!L$51-P321</f>
        <v>5.4829374547193666E-3</v>
      </c>
      <c r="Q476" s="1">
        <f>'[1]Electricity and CHPs_IN'!M$51-Q321</f>
        <v>7.7271600184329638E-3</v>
      </c>
      <c r="S476" s="3"/>
    </row>
    <row r="477" spans="1:19" x14ac:dyDescent="0.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'[1]Electricity and CHPs_IN'!F$52-J322</f>
        <v>0</v>
      </c>
      <c r="K477" s="1">
        <f>'[1]Electricity and CHPs_IN'!G$52-K322</f>
        <v>0</v>
      </c>
      <c r="L477" s="1">
        <f>'[1]Electricity and CHPs_IN'!H$52-L322</f>
        <v>0</v>
      </c>
      <c r="M477" s="1">
        <f>'[1]Electricity and CHPs_IN'!I$52-M322</f>
        <v>0</v>
      </c>
      <c r="N477" s="1">
        <f>'[1]Electricity and CHPs_IN'!J$52-N322</f>
        <v>0</v>
      </c>
      <c r="O477" s="1">
        <f>'[1]Electricity and CHPs_IN'!K$52-O322</f>
        <v>0</v>
      </c>
      <c r="P477" s="1">
        <f>'[1]Electricity and CHPs_IN'!L$52-P322</f>
        <v>0</v>
      </c>
      <c r="Q477" s="1">
        <f>'[1]Electricity and CHPs_IN'!M$52-Q322</f>
        <v>0</v>
      </c>
      <c r="S477" s="3"/>
    </row>
    <row r="478" spans="1:19" x14ac:dyDescent="0.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1.5806936451067939</v>
      </c>
      <c r="G478" s="1">
        <f>'[1]Electricity and CHPs_IN'!C$54-G323</f>
        <v>1.7910480540979361</v>
      </c>
      <c r="H478" s="1">
        <f>'[1]Electricity and CHPs_IN'!D$54-H323</f>
        <v>1.7420522970234718</v>
      </c>
      <c r="I478" s="1">
        <f>'[1]Electricity and CHPs_IN'!E$54-I323</f>
        <v>1.6521489876648277</v>
      </c>
      <c r="J478" s="1">
        <f>'[1]Electricity and CHPs_IN'!F$54-J323</f>
        <v>1.5400889777680151</v>
      </c>
      <c r="K478" s="1">
        <f>'[1]Electricity and CHPs_IN'!G$54-K323</f>
        <v>1.7080083892247984</v>
      </c>
      <c r="L478" s="1">
        <f>'[1]Electricity and CHPs_IN'!H$54-L323</f>
        <v>3.1759914650407968</v>
      </c>
      <c r="M478" s="1">
        <f>'[1]Electricity and CHPs_IN'!I$54-M323</f>
        <v>4.7489543064774722</v>
      </c>
      <c r="N478" s="1">
        <f>'[1]Electricity and CHPs_IN'!J$54-N323</f>
        <v>5.2763697219701635</v>
      </c>
      <c r="O478" s="1">
        <f>'[1]Electricity and CHPs_IN'!K$54-O323</f>
        <v>6.4413803789224504</v>
      </c>
      <c r="P478" s="1">
        <f>'[1]Electricity and CHPs_IN'!L$54-P323</f>
        <v>7.2260591060279289</v>
      </c>
      <c r="Q478" s="1">
        <f>'[1]Electricity and CHPs_IN'!M$54-Q323</f>
        <v>8.6269150602709637</v>
      </c>
      <c r="S478" s="3"/>
    </row>
    <row r="479" spans="1:19" x14ac:dyDescent="0.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0.89046299173305932</v>
      </c>
      <c r="G479" s="1">
        <f>'[1]Electricity and CHPs_IN'!C$55-G324</f>
        <v>0.94780460479543327</v>
      </c>
      <c r="H479" s="1">
        <f>'[1]Electricity and CHPs_IN'!D$55-H324</f>
        <v>1.4819409248047726</v>
      </c>
      <c r="I479" s="1">
        <f>'[1]Electricity and CHPs_IN'!E$55-I324</f>
        <v>1.7249970710977172</v>
      </c>
      <c r="J479" s="1">
        <f>'[1]Electricity and CHPs_IN'!F$55-J324</f>
        <v>1.640237697220593</v>
      </c>
      <c r="K479" s="1">
        <f>'[1]Electricity and CHPs_IN'!G$55-K324</f>
        <v>1.0233194360605038</v>
      </c>
      <c r="L479" s="1">
        <f>'[1]Electricity and CHPs_IN'!H$55-L324</f>
        <v>0</v>
      </c>
      <c r="M479" s="1">
        <f>'[1]Electricity and CHPs_IN'!I$55-M324</f>
        <v>0</v>
      </c>
      <c r="N479" s="1">
        <f>'[1]Electricity and CHPs_IN'!J$55-N324</f>
        <v>1.3824288925133792E-3</v>
      </c>
      <c r="O479" s="1">
        <f>'[1]Electricity and CHPs_IN'!K$55-O324</f>
        <v>1.3799672201852127E-3</v>
      </c>
      <c r="P479" s="1">
        <f>'[1]Electricity and CHPs_IN'!L$55-P324</f>
        <v>9.9202503573186094E-4</v>
      </c>
      <c r="Q479" s="1">
        <f>'[1]Electricity and CHPs_IN'!M$55-Q324</f>
        <v>1.708530470122254E-3</v>
      </c>
      <c r="S479" s="3"/>
    </row>
    <row r="480" spans="1:19" x14ac:dyDescent="0.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0</v>
      </c>
      <c r="J480" s="1">
        <f>'[1]Electricity and CHPs_IN'!F$58-J325</f>
        <v>0</v>
      </c>
      <c r="K480" s="1">
        <f>'[1]Electricity and CHPs_IN'!G$58-K325</f>
        <v>0</v>
      </c>
      <c r="L480" s="1">
        <f>'[1]Electricity and CHPs_IN'!H$58-L325</f>
        <v>0</v>
      </c>
      <c r="M480" s="1">
        <f>'[1]Electricity and CHPs_IN'!I$58-M325</f>
        <v>0</v>
      </c>
      <c r="N480" s="1">
        <f>'[1]Electricity and CHPs_IN'!J$58-N325</f>
        <v>1.4172096446344137E-4</v>
      </c>
      <c r="O480" s="1">
        <f>'[1]Electricity and CHPs_IN'!K$58-O325</f>
        <v>2.2528341300541584E-4</v>
      </c>
      <c r="P480" s="1">
        <f>'[1]Electricity and CHPs_IN'!L$58-P325</f>
        <v>1.8348218220323969E-4</v>
      </c>
      <c r="Q480" s="1">
        <f>'[1]Electricity and CHPs_IN'!M$58-Q325</f>
        <v>3.7039035184076026E-4</v>
      </c>
      <c r="S480" s="3"/>
    </row>
    <row r="481" spans="1:19" x14ac:dyDescent="0.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1.9683950415988445</v>
      </c>
      <c r="G481" s="1">
        <f t="shared" ref="G481:K481" si="497">SUM(G482:G491)</f>
        <v>1.5955451403296368</v>
      </c>
      <c r="H481" s="1">
        <f t="shared" si="497"/>
        <v>1.7060972393127485</v>
      </c>
      <c r="I481" s="1">
        <f t="shared" si="497"/>
        <v>2.4576273372307371</v>
      </c>
      <c r="J481" s="1">
        <f t="shared" si="497"/>
        <v>2.2223785142356025</v>
      </c>
      <c r="K481" s="1">
        <f t="shared" si="497"/>
        <v>1.9644467265659322</v>
      </c>
      <c r="L481" s="1">
        <f t="shared" ref="L481:O481" si="498">SUM(L482:L491)</f>
        <v>1.1328806438142389</v>
      </c>
      <c r="M481" s="1">
        <f t="shared" si="498"/>
        <v>0.39324708429748972</v>
      </c>
      <c r="N481" s="1">
        <f t="shared" si="498"/>
        <v>2.6988796791690209E-3</v>
      </c>
      <c r="O481" s="1">
        <f t="shared" si="498"/>
        <v>3.27166061967352E-3</v>
      </c>
      <c r="P481" s="1">
        <f>SUM(P482:P491)</f>
        <v>3.2638043936760192E-3</v>
      </c>
      <c r="Q481" s="1">
        <f>SUM(Q482:Q491)</f>
        <v>4.6988413844265397E-3</v>
      </c>
      <c r="S481" s="3"/>
    </row>
    <row r="482" spans="1:19" x14ac:dyDescent="0.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99">F471-F493</f>
        <v>0.99660211520983477</v>
      </c>
      <c r="G482" s="1">
        <f t="shared" ref="G482:K482" si="500">G471-G493</f>
        <v>0.61859376126424181</v>
      </c>
      <c r="H482" s="1">
        <f t="shared" si="500"/>
        <v>7.2462747415342893E-2</v>
      </c>
      <c r="I482" s="1">
        <f t="shared" si="500"/>
        <v>0.5097411245225788</v>
      </c>
      <c r="J482" s="1">
        <f t="shared" si="500"/>
        <v>0.37229133247056079</v>
      </c>
      <c r="K482" s="1">
        <f t="shared" si="500"/>
        <v>0.91335218263290829</v>
      </c>
      <c r="L482" s="1">
        <f t="shared" ref="L482:O482" si="501">L471-L493</f>
        <v>0.81558353892513169</v>
      </c>
      <c r="M482" s="1">
        <f t="shared" si="501"/>
        <v>0.28303304861009582</v>
      </c>
      <c r="N482" s="1">
        <f t="shared" si="501"/>
        <v>1.9318380540354063E-3</v>
      </c>
      <c r="O482" s="1">
        <f t="shared" si="501"/>
        <v>2.3216168932002068E-3</v>
      </c>
      <c r="P482" s="1">
        <f t="shared" ref="P482:Q488" si="502">P471-P493</f>
        <v>2.3298535631166573E-3</v>
      </c>
      <c r="Q482" s="1">
        <f t="shared" si="502"/>
        <v>3.3398066141030469E-3</v>
      </c>
      <c r="S482" s="3"/>
    </row>
    <row r="483" spans="1:19" x14ac:dyDescent="0.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99"/>
        <v>0</v>
      </c>
      <c r="G483" s="1">
        <f t="shared" ref="G483:K483" si="503">G472-G494</f>
        <v>0</v>
      </c>
      <c r="H483" s="1">
        <f t="shared" si="503"/>
        <v>0</v>
      </c>
      <c r="I483" s="1">
        <f t="shared" si="503"/>
        <v>0</v>
      </c>
      <c r="J483" s="1">
        <f t="shared" si="503"/>
        <v>0</v>
      </c>
      <c r="K483" s="1">
        <f t="shared" si="503"/>
        <v>2.7831389532847173E-3</v>
      </c>
      <c r="L483" s="1">
        <f t="shared" ref="L483:O483" si="504">L472-L494</f>
        <v>0.31729710488910728</v>
      </c>
      <c r="M483" s="1">
        <f t="shared" si="504"/>
        <v>0.11021403568739391</v>
      </c>
      <c r="N483" s="1">
        <f t="shared" si="504"/>
        <v>7.5221108744177867E-4</v>
      </c>
      <c r="O483" s="1">
        <f t="shared" si="504"/>
        <v>9.0644024734509721E-4</v>
      </c>
      <c r="P483" s="1">
        <f t="shared" si="502"/>
        <v>9.0873959377313351E-4</v>
      </c>
      <c r="Q483" s="1">
        <f t="shared" si="502"/>
        <v>1.3108456117618128E-3</v>
      </c>
      <c r="S483" s="3"/>
    </row>
    <row r="484" spans="1:19" x14ac:dyDescent="0.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99"/>
        <v>0</v>
      </c>
      <c r="G484" s="1">
        <f t="shared" ref="G484:K484" si="505">G473-G495</f>
        <v>0</v>
      </c>
      <c r="H484" s="1">
        <f t="shared" si="505"/>
        <v>0</v>
      </c>
      <c r="I484" s="1">
        <f t="shared" si="505"/>
        <v>0</v>
      </c>
      <c r="J484" s="1">
        <f t="shared" si="505"/>
        <v>0</v>
      </c>
      <c r="K484" s="1">
        <f t="shared" si="505"/>
        <v>0</v>
      </c>
      <c r="L484" s="1">
        <f t="shared" ref="L484:O484" si="506">L473-L495</f>
        <v>0</v>
      </c>
      <c r="M484" s="1">
        <f t="shared" si="506"/>
        <v>0</v>
      </c>
      <c r="N484" s="1">
        <f t="shared" si="506"/>
        <v>0</v>
      </c>
      <c r="O484" s="1">
        <f t="shared" si="506"/>
        <v>0</v>
      </c>
      <c r="P484" s="1">
        <f t="shared" si="502"/>
        <v>0</v>
      </c>
      <c r="Q484" s="1">
        <f t="shared" si="502"/>
        <v>0</v>
      </c>
      <c r="S484" s="3"/>
    </row>
    <row r="485" spans="1:19" x14ac:dyDescent="0.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99"/>
        <v>3.7159418801160318E-2</v>
      </c>
      <c r="G485" s="1">
        <f t="shared" ref="G485:K485" si="507">G474-G496</f>
        <v>4.2965411186170754E-3</v>
      </c>
      <c r="H485" s="1">
        <f t="shared" si="507"/>
        <v>9.912207257242265E-3</v>
      </c>
      <c r="I485" s="1">
        <f t="shared" si="507"/>
        <v>7.2898115860555203E-3</v>
      </c>
      <c r="J485" s="1">
        <f t="shared" si="507"/>
        <v>6.8997774206671384E-3</v>
      </c>
      <c r="K485" s="1">
        <f t="shared" si="507"/>
        <v>4.8363612401703792E-3</v>
      </c>
      <c r="L485" s="1">
        <f t="shared" ref="L485:O485" si="508">L474-L496</f>
        <v>0</v>
      </c>
      <c r="M485" s="1">
        <f t="shared" si="508"/>
        <v>0</v>
      </c>
      <c r="N485" s="1">
        <f t="shared" si="508"/>
        <v>5.7111880527194875E-6</v>
      </c>
      <c r="O485" s="1">
        <f t="shared" si="508"/>
        <v>1.373165421862145E-5</v>
      </c>
      <c r="P485" s="1">
        <f t="shared" si="502"/>
        <v>1.0078560085713222E-5</v>
      </c>
      <c r="Q485" s="1">
        <f t="shared" si="502"/>
        <v>1.6947927994542984E-5</v>
      </c>
      <c r="S485" s="3"/>
    </row>
    <row r="486" spans="1:19" x14ac:dyDescent="0.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99"/>
        <v>0</v>
      </c>
      <c r="G486" s="1">
        <f t="shared" ref="G486:K486" si="509">G475-G497</f>
        <v>0</v>
      </c>
      <c r="H486" s="1">
        <f t="shared" si="509"/>
        <v>0</v>
      </c>
      <c r="I486" s="1">
        <f t="shared" si="509"/>
        <v>0</v>
      </c>
      <c r="J486" s="1">
        <f t="shared" si="509"/>
        <v>0</v>
      </c>
      <c r="K486" s="1">
        <f t="shared" si="509"/>
        <v>0</v>
      </c>
      <c r="L486" s="1">
        <f t="shared" ref="L486:O486" si="510">L475-L497</f>
        <v>0</v>
      </c>
      <c r="M486" s="1">
        <f t="shared" si="510"/>
        <v>0</v>
      </c>
      <c r="N486" s="1">
        <f t="shared" si="510"/>
        <v>0</v>
      </c>
      <c r="O486" s="1">
        <f t="shared" si="510"/>
        <v>0</v>
      </c>
      <c r="P486" s="1">
        <f t="shared" si="502"/>
        <v>0</v>
      </c>
      <c r="Q486" s="1">
        <f t="shared" si="502"/>
        <v>0</v>
      </c>
      <c r="S486" s="3"/>
    </row>
    <row r="487" spans="1:19" x14ac:dyDescent="0.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99"/>
        <v>6.6969453635673304E-2</v>
      </c>
      <c r="G487" s="1">
        <f t="shared" ref="G487:K487" si="511">G476-G498</f>
        <v>6.5044588419458912E-2</v>
      </c>
      <c r="H487" s="1">
        <f t="shared" si="511"/>
        <v>0.24787175046715954</v>
      </c>
      <c r="I487" s="1">
        <f t="shared" si="511"/>
        <v>0.25256964797157899</v>
      </c>
      <c r="J487" s="1">
        <f t="shared" si="511"/>
        <v>0.25020277717416156</v>
      </c>
      <c r="K487" s="1">
        <f t="shared" si="511"/>
        <v>9.8838037419187327E-2</v>
      </c>
      <c r="L487" s="1">
        <f t="shared" ref="L487:O487" si="512">L476-L498</f>
        <v>0</v>
      </c>
      <c r="M487" s="1">
        <f t="shared" si="512"/>
        <v>0</v>
      </c>
      <c r="N487" s="1">
        <f t="shared" si="512"/>
        <v>6.2414576502069392E-6</v>
      </c>
      <c r="O487" s="1">
        <f t="shared" si="512"/>
        <v>2.4882682355101618E-5</v>
      </c>
      <c r="P487" s="1">
        <f t="shared" si="502"/>
        <v>1.2461096239512089E-5</v>
      </c>
      <c r="Q487" s="1">
        <f t="shared" si="502"/>
        <v>2.4617988745367046E-5</v>
      </c>
      <c r="S487" s="3"/>
    </row>
    <row r="488" spans="1:19" x14ac:dyDescent="0.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99"/>
        <v>0</v>
      </c>
      <c r="G488" s="1">
        <f t="shared" ref="G488:K488" si="513">G477-G499</f>
        <v>0</v>
      </c>
      <c r="H488" s="1">
        <f t="shared" si="513"/>
        <v>0</v>
      </c>
      <c r="I488" s="1">
        <f t="shared" si="513"/>
        <v>0</v>
      </c>
      <c r="J488" s="1">
        <f t="shared" si="513"/>
        <v>0</v>
      </c>
      <c r="K488" s="1">
        <f t="shared" si="513"/>
        <v>0</v>
      </c>
      <c r="L488" s="1">
        <f t="shared" ref="L488:O488" si="514">L477-L499</f>
        <v>0</v>
      </c>
      <c r="M488" s="1">
        <f t="shared" si="514"/>
        <v>0</v>
      </c>
      <c r="N488" s="1">
        <f t="shared" si="514"/>
        <v>0</v>
      </c>
      <c r="O488" s="1">
        <f t="shared" si="514"/>
        <v>0</v>
      </c>
      <c r="P488" s="1">
        <f t="shared" si="502"/>
        <v>0</v>
      </c>
      <c r="Q488" s="1">
        <f t="shared" si="502"/>
        <v>0</v>
      </c>
      <c r="S488" s="3"/>
    </row>
    <row r="489" spans="1:19" x14ac:dyDescent="0.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S489" s="3"/>
    </row>
    <row r="490" spans="1:19" x14ac:dyDescent="0.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0.86766405395217594</v>
      </c>
      <c r="G490" s="1">
        <f t="shared" ref="G490:K490" si="515">G479-G501</f>
        <v>0.90761024952731906</v>
      </c>
      <c r="H490" s="1">
        <f t="shared" si="515"/>
        <v>1.3758505341730038</v>
      </c>
      <c r="I490" s="1">
        <f t="shared" si="515"/>
        <v>1.6880267531505235</v>
      </c>
      <c r="J490" s="1">
        <f t="shared" si="515"/>
        <v>1.5929846271702131</v>
      </c>
      <c r="K490" s="1">
        <f t="shared" si="515"/>
        <v>0.9446370063203815</v>
      </c>
      <c r="L490" s="1">
        <f t="shared" ref="L490:O490" si="516">L479-L501</f>
        <v>0</v>
      </c>
      <c r="M490" s="1">
        <f t="shared" si="516"/>
        <v>0</v>
      </c>
      <c r="N490" s="1">
        <f t="shared" si="516"/>
        <v>2.6102951863884657E-6</v>
      </c>
      <c r="O490" s="1">
        <f t="shared" si="516"/>
        <v>4.2889583967004041E-6</v>
      </c>
      <c r="P490" s="1">
        <f>P479-P501</f>
        <v>2.2545796927921774E-6</v>
      </c>
      <c r="Q490" s="1">
        <f>Q479-Q501</f>
        <v>5.4432137789630058E-6</v>
      </c>
      <c r="S490" s="3"/>
    </row>
    <row r="491" spans="1:19" x14ac:dyDescent="0.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517">G480-G502</f>
        <v>0</v>
      </c>
      <c r="H491" s="1">
        <f t="shared" si="517"/>
        <v>0</v>
      </c>
      <c r="I491" s="1">
        <f t="shared" si="517"/>
        <v>0</v>
      </c>
      <c r="J491" s="1">
        <f t="shared" si="517"/>
        <v>0</v>
      </c>
      <c r="K491" s="1">
        <f t="shared" si="517"/>
        <v>0</v>
      </c>
      <c r="L491" s="1">
        <f t="shared" ref="L491:O491" si="518">L480-L502</f>
        <v>0</v>
      </c>
      <c r="M491" s="1">
        <f t="shared" si="518"/>
        <v>0</v>
      </c>
      <c r="N491" s="1">
        <f t="shared" si="518"/>
        <v>2.675968025210335E-7</v>
      </c>
      <c r="O491" s="1">
        <f t="shared" si="518"/>
        <v>7.0018415779265651E-7</v>
      </c>
      <c r="P491" s="1">
        <f>P480-P502</f>
        <v>4.1700076821091355E-7</v>
      </c>
      <c r="Q491" s="1">
        <f>Q480-Q502</f>
        <v>1.1800280428069399E-6</v>
      </c>
      <c r="S491" s="3"/>
    </row>
    <row r="492" spans="1:19" x14ac:dyDescent="0.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1.6324156403619818</v>
      </c>
      <c r="G492" s="1">
        <f t="shared" ref="G492:K492" si="519">SUM(G493:G502)</f>
        <v>1.8617082391830233</v>
      </c>
      <c r="H492" s="1">
        <f t="shared" si="519"/>
        <v>1.8736076644698834</v>
      </c>
      <c r="I492" s="1">
        <f t="shared" si="519"/>
        <v>1.7059747128102118</v>
      </c>
      <c r="J492" s="1">
        <f t="shared" si="519"/>
        <v>1.6060119037150045</v>
      </c>
      <c r="K492" s="1">
        <f t="shared" si="519"/>
        <v>1.8716346716031687</v>
      </c>
      <c r="L492" s="1">
        <f t="shared" ref="L492:O492" si="520">SUM(L493:L502)</f>
        <v>3.4711446405670712</v>
      </c>
      <c r="M492" s="1">
        <f t="shared" si="520"/>
        <v>5.7778225758830555</v>
      </c>
      <c r="N492" s="1">
        <f t="shared" si="520"/>
        <v>6.703014644231855</v>
      </c>
      <c r="O492" s="1">
        <f t="shared" si="520"/>
        <v>7.4907615988235365</v>
      </c>
      <c r="P492" s="1">
        <f>SUM(P493:P502)</f>
        <v>8.6588836690622326</v>
      </c>
      <c r="Q492" s="1">
        <f>SUM(Q493:Q502)</f>
        <v>10.09710109491178</v>
      </c>
      <c r="R492" s="8"/>
      <c r="S492" s="3"/>
    </row>
    <row r="493" spans="1:19" x14ac:dyDescent="0.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521">IFERROR(F348/F316,0)*F471</f>
        <v>2.6186943568159246E-2</v>
      </c>
      <c r="G493" s="1">
        <f t="shared" ref="G493:K493" si="522">IFERROR(G348/G316,0)*G471</f>
        <v>2.739499407354971E-2</v>
      </c>
      <c r="H493" s="1">
        <f t="shared" si="522"/>
        <v>5.5875263981096336E-3</v>
      </c>
      <c r="I493" s="1">
        <f t="shared" si="522"/>
        <v>1.116409524267732E-2</v>
      </c>
      <c r="J493" s="1">
        <f t="shared" si="522"/>
        <v>1.1043363578235663E-2</v>
      </c>
      <c r="K493" s="1">
        <f t="shared" si="522"/>
        <v>7.6076597102556709E-2</v>
      </c>
      <c r="L493" s="1">
        <f t="shared" ref="L493:O493" si="523">IFERROR(L348/L316,0)*L471</f>
        <v>0.21248670169721881</v>
      </c>
      <c r="M493" s="1">
        <f t="shared" si="523"/>
        <v>0.74051082521888789</v>
      </c>
      <c r="N493" s="1">
        <f t="shared" si="523"/>
        <v>1.0211818524900169</v>
      </c>
      <c r="O493" s="1">
        <f t="shared" si="523"/>
        <v>0.74465583406769464</v>
      </c>
      <c r="P493" s="1">
        <f t="shared" ref="P493:Q499" si="524">IFERROR(P348/P316,0)*P471</f>
        <v>1.0228160180110049</v>
      </c>
      <c r="Q493" s="1">
        <f t="shared" si="524"/>
        <v>1.0449676081276225</v>
      </c>
      <c r="S493" s="3"/>
    </row>
    <row r="494" spans="1:19" x14ac:dyDescent="0.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521"/>
        <v>0</v>
      </c>
      <c r="G494" s="1">
        <f t="shared" ref="G494:K494" si="525">IFERROR(G349/G317,0)*G472</f>
        <v>0</v>
      </c>
      <c r="H494" s="1">
        <f t="shared" si="525"/>
        <v>0</v>
      </c>
      <c r="I494" s="1">
        <f t="shared" si="525"/>
        <v>0</v>
      </c>
      <c r="J494" s="1">
        <f t="shared" si="525"/>
        <v>0</v>
      </c>
      <c r="K494" s="1">
        <f t="shared" si="525"/>
        <v>2.3181828965374203E-4</v>
      </c>
      <c r="L494" s="1">
        <f t="shared" ref="L494:O494" si="526">IFERROR(L349/L317,0)*L472</f>
        <v>8.2666473829055509E-2</v>
      </c>
      <c r="M494" s="1">
        <f t="shared" si="526"/>
        <v>0.28835744418669568</v>
      </c>
      <c r="N494" s="1">
        <f t="shared" si="526"/>
        <v>0.39762355345096873</v>
      </c>
      <c r="O494" s="1">
        <f t="shared" si="526"/>
        <v>0.29073962219875615</v>
      </c>
      <c r="P494" s="1">
        <f t="shared" si="524"/>
        <v>0.39894070057717357</v>
      </c>
      <c r="Q494" s="1">
        <f t="shared" si="524"/>
        <v>0.4101408739545393</v>
      </c>
      <c r="S494" s="3"/>
    </row>
    <row r="495" spans="1:19" x14ac:dyDescent="0.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521"/>
        <v>0</v>
      </c>
      <c r="G495" s="1">
        <f t="shared" ref="G495:K495" si="527">IFERROR(G350/G318,0)*G473</f>
        <v>0</v>
      </c>
      <c r="H495" s="1">
        <f t="shared" si="527"/>
        <v>0</v>
      </c>
      <c r="I495" s="1">
        <f t="shared" si="527"/>
        <v>0</v>
      </c>
      <c r="J495" s="1">
        <f t="shared" si="527"/>
        <v>0</v>
      </c>
      <c r="K495" s="1">
        <f t="shared" si="527"/>
        <v>0</v>
      </c>
      <c r="L495" s="1">
        <f t="shared" ref="L495:O495" si="528">IFERROR(L350/L318,0)*L473</f>
        <v>0</v>
      </c>
      <c r="M495" s="1">
        <f t="shared" si="528"/>
        <v>0</v>
      </c>
      <c r="N495" s="1">
        <f t="shared" si="528"/>
        <v>0</v>
      </c>
      <c r="O495" s="1">
        <f t="shared" si="528"/>
        <v>0</v>
      </c>
      <c r="P495" s="1">
        <f t="shared" si="524"/>
        <v>0</v>
      </c>
      <c r="Q495" s="1">
        <f t="shared" si="524"/>
        <v>0</v>
      </c>
      <c r="S495" s="3"/>
    </row>
    <row r="496" spans="1:19" x14ac:dyDescent="0.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521"/>
        <v>9.7640932958154112E-4</v>
      </c>
      <c r="G496" s="1">
        <f t="shared" ref="G496:K496" si="529">IFERROR(G351/G319,0)*G474</f>
        <v>1.9027627799013497E-4</v>
      </c>
      <c r="H496" s="1">
        <f t="shared" si="529"/>
        <v>7.643198980011106E-4</v>
      </c>
      <c r="I496" s="1">
        <f t="shared" si="529"/>
        <v>1.5965780850842799E-4</v>
      </c>
      <c r="J496" s="1">
        <f t="shared" si="529"/>
        <v>2.0466968747211834E-4</v>
      </c>
      <c r="K496" s="1">
        <f t="shared" si="529"/>
        <v>4.0283902804088726E-4</v>
      </c>
      <c r="L496" s="1">
        <f t="shared" ref="L496:O496" si="530">IFERROR(L351/L319,0)*L474</f>
        <v>0</v>
      </c>
      <c r="M496" s="1">
        <f t="shared" si="530"/>
        <v>0</v>
      </c>
      <c r="N496" s="1">
        <f t="shared" si="530"/>
        <v>3.0189702410160003E-3</v>
      </c>
      <c r="O496" s="1">
        <f t="shared" si="530"/>
        <v>4.4044116215927074E-3</v>
      </c>
      <c r="P496" s="1">
        <f t="shared" si="524"/>
        <v>4.4245324501701114E-3</v>
      </c>
      <c r="Q496" s="1">
        <f t="shared" si="524"/>
        <v>5.3027129488253198E-3</v>
      </c>
      <c r="S496" s="3"/>
    </row>
    <row r="497" spans="1:19" x14ac:dyDescent="0.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521"/>
        <v>0</v>
      </c>
      <c r="G497" s="1">
        <f t="shared" ref="G497:K497" si="531">IFERROR(G352/G320,0)*G475</f>
        <v>0</v>
      </c>
      <c r="H497" s="1">
        <f t="shared" si="531"/>
        <v>0</v>
      </c>
      <c r="I497" s="1">
        <f t="shared" si="531"/>
        <v>0</v>
      </c>
      <c r="J497" s="1">
        <f t="shared" si="531"/>
        <v>0</v>
      </c>
      <c r="K497" s="1">
        <f t="shared" si="531"/>
        <v>0</v>
      </c>
      <c r="L497" s="1">
        <f t="shared" ref="L497:O497" si="532">IFERROR(L352/L320,0)*L475</f>
        <v>0</v>
      </c>
      <c r="M497" s="1">
        <f t="shared" si="532"/>
        <v>0</v>
      </c>
      <c r="N497" s="1">
        <f t="shared" si="532"/>
        <v>0</v>
      </c>
      <c r="O497" s="1">
        <f t="shared" si="532"/>
        <v>0</v>
      </c>
      <c r="P497" s="1">
        <f t="shared" si="524"/>
        <v>0</v>
      </c>
      <c r="Q497" s="1">
        <f t="shared" si="524"/>
        <v>0</v>
      </c>
      <c r="S497" s="3"/>
    </row>
    <row r="498" spans="1:19" x14ac:dyDescent="0.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521"/>
        <v>1.7597045765637119E-3</v>
      </c>
      <c r="G498" s="1">
        <f t="shared" ref="G498:K498" si="533">IFERROR(G353/G321,0)*G476</f>
        <v>2.880559465433074E-3</v>
      </c>
      <c r="H498" s="1">
        <f t="shared" si="533"/>
        <v>1.9113130518532428E-2</v>
      </c>
      <c r="I498" s="1">
        <f t="shared" si="533"/>
        <v>5.5316541470047257E-3</v>
      </c>
      <c r="J498" s="1">
        <f t="shared" si="533"/>
        <v>7.4218226309016276E-3</v>
      </c>
      <c r="K498" s="1">
        <f t="shared" si="533"/>
        <v>8.2325982179965573E-3</v>
      </c>
      <c r="L498" s="1">
        <f t="shared" ref="L498:O498" si="534">IFERROR(L353/L321,0)*L476</f>
        <v>0</v>
      </c>
      <c r="M498" s="1">
        <f t="shared" si="534"/>
        <v>0</v>
      </c>
      <c r="N498" s="1">
        <f t="shared" si="534"/>
        <v>3.2992741147026355E-3</v>
      </c>
      <c r="O498" s="1">
        <f t="shared" si="534"/>
        <v>7.9810905224066524E-3</v>
      </c>
      <c r="P498" s="1">
        <f t="shared" si="524"/>
        <v>5.4704763584798545E-3</v>
      </c>
      <c r="Q498" s="1">
        <f t="shared" si="524"/>
        <v>7.7025420296875967E-3</v>
      </c>
      <c r="S498" s="3"/>
    </row>
    <row r="499" spans="1:19" x14ac:dyDescent="0.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521"/>
        <v>0</v>
      </c>
      <c r="G499" s="1">
        <f t="shared" ref="G499:K499" si="535">IFERROR(G354/G322,0)*G477</f>
        <v>0</v>
      </c>
      <c r="H499" s="1">
        <f t="shared" si="535"/>
        <v>0</v>
      </c>
      <c r="I499" s="1">
        <f t="shared" si="535"/>
        <v>0</v>
      </c>
      <c r="J499" s="1">
        <f t="shared" si="535"/>
        <v>0</v>
      </c>
      <c r="K499" s="1">
        <f t="shared" si="535"/>
        <v>0</v>
      </c>
      <c r="L499" s="1">
        <f t="shared" ref="L499:O499" si="536">IFERROR(L354/L322,0)*L477</f>
        <v>0</v>
      </c>
      <c r="M499" s="1">
        <f t="shared" si="536"/>
        <v>0</v>
      </c>
      <c r="N499" s="1">
        <f t="shared" si="536"/>
        <v>0</v>
      </c>
      <c r="O499" s="1">
        <f t="shared" si="536"/>
        <v>0</v>
      </c>
      <c r="P499" s="1">
        <f t="shared" si="524"/>
        <v>0</v>
      </c>
      <c r="Q499" s="1">
        <f t="shared" si="524"/>
        <v>0</v>
      </c>
      <c r="S499" s="3"/>
    </row>
    <row r="500" spans="1:19" x14ac:dyDescent="0.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1.5806936451067939</v>
      </c>
      <c r="G500" s="1">
        <f t="shared" ref="G500:K500" si="537">G478</f>
        <v>1.7910480540979361</v>
      </c>
      <c r="H500" s="1">
        <f t="shared" si="537"/>
        <v>1.7420522970234718</v>
      </c>
      <c r="I500" s="1">
        <f t="shared" si="537"/>
        <v>1.6521489876648277</v>
      </c>
      <c r="J500" s="1">
        <f t="shared" si="537"/>
        <v>1.5400889777680151</v>
      </c>
      <c r="K500" s="1">
        <f t="shared" si="537"/>
        <v>1.7080083892247984</v>
      </c>
      <c r="L500" s="1">
        <f t="shared" ref="L500:O500" si="538">L478</f>
        <v>3.1759914650407968</v>
      </c>
      <c r="M500" s="1">
        <f t="shared" si="538"/>
        <v>4.7489543064774722</v>
      </c>
      <c r="N500" s="1">
        <f t="shared" si="538"/>
        <v>5.2763697219701635</v>
      </c>
      <c r="O500" s="1">
        <f t="shared" si="538"/>
        <v>6.4413803789224504</v>
      </c>
      <c r="P500" s="1">
        <f>P478</f>
        <v>7.2260591060279289</v>
      </c>
      <c r="Q500" s="1">
        <f>Q478</f>
        <v>8.6269150602709637</v>
      </c>
      <c r="S500" s="3"/>
    </row>
    <row r="501" spans="1:19" x14ac:dyDescent="0.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2.2798937780883415E-2</v>
      </c>
      <c r="G501" s="1">
        <f t="shared" ref="G501:K501" si="539">IFERROR(G356/G324,0)*G479</f>
        <v>4.0194355268114233E-2</v>
      </c>
      <c r="H501" s="1">
        <f t="shared" si="539"/>
        <v>0.10609039063176862</v>
      </c>
      <c r="I501" s="1">
        <f t="shared" si="539"/>
        <v>3.6970317947193534E-2</v>
      </c>
      <c r="J501" s="1">
        <f t="shared" si="539"/>
        <v>4.7253070050379951E-2</v>
      </c>
      <c r="K501" s="1">
        <f t="shared" si="539"/>
        <v>7.8682429740122253E-2</v>
      </c>
      <c r="L501" s="1">
        <f t="shared" ref="L501:O501" si="540">IFERROR(L356/L324,0)*L479</f>
        <v>0</v>
      </c>
      <c r="M501" s="1">
        <f t="shared" si="540"/>
        <v>0</v>
      </c>
      <c r="N501" s="1">
        <f t="shared" si="540"/>
        <v>1.3798185973269907E-3</v>
      </c>
      <c r="O501" s="1">
        <f t="shared" si="540"/>
        <v>1.3756782617885123E-3</v>
      </c>
      <c r="P501" s="1">
        <f>IFERROR(P356/P324,0)*P479</f>
        <v>9.8977045603906876E-4</v>
      </c>
      <c r="Q501" s="1">
        <f>IFERROR(Q356/Q324,0)*Q479</f>
        <v>1.703087256343291E-3</v>
      </c>
      <c r="S501" s="3"/>
    </row>
    <row r="502" spans="1:19" x14ac:dyDescent="0.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41">IFERROR(G357/G325,0)*G480</f>
        <v>0</v>
      </c>
      <c r="H502" s="1">
        <f t="shared" si="541"/>
        <v>0</v>
      </c>
      <c r="I502" s="1">
        <f t="shared" si="541"/>
        <v>0</v>
      </c>
      <c r="J502" s="1">
        <f t="shared" si="541"/>
        <v>0</v>
      </c>
      <c r="K502" s="1">
        <f t="shared" si="541"/>
        <v>0</v>
      </c>
      <c r="L502" s="1">
        <f t="shared" ref="L502:O502" si="542">IFERROR(L357/L325,0)*L480</f>
        <v>0</v>
      </c>
      <c r="M502" s="1">
        <f t="shared" si="542"/>
        <v>0</v>
      </c>
      <c r="N502" s="1">
        <f t="shared" si="542"/>
        <v>1.4145336766092033E-4</v>
      </c>
      <c r="O502" s="1">
        <f t="shared" si="542"/>
        <v>2.2458322884762318E-4</v>
      </c>
      <c r="P502" s="1">
        <f>IFERROR(P357/P325,0)*P480</f>
        <v>1.8306518143502878E-4</v>
      </c>
      <c r="Q502" s="1">
        <f>IFERROR(Q357/Q325,0)*Q480</f>
        <v>3.6921032379795332E-4</v>
      </c>
      <c r="S502" s="3"/>
    </row>
    <row r="503" spans="1:19" x14ac:dyDescent="0.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3.3175177191977978</v>
      </c>
      <c r="G503" s="1">
        <f t="shared" ref="G503:K503" si="543">SUM(G504:G505)</f>
        <v>3.3046570741748091</v>
      </c>
      <c r="H503" s="1">
        <f t="shared" si="543"/>
        <v>4.7994760991634839</v>
      </c>
      <c r="I503" s="1">
        <f t="shared" si="543"/>
        <v>4.6781460440025935</v>
      </c>
      <c r="J503" s="1">
        <f t="shared" si="543"/>
        <v>4.5421172304601676</v>
      </c>
      <c r="K503" s="1">
        <f t="shared" si="543"/>
        <v>4.7614748075077964</v>
      </c>
      <c r="L503" s="1">
        <f t="shared" ref="L503:O503" si="544">SUM(L504:L505)</f>
        <v>10.682956466666923</v>
      </c>
      <c r="M503" s="1">
        <f t="shared" si="544"/>
        <v>10.631007457143939</v>
      </c>
      <c r="N503" s="1">
        <f t="shared" si="544"/>
        <v>10.630467682117311</v>
      </c>
      <c r="O503" s="1">
        <f t="shared" si="544"/>
        <v>10.631084536931832</v>
      </c>
      <c r="P503" s="1">
        <f>SUM(P504:P505)</f>
        <v>10.630934736408179</v>
      </c>
      <c r="Q503" s="1">
        <f>SUM(Q504:Q505)</f>
        <v>10.631215661866092</v>
      </c>
      <c r="S503" s="3"/>
    </row>
    <row r="504" spans="1:19" x14ac:dyDescent="0.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3.3175177191977978</v>
      </c>
      <c r="G504" s="6">
        <f>'[1]Electricity and CHPs_IN'!C$44-G363</f>
        <v>3.3046570741748091</v>
      </c>
      <c r="H504" s="6">
        <f>'[1]Electricity and CHPs_IN'!D$44-H363</f>
        <v>4.7994760991634839</v>
      </c>
      <c r="I504" s="6">
        <f>'[1]Electricity and CHPs_IN'!E$44-I363</f>
        <v>4.6781460440025935</v>
      </c>
      <c r="J504" s="6">
        <f>'[1]Electricity and CHPs_IN'!F$44-J363</f>
        <v>4.5421172304601676</v>
      </c>
      <c r="K504" s="6">
        <f>'[1]Electricity and CHPs_IN'!G$44-K363</f>
        <v>2.651837471333728</v>
      </c>
      <c r="L504" s="6">
        <f>'[1]Electricity and CHPs_IN'!H$44-L363</f>
        <v>8.2530135341870074E-4</v>
      </c>
      <c r="M504" s="6">
        <f>'[1]Electricity and CHPs_IN'!I$44-M363</f>
        <v>4.3674921709193124E-4</v>
      </c>
      <c r="N504" s="6">
        <f>'[1]Electricity and CHPs_IN'!J$44-N363</f>
        <v>5.6097507865012928E-4</v>
      </c>
      <c r="O504" s="6">
        <f>'[1]Electricity and CHPs_IN'!K$44-O363</f>
        <v>3.0751847863602709E-4</v>
      </c>
      <c r="P504" s="6">
        <f>'[1]Electricity and CHPs_IN'!L$44-P363</f>
        <v>5.2997156785002445E-4</v>
      </c>
      <c r="Q504" s="6">
        <f>'[1]Electricity and CHPs_IN'!M$44-Q363</f>
        <v>2.261464661538273E-4</v>
      </c>
      <c r="S504" s="3"/>
    </row>
    <row r="505" spans="1:19" x14ac:dyDescent="0.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'[1]Electricity and CHPs_IN'!F$45</f>
        <v>0</v>
      </c>
      <c r="K505" s="1">
        <f>'[1]Electricity and CHPs_IN'!G$45</f>
        <v>2.1096373361740683</v>
      </c>
      <c r="L505" s="1">
        <f>'[1]Electricity and CHPs_IN'!H$45</f>
        <v>10.682131165313503</v>
      </c>
      <c r="M505" s="1">
        <f>'[1]Electricity and CHPs_IN'!I$45</f>
        <v>10.630570707926847</v>
      </c>
      <c r="N505" s="1">
        <f>'[1]Electricity and CHPs_IN'!J$45</f>
        <v>10.629906707038661</v>
      </c>
      <c r="O505" s="1">
        <f>'[1]Electricity and CHPs_IN'!K$45</f>
        <v>10.630777018453196</v>
      </c>
      <c r="P505" s="1">
        <f>'[1]Electricity and CHPs_IN'!L$45</f>
        <v>10.630404764840328</v>
      </c>
      <c r="Q505" s="1">
        <f>'[1]Electricity and CHPs_IN'!M$45</f>
        <v>10.630989515399937</v>
      </c>
      <c r="S505" s="3"/>
    </row>
    <row r="506" spans="1:19" x14ac:dyDescent="0.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45">SUM(G507:G508)</f>
        <v>0</v>
      </c>
      <c r="H506" s="1">
        <f t="shared" si="545"/>
        <v>0</v>
      </c>
      <c r="I506" s="1">
        <f t="shared" si="545"/>
        <v>0</v>
      </c>
      <c r="J506" s="1">
        <f t="shared" si="545"/>
        <v>0</v>
      </c>
      <c r="K506" s="1">
        <f t="shared" si="545"/>
        <v>0</v>
      </c>
      <c r="L506" s="1">
        <f t="shared" ref="L506:O506" si="546">SUM(L507:L508)</f>
        <v>0</v>
      </c>
      <c r="M506" s="1">
        <f t="shared" si="546"/>
        <v>0</v>
      </c>
      <c r="N506" s="1">
        <f t="shared" si="546"/>
        <v>0</v>
      </c>
      <c r="O506" s="1">
        <f t="shared" si="546"/>
        <v>0</v>
      </c>
      <c r="P506" s="1">
        <f>SUM(P507:P508)</f>
        <v>0</v>
      </c>
      <c r="Q506" s="1">
        <f>SUM(Q507:Q508)</f>
        <v>0</v>
      </c>
      <c r="S506" s="3"/>
    </row>
    <row r="507" spans="1:19" x14ac:dyDescent="0.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S507" s="3"/>
    </row>
    <row r="508" spans="1:19" x14ac:dyDescent="0.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S508" s="3"/>
    </row>
    <row r="509" spans="1:19" x14ac:dyDescent="0.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3.3175177191977978</v>
      </c>
      <c r="G509" s="1">
        <f t="shared" ref="G509:K509" si="547">SUM(G510:G511)</f>
        <v>3.3046570741748091</v>
      </c>
      <c r="H509" s="1">
        <f t="shared" si="547"/>
        <v>4.7994760991634839</v>
      </c>
      <c r="I509" s="1">
        <f t="shared" si="547"/>
        <v>4.6781460440025935</v>
      </c>
      <c r="J509" s="1">
        <f t="shared" si="547"/>
        <v>4.5421172304601676</v>
      </c>
      <c r="K509" s="1">
        <f t="shared" si="547"/>
        <v>4.7614748075077964</v>
      </c>
      <c r="L509" s="1">
        <f t="shared" ref="L509:O509" si="548">SUM(L510:L511)</f>
        <v>10.682956466666923</v>
      </c>
      <c r="M509" s="1">
        <f t="shared" si="548"/>
        <v>10.631007457143939</v>
      </c>
      <c r="N509" s="1">
        <f t="shared" si="548"/>
        <v>10.630467682117311</v>
      </c>
      <c r="O509" s="1">
        <f t="shared" si="548"/>
        <v>10.631084536931832</v>
      </c>
      <c r="P509" s="1">
        <f>SUM(P510:P511)</f>
        <v>10.630934736408179</v>
      </c>
      <c r="Q509" s="1">
        <f>SUM(Q510:Q511)</f>
        <v>10.631215661866092</v>
      </c>
      <c r="S509" s="3"/>
    </row>
    <row r="510" spans="1:19" x14ac:dyDescent="0.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3.3175177191977978</v>
      </c>
      <c r="G510" s="1">
        <f t="shared" ref="G510:K510" si="549">G504</f>
        <v>3.3046570741748091</v>
      </c>
      <c r="H510" s="1">
        <f t="shared" si="549"/>
        <v>4.7994760991634839</v>
      </c>
      <c r="I510" s="1">
        <f t="shared" si="549"/>
        <v>4.6781460440025935</v>
      </c>
      <c r="J510" s="1">
        <f t="shared" si="549"/>
        <v>4.5421172304601676</v>
      </c>
      <c r="K510" s="1">
        <f t="shared" si="549"/>
        <v>2.651837471333728</v>
      </c>
      <c r="L510" s="1">
        <f t="shared" ref="L510:O510" si="550">L504</f>
        <v>8.2530135341870074E-4</v>
      </c>
      <c r="M510" s="1">
        <f t="shared" si="550"/>
        <v>4.3674921709193124E-4</v>
      </c>
      <c r="N510" s="1">
        <f t="shared" si="550"/>
        <v>5.6097507865012928E-4</v>
      </c>
      <c r="O510" s="1">
        <f t="shared" si="550"/>
        <v>3.0751847863602709E-4</v>
      </c>
      <c r="P510" s="1">
        <f>P504</f>
        <v>5.2997156785002445E-4</v>
      </c>
      <c r="Q510" s="1">
        <f>Q504</f>
        <v>2.261464661538273E-4</v>
      </c>
      <c r="S510" s="3"/>
    </row>
    <row r="511" spans="1:19" x14ac:dyDescent="0.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51">G505</f>
        <v>0</v>
      </c>
      <c r="H511" s="1">
        <f t="shared" si="551"/>
        <v>0</v>
      </c>
      <c r="I511" s="1">
        <f t="shared" si="551"/>
        <v>0</v>
      </c>
      <c r="J511" s="1">
        <f t="shared" si="551"/>
        <v>0</v>
      </c>
      <c r="K511" s="1">
        <f t="shared" si="551"/>
        <v>2.1096373361740683</v>
      </c>
      <c r="L511" s="1">
        <f t="shared" ref="L511:O511" si="552">L505</f>
        <v>10.682131165313503</v>
      </c>
      <c r="M511" s="1">
        <f t="shared" si="552"/>
        <v>10.630570707926847</v>
      </c>
      <c r="N511" s="1">
        <f t="shared" si="552"/>
        <v>10.629906707038661</v>
      </c>
      <c r="O511" s="1">
        <f t="shared" si="552"/>
        <v>10.630777018453196</v>
      </c>
      <c r="P511" s="1">
        <f>P505</f>
        <v>10.630404764840328</v>
      </c>
      <c r="Q511" s="1">
        <f>Q505</f>
        <v>10.630989515399937</v>
      </c>
      <c r="S511" s="3"/>
    </row>
    <row r="512" spans="1:19" x14ac:dyDescent="0.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0.69178973694370904</v>
      </c>
      <c r="G512" s="1">
        <f t="shared" ref="G512:K512" si="553">SUM(G513:G517)</f>
        <v>0.81943541479895377</v>
      </c>
      <c r="H512" s="1">
        <f t="shared" si="553"/>
        <v>3.3954333485565171</v>
      </c>
      <c r="I512" s="1">
        <f t="shared" si="553"/>
        <v>3.5584861494939011</v>
      </c>
      <c r="J512" s="1">
        <f t="shared" si="553"/>
        <v>3.7886705268796605</v>
      </c>
      <c r="K512" s="1">
        <f t="shared" si="553"/>
        <v>4.6967819259442862</v>
      </c>
      <c r="L512" s="1">
        <f t="shared" ref="L512:O512" si="554">SUM(L513:L517)</f>
        <v>7.8406602132709766</v>
      </c>
      <c r="M512" s="1">
        <f t="shared" si="554"/>
        <v>8.5923347327211896</v>
      </c>
      <c r="N512" s="1">
        <f t="shared" si="554"/>
        <v>8.4747587425718027</v>
      </c>
      <c r="O512" s="1">
        <f t="shared" si="554"/>
        <v>8.5806750065072741</v>
      </c>
      <c r="P512" s="1">
        <f>SUM(P513:P517)</f>
        <v>8.5496271406957565</v>
      </c>
      <c r="Q512" s="1">
        <f>SUM(Q513:Q517)</f>
        <v>8.5856167157069052</v>
      </c>
      <c r="S512" s="3"/>
    </row>
    <row r="513" spans="1:19" x14ac:dyDescent="0.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0.69178973694370904</v>
      </c>
      <c r="G513" s="6">
        <f>'[1]Electricity and CHPs_IN'!C$42-G382</f>
        <v>0.81943541479895377</v>
      </c>
      <c r="H513" s="6">
        <f>'[1]Electricity and CHPs_IN'!D$42-H382</f>
        <v>3.3954333485565171</v>
      </c>
      <c r="I513" s="6">
        <f>'[1]Electricity and CHPs_IN'!E$42-I382</f>
        <v>3.5558832833751559</v>
      </c>
      <c r="J513" s="6">
        <f>'[1]Electricity and CHPs_IN'!F$42-J382</f>
        <v>3.7845629159593743</v>
      </c>
      <c r="K513" s="6">
        <f>'[1]Electricity and CHPs_IN'!G$42-K382</f>
        <v>1.2255974740266682</v>
      </c>
      <c r="L513" s="6">
        <f>'[1]Electricity and CHPs_IN'!H$42-L382</f>
        <v>0.40527038742576982</v>
      </c>
      <c r="M513" s="6">
        <f>'[1]Electricity and CHPs_IN'!I$42-M382</f>
        <v>7.2634619929762007E-4</v>
      </c>
      <c r="N513" s="6">
        <f>'[1]Electricity and CHPs_IN'!J$42-N382</f>
        <v>6.6461142876309877E-4</v>
      </c>
      <c r="O513" s="6">
        <f>'[1]Electricity and CHPs_IN'!K$42-O382</f>
        <v>1.0810502508620235E-3</v>
      </c>
      <c r="P513" s="6">
        <f>'[1]Electricity and CHPs_IN'!L$42-P382</f>
        <v>6.4013734101769026E-4</v>
      </c>
      <c r="Q513" s="6">
        <f>'[1]Electricity and CHPs_IN'!M$42-Q382</f>
        <v>1.0320720594285382E-3</v>
      </c>
      <c r="S513" s="3"/>
    </row>
    <row r="514" spans="1:19" x14ac:dyDescent="0.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'[1]Electricity and CHPs_IN'!F$43-J383</f>
        <v>0</v>
      </c>
      <c r="K514" s="1">
        <f>'[1]Electricity and CHPs_IN'!G$43-K383</f>
        <v>3.3223341130468986</v>
      </c>
      <c r="L514" s="1">
        <f>'[1]Electricity and CHPs_IN'!H$43-L383</f>
        <v>7.1935383245598583</v>
      </c>
      <c r="M514" s="1">
        <f>'[1]Electricity and CHPs_IN'!I$43-M383</f>
        <v>8.3566948572125561</v>
      </c>
      <c r="N514" s="1">
        <f>'[1]Electricity and CHPs_IN'!J$43-N383</f>
        <v>8.2466661158945307</v>
      </c>
      <c r="O514" s="1">
        <f>'[1]Electricity and CHPs_IN'!K$43-O383</f>
        <v>8.3568658139959915</v>
      </c>
      <c r="P514" s="1">
        <f>'[1]Electricity and CHPs_IN'!L$43-P383</f>
        <v>8.3240357581014131</v>
      </c>
      <c r="Q514" s="1">
        <f>'[1]Electricity and CHPs_IN'!M$43-Q383</f>
        <v>8.3591328768580766</v>
      </c>
      <c r="S514" s="3"/>
    </row>
    <row r="515" spans="1:19" x14ac:dyDescent="0.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9.0406671009796678E-4</v>
      </c>
      <c r="J515" s="1">
        <f>'[1]Electricity and CHPs_IN'!F$50-J384</f>
        <v>1.467417465832226E-3</v>
      </c>
      <c r="K515" s="1">
        <f>'[1]Electricity and CHPs_IN'!G$50-K384</f>
        <v>3.8980851400264964E-3</v>
      </c>
      <c r="L515" s="1">
        <f>'[1]Electricity and CHPs_IN'!H$50-L384</f>
        <v>6.8898431379431947E-3</v>
      </c>
      <c r="M515" s="1">
        <f>'[1]Electricity and CHPs_IN'!I$50-M384</f>
        <v>7.7810245688568905E-3</v>
      </c>
      <c r="N515" s="1">
        <f>'[1]Electricity and CHPs_IN'!J$50-N384</f>
        <v>5.0229862593341168E-3</v>
      </c>
      <c r="O515" s="1">
        <f>'[1]Electricity and CHPs_IN'!K$50-O384</f>
        <v>3.3213782646040629E-3</v>
      </c>
      <c r="P515" s="1">
        <f>'[1]Electricity and CHPs_IN'!L$50-P384</f>
        <v>3.052580171201154E-3</v>
      </c>
      <c r="Q515" s="1">
        <f>'[1]Electricity and CHPs_IN'!M$50-Q384</f>
        <v>5.1405216069854891E-3</v>
      </c>
      <c r="S515" s="3"/>
    </row>
    <row r="516" spans="1:19" x14ac:dyDescent="0.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1.1308439231822154E-3</v>
      </c>
      <c r="J516" s="1">
        <f>'[1]Electricity and CHPs_IN'!F$53-J385</f>
        <v>1.9589561637195704E-3</v>
      </c>
      <c r="K516" s="1">
        <f>'[1]Electricity and CHPs_IN'!G$53-K385</f>
        <v>0.14108532971130955</v>
      </c>
      <c r="L516" s="1">
        <f>'[1]Electricity and CHPs_IN'!H$53-L385</f>
        <v>0.23153115030117824</v>
      </c>
      <c r="M516" s="1">
        <f>'[1]Electricity and CHPs_IN'!I$53-M385</f>
        <v>0.22500953088341819</v>
      </c>
      <c r="N516" s="1">
        <f>'[1]Electricity and CHPs_IN'!J$53-N385</f>
        <v>0.22128336299122375</v>
      </c>
      <c r="O516" s="1">
        <f>'[1]Electricity and CHPs_IN'!K$53-O385</f>
        <v>0.21815296877346557</v>
      </c>
      <c r="P516" s="1">
        <f>'[1]Electricity and CHPs_IN'!L$53-P385</f>
        <v>0.22078897329481695</v>
      </c>
      <c r="Q516" s="1">
        <f>'[1]Electricity and CHPs_IN'!M$53-Q385</f>
        <v>0.21829737282824285</v>
      </c>
      <c r="S516" s="3"/>
    </row>
    <row r="517" spans="1:19" x14ac:dyDescent="0.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5.6795548546486262E-4</v>
      </c>
      <c r="J517" s="1">
        <f>'[1]Electricity and CHPs_IN'!F$56-J386</f>
        <v>6.8123729073475236E-4</v>
      </c>
      <c r="K517" s="1">
        <f>'[1]Electricity and CHPs_IN'!G$56-K386</f>
        <v>3.8669240193843642E-3</v>
      </c>
      <c r="L517" s="1">
        <f>'[1]Electricity and CHPs_IN'!H$56-L386</f>
        <v>3.4305078462272503E-3</v>
      </c>
      <c r="M517" s="1">
        <f>'[1]Electricity and CHPs_IN'!I$56-M386</f>
        <v>2.1229738570604901E-3</v>
      </c>
      <c r="N517" s="1">
        <f>'[1]Electricity and CHPs_IN'!J$56-N386</f>
        <v>1.1216659979519017E-3</v>
      </c>
      <c r="O517" s="1">
        <f>'[1]Electricity and CHPs_IN'!K$56-O386</f>
        <v>1.2537952223525251E-3</v>
      </c>
      <c r="P517" s="1">
        <f>'[1]Electricity and CHPs_IN'!L$56-P386</f>
        <v>1.1096917873076291E-3</v>
      </c>
      <c r="Q517" s="1">
        <f>'[1]Electricity and CHPs_IN'!M$56-Q386</f>
        <v>2.0138723541711606E-3</v>
      </c>
      <c r="S517" s="3"/>
    </row>
    <row r="518" spans="1:19" x14ac:dyDescent="0.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55">SUM(G519:G520)</f>
        <v>0</v>
      </c>
      <c r="H518" s="1">
        <f t="shared" si="555"/>
        <v>0</v>
      </c>
      <c r="I518" s="1">
        <f t="shared" si="555"/>
        <v>2.6285099916577123E-3</v>
      </c>
      <c r="J518" s="1">
        <f t="shared" si="555"/>
        <v>0.52419030945927203</v>
      </c>
      <c r="K518" s="1">
        <f t="shared" si="555"/>
        <v>2.2973396445839644</v>
      </c>
      <c r="L518" s="1">
        <f t="shared" ref="L518:O518" si="556">SUM(L519:L520)</f>
        <v>2.5321424079390691</v>
      </c>
      <c r="M518" s="1">
        <f t="shared" si="556"/>
        <v>2.7016370861699106</v>
      </c>
      <c r="N518" s="1">
        <f t="shared" si="556"/>
        <v>2.7090305451639525</v>
      </c>
      <c r="O518" s="1">
        <f t="shared" si="556"/>
        <v>2.7087227768303612</v>
      </c>
      <c r="P518" s="1">
        <f>SUM(P519:P520)</f>
        <v>2.6989383862477458</v>
      </c>
      <c r="Q518" s="1">
        <f>SUM(Q519:Q520)</f>
        <v>2.7344525774302886</v>
      </c>
      <c r="S518" s="3"/>
    </row>
    <row r="519" spans="1:19" x14ac:dyDescent="0.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2.2235103233407788E-3</v>
      </c>
      <c r="J519" s="1">
        <f>'[1]Electricity and CHPs_IN'!F$46-J399</f>
        <v>0.52284015137378903</v>
      </c>
      <c r="K519" s="1">
        <f>'[1]Electricity and CHPs_IN'!G$46-K399</f>
        <v>2.2954821603615714</v>
      </c>
      <c r="L519" s="1">
        <f>'[1]Electricity and CHPs_IN'!H$46-L399</f>
        <v>2.5300678723375869</v>
      </c>
      <c r="M519" s="1">
        <f>'[1]Electricity and CHPs_IN'!I$46-M399</f>
        <v>2.6916134290935414</v>
      </c>
      <c r="N519" s="1">
        <f>'[1]Electricity and CHPs_IN'!J$46-N399</f>
        <v>2.6916151561106432</v>
      </c>
      <c r="O519" s="1">
        <f>'[1]Electricity and CHPs_IN'!K$46-O399</f>
        <v>2.691614831402064</v>
      </c>
      <c r="P519" s="1">
        <f>'[1]Electricity and CHPs_IN'!L$46-P399</f>
        <v>2.6916151885382815</v>
      </c>
      <c r="Q519" s="1">
        <f>'[1]Electricity and CHPs_IN'!M$46-Q399</f>
        <v>2.6916158014988225</v>
      </c>
      <c r="S519" s="3"/>
    </row>
    <row r="520" spans="1:19" x14ac:dyDescent="0.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4.0499966831693366E-4</v>
      </c>
      <c r="J520" s="1">
        <f>'[1]Electricity and CHPs_IN'!F$57-J400</f>
        <v>1.3501580854830149E-3</v>
      </c>
      <c r="K520" s="1">
        <f>'[1]Electricity and CHPs_IN'!G$57-K400</f>
        <v>1.8574842223931542E-3</v>
      </c>
      <c r="L520" s="1">
        <f>'[1]Electricity and CHPs_IN'!H$57-L400</f>
        <v>2.0745356014821334E-3</v>
      </c>
      <c r="M520" s="1">
        <f>'[1]Electricity and CHPs_IN'!I$57-M400</f>
        <v>1.0023657076369267E-2</v>
      </c>
      <c r="N520" s="1">
        <f>'[1]Electricity and CHPs_IN'!J$57-N400</f>
        <v>1.7415389053309228E-2</v>
      </c>
      <c r="O520" s="1">
        <f>'[1]Electricity and CHPs_IN'!K$57-O400</f>
        <v>1.7107945428297137E-2</v>
      </c>
      <c r="P520" s="1">
        <f>'[1]Electricity and CHPs_IN'!L$57-P400</f>
        <v>7.3231977094641819E-3</v>
      </c>
      <c r="Q520" s="1">
        <f>'[1]Electricity and CHPs_IN'!M$57-Q400</f>
        <v>4.2836775931466148E-2</v>
      </c>
      <c r="S520" s="3"/>
    </row>
    <row r="521" spans="1:19" x14ac:dyDescent="0.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M521" s="12" t="s">
        <v>292</v>
      </c>
      <c r="N521" s="12" t="s">
        <v>292</v>
      </c>
      <c r="O521" s="12" t="s">
        <v>292</v>
      </c>
      <c r="P521" s="12" t="s">
        <v>292</v>
      </c>
      <c r="Q521" s="12" t="s">
        <v>292</v>
      </c>
      <c r="S521" s="3"/>
    </row>
    <row r="522" spans="1:19" x14ac:dyDescent="0.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57">IFERROR(F65/F293,"-")</f>
        <v>0.32978920740276274</v>
      </c>
      <c r="G522" s="13">
        <f t="shared" si="557"/>
        <v>0.32669874417480893</v>
      </c>
      <c r="H522" s="13">
        <f t="shared" si="557"/>
        <v>0.32597789599787064</v>
      </c>
      <c r="I522" s="13">
        <f t="shared" si="557"/>
        <v>0.32987652095011899</v>
      </c>
      <c r="J522" s="13">
        <f t="shared" si="557"/>
        <v>0.33009543304567651</v>
      </c>
      <c r="K522" s="13">
        <f t="shared" si="557"/>
        <v>0.33157933201783202</v>
      </c>
      <c r="L522" s="13" t="str">
        <f t="shared" ref="L522:O522" si="558">IFERROR(L65/L293,"-")</f>
        <v>-</v>
      </c>
      <c r="M522" s="13" t="str">
        <f t="shared" si="558"/>
        <v>-</v>
      </c>
      <c r="N522" s="13" t="str">
        <f t="shared" si="558"/>
        <v>-</v>
      </c>
      <c r="O522" s="13" t="str">
        <f t="shared" si="558"/>
        <v>-</v>
      </c>
      <c r="P522" s="13" t="str">
        <f>IFERROR(P65/P293,"-")</f>
        <v>-</v>
      </c>
      <c r="Q522" s="13" t="str">
        <f>IFERROR(Q65/Q293,"-")</f>
        <v>-</v>
      </c>
      <c r="S522" s="3"/>
    </row>
    <row r="523" spans="1:19" x14ac:dyDescent="0.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59">IFERROR(F67/F295,"-")</f>
        <v>1</v>
      </c>
      <c r="G523" s="13">
        <f t="shared" si="559"/>
        <v>1</v>
      </c>
      <c r="H523" s="13">
        <f t="shared" si="559"/>
        <v>1</v>
      </c>
      <c r="I523" s="13">
        <f t="shared" si="559"/>
        <v>1</v>
      </c>
      <c r="J523" s="13">
        <f t="shared" si="559"/>
        <v>1</v>
      </c>
      <c r="K523" s="13">
        <f t="shared" si="559"/>
        <v>1</v>
      </c>
      <c r="L523" s="13">
        <f t="shared" ref="L523:O523" si="560">IFERROR(L67/L295,"-")</f>
        <v>1</v>
      </c>
      <c r="M523" s="13">
        <f t="shared" si="560"/>
        <v>1</v>
      </c>
      <c r="N523" s="13">
        <f t="shared" si="560"/>
        <v>1</v>
      </c>
      <c r="O523" s="13">
        <f t="shared" si="560"/>
        <v>1</v>
      </c>
      <c r="P523" s="13">
        <f t="shared" ref="P523:Q525" si="561">IFERROR(P67/P295,"-")</f>
        <v>1</v>
      </c>
      <c r="Q523" s="13">
        <f t="shared" si="561"/>
        <v>1</v>
      </c>
      <c r="S523" s="3"/>
    </row>
    <row r="524" spans="1:19" x14ac:dyDescent="0.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59"/>
        <v>1</v>
      </c>
      <c r="G524" s="13">
        <f t="shared" si="559"/>
        <v>1</v>
      </c>
      <c r="H524" s="13">
        <f t="shared" si="559"/>
        <v>1</v>
      </c>
      <c r="I524" s="13">
        <f t="shared" si="559"/>
        <v>1</v>
      </c>
      <c r="J524" s="13">
        <f t="shared" si="559"/>
        <v>1</v>
      </c>
      <c r="K524" s="13">
        <f t="shared" si="559"/>
        <v>1</v>
      </c>
      <c r="L524" s="13">
        <f t="shared" ref="L524:O524" si="562">IFERROR(L68/L296,"-")</f>
        <v>1</v>
      </c>
      <c r="M524" s="13">
        <f t="shared" si="562"/>
        <v>1</v>
      </c>
      <c r="N524" s="13">
        <f t="shared" si="562"/>
        <v>1</v>
      </c>
      <c r="O524" s="13">
        <f t="shared" si="562"/>
        <v>1</v>
      </c>
      <c r="P524" s="13">
        <f t="shared" si="561"/>
        <v>1</v>
      </c>
      <c r="Q524" s="13">
        <f t="shared" si="561"/>
        <v>1</v>
      </c>
      <c r="S524" s="3"/>
    </row>
    <row r="525" spans="1:19" x14ac:dyDescent="0.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59"/>
        <v>0.79999999163060465</v>
      </c>
      <c r="G525" s="13">
        <f t="shared" si="559"/>
        <v>0.79999998983984022</v>
      </c>
      <c r="H525" s="13">
        <f t="shared" si="559"/>
        <v>0.79999998245167514</v>
      </c>
      <c r="I525" s="13">
        <f t="shared" si="559"/>
        <v>0.79999999765774377</v>
      </c>
      <c r="J525" s="13">
        <f t="shared" si="559"/>
        <v>0.7999999881226092</v>
      </c>
      <c r="K525" s="13">
        <f t="shared" si="559"/>
        <v>0.80000001546229338</v>
      </c>
      <c r="L525" s="13">
        <f t="shared" ref="L525:O525" si="563">IFERROR(L69/L297,"-")</f>
        <v>0.8000000152574247</v>
      </c>
      <c r="M525" s="13">
        <f t="shared" si="563"/>
        <v>0.8000000201405163</v>
      </c>
      <c r="N525" s="13">
        <f t="shared" si="563"/>
        <v>0.80000002010307747</v>
      </c>
      <c r="O525" s="13">
        <f t="shared" si="563"/>
        <v>0.80000002006055138</v>
      </c>
      <c r="P525" s="13">
        <f t="shared" si="561"/>
        <v>0.80000001817720112</v>
      </c>
      <c r="Q525" s="13">
        <f t="shared" si="561"/>
        <v>0.80000002039213836</v>
      </c>
      <c r="S525" s="3"/>
    </row>
    <row r="526" spans="1:19" x14ac:dyDescent="0.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0.34520634014000473</v>
      </c>
      <c r="G526" s="13">
        <f t="shared" ref="G526:K526" si="564">IFERROR(G71/G299,"-")</f>
        <v>5.2712224309934164E-2</v>
      </c>
      <c r="H526" s="13">
        <f t="shared" si="564"/>
        <v>0.29271978202483689</v>
      </c>
      <c r="I526" s="13">
        <f t="shared" si="564"/>
        <v>0.26921862396744478</v>
      </c>
      <c r="J526" s="13">
        <f t="shared" si="564"/>
        <v>0.30220451945602056</v>
      </c>
      <c r="K526" s="13">
        <f t="shared" si="564"/>
        <v>0.34640219689264207</v>
      </c>
      <c r="L526" s="13">
        <f t="shared" ref="L526:O526" si="565">IFERROR(L71/L299,"-")</f>
        <v>0.3454886898973113</v>
      </c>
      <c r="M526" s="13">
        <f t="shared" si="565"/>
        <v>0.27557063207554205</v>
      </c>
      <c r="N526" s="13">
        <f t="shared" si="565"/>
        <v>0.31393927059618426</v>
      </c>
      <c r="O526" s="13">
        <f t="shared" si="565"/>
        <v>0.30887431661866821</v>
      </c>
      <c r="P526" s="13">
        <f>IFERROR(P71/P299,"-")</f>
        <v>0.29918364374937079</v>
      </c>
      <c r="Q526" s="13">
        <f>IFERROR(Q71/Q299,"-")</f>
        <v>0.30176025914470717</v>
      </c>
      <c r="S526" s="3"/>
    </row>
    <row r="527" spans="1:19" x14ac:dyDescent="0.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0.10023337939764576</v>
      </c>
      <c r="G527" s="13">
        <f t="shared" ref="G527:K527" si="566">IFERROR(G72/(G300+G413),"-")</f>
        <v>2.9758704888211598E-2</v>
      </c>
      <c r="H527" s="13">
        <f t="shared" si="566"/>
        <v>9.7162088638421767E-2</v>
      </c>
      <c r="I527" s="13">
        <f t="shared" si="566"/>
        <v>9.8878248527235937E-2</v>
      </c>
      <c r="J527" s="13">
        <f t="shared" si="566"/>
        <v>0.10087647431684713</v>
      </c>
      <c r="K527" s="13">
        <f t="shared" si="566"/>
        <v>9.7202412091853721E-2</v>
      </c>
      <c r="L527" s="13">
        <f t="shared" ref="L527:O527" si="567">IFERROR(L72/(L300+L413),"-")</f>
        <v>0.10291250621805705</v>
      </c>
      <c r="M527" s="13">
        <f t="shared" si="567"/>
        <v>0</v>
      </c>
      <c r="N527" s="13">
        <f t="shared" si="567"/>
        <v>9.0620831364716867E-2</v>
      </c>
      <c r="O527" s="13">
        <f t="shared" si="567"/>
        <v>8.1295932833985077E-2</v>
      </c>
      <c r="P527" s="13">
        <f>IFERROR(P72/(P300+P413),"-")</f>
        <v>8.4210855190627251E-2</v>
      </c>
      <c r="Q527" s="13">
        <f>IFERROR(Q72/(Q300+Q413),"-")</f>
        <v>7.0847263557153192E-2</v>
      </c>
      <c r="S527" s="3"/>
    </row>
    <row r="528" spans="1:19" x14ac:dyDescent="0.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0.24134832153586369</v>
      </c>
      <c r="G528" s="13">
        <f t="shared" ref="G528:K528" si="568">IFERROR(G73/(G301+G465),"-")</f>
        <v>0.24666044421860678</v>
      </c>
      <c r="H528" s="13">
        <f t="shared" si="568"/>
        <v>0.24902996055959256</v>
      </c>
      <c r="I528" s="13">
        <f t="shared" si="568"/>
        <v>0.2633962463076252</v>
      </c>
      <c r="J528" s="13">
        <f t="shared" si="568"/>
        <v>0.26336466912411777</v>
      </c>
      <c r="K528" s="13" t="str">
        <f t="shared" si="568"/>
        <v>-</v>
      </c>
      <c r="L528" s="13" t="str">
        <f t="shared" ref="L528:O528" si="569">IFERROR(L73/(L301+L465),"-")</f>
        <v>-</v>
      </c>
      <c r="M528" s="13" t="str">
        <f t="shared" si="569"/>
        <v>-</v>
      </c>
      <c r="N528" s="13">
        <f t="shared" si="569"/>
        <v>0.25867410579493105</v>
      </c>
      <c r="O528" s="13">
        <f t="shared" si="569"/>
        <v>0.256448091151048</v>
      </c>
      <c r="P528" s="13">
        <f>IFERROR(P73/(P301+P465),"-")</f>
        <v>0.26275524534598804</v>
      </c>
      <c r="Q528" s="13">
        <f>IFERROR(Q73/(Q301+Q465),"-")</f>
        <v>0.26164899584494922</v>
      </c>
      <c r="S528" s="3"/>
    </row>
    <row r="529" spans="1:19" x14ac:dyDescent="0.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70">IFERROR(G83/G311,"-")</f>
        <v>-</v>
      </c>
      <c r="H529" s="13" t="str">
        <f t="shared" si="570"/>
        <v>-</v>
      </c>
      <c r="I529" s="13" t="str">
        <f t="shared" si="570"/>
        <v>-</v>
      </c>
      <c r="J529" s="13" t="str">
        <f t="shared" si="570"/>
        <v>-</v>
      </c>
      <c r="K529" s="13">
        <f t="shared" si="570"/>
        <v>0.27765098189897724</v>
      </c>
      <c r="L529" s="13">
        <f t="shared" ref="L529:O529" si="571">IFERROR(L83/L311,"-")</f>
        <v>0.30887178196223247</v>
      </c>
      <c r="M529" s="13">
        <f t="shared" si="571"/>
        <v>0.25118515465189883</v>
      </c>
      <c r="N529" s="13">
        <f t="shared" si="571"/>
        <v>0.56834088291435991</v>
      </c>
      <c r="O529" s="13">
        <f t="shared" si="571"/>
        <v>0.5178182119361292</v>
      </c>
      <c r="P529" s="13">
        <f t="shared" ref="P529:Q531" si="572">IFERROR(P83/P311,"-")</f>
        <v>0.52659867487319845</v>
      </c>
      <c r="Q529" s="13">
        <f t="shared" si="572"/>
        <v>0.51735595180978833</v>
      </c>
      <c r="S529" s="3"/>
    </row>
    <row r="530" spans="1:19" x14ac:dyDescent="0.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73">IFERROR(G84/G312,"-")</f>
        <v>-</v>
      </c>
      <c r="H530" s="13" t="str">
        <f t="shared" si="573"/>
        <v>-</v>
      </c>
      <c r="I530" s="13" t="str">
        <f t="shared" si="573"/>
        <v>-</v>
      </c>
      <c r="J530" s="13" t="str">
        <f t="shared" si="573"/>
        <v>-</v>
      </c>
      <c r="K530" s="13">
        <f t="shared" si="573"/>
        <v>1.0858001997875439E-2</v>
      </c>
      <c r="L530" s="13">
        <f t="shared" ref="L530:O530" si="574">IFERROR(L84/L312,"-")</f>
        <v>0</v>
      </c>
      <c r="M530" s="13">
        <f t="shared" si="574"/>
        <v>0.41686373925868181</v>
      </c>
      <c r="N530" s="13">
        <f t="shared" si="574"/>
        <v>0.40035265087149174</v>
      </c>
      <c r="O530" s="13">
        <f t="shared" si="574"/>
        <v>0.37948480940730916</v>
      </c>
      <c r="P530" s="13">
        <f t="shared" si="572"/>
        <v>0.38493372241906465</v>
      </c>
      <c r="Q530" s="13">
        <f t="shared" si="572"/>
        <v>0.38184068008765731</v>
      </c>
      <c r="S530" s="3"/>
    </row>
    <row r="531" spans="1:19" x14ac:dyDescent="0.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75">IFERROR(G85/G313,"-")</f>
        <v>-</v>
      </c>
      <c r="H531" s="13" t="str">
        <f t="shared" si="575"/>
        <v>-</v>
      </c>
      <c r="I531" s="13" t="str">
        <f t="shared" si="575"/>
        <v>-</v>
      </c>
      <c r="J531" s="13" t="str">
        <f t="shared" si="575"/>
        <v>-</v>
      </c>
      <c r="K531" s="13" t="str">
        <f t="shared" si="575"/>
        <v>-</v>
      </c>
      <c r="L531" s="13">
        <f t="shared" ref="L531:O531" si="576">IFERROR(L85/L313,"-")</f>
        <v>0.26341479011116259</v>
      </c>
      <c r="M531" s="13">
        <f t="shared" si="576"/>
        <v>0.23059651929476763</v>
      </c>
      <c r="N531" s="13">
        <f t="shared" si="576"/>
        <v>0.54664244743687807</v>
      </c>
      <c r="O531" s="13">
        <f t="shared" si="576"/>
        <v>0.53152003758327737</v>
      </c>
      <c r="P531" s="13">
        <f t="shared" si="572"/>
        <v>0.53327301727210052</v>
      </c>
      <c r="Q531" s="13">
        <f t="shared" si="572"/>
        <v>0.53481091203257614</v>
      </c>
      <c r="S531" s="3"/>
    </row>
    <row r="532" spans="1:19" x14ac:dyDescent="0.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0.26322746436657346</v>
      </c>
      <c r="G532" s="13">
        <f t="shared" ref="G532:K532" si="577">IFERROR(G86/SUM(G314,G419),"-")</f>
        <v>0.18535832718362433</v>
      </c>
      <c r="H532" s="13">
        <f t="shared" si="577"/>
        <v>0.20634476367698207</v>
      </c>
      <c r="I532" s="13" t="str">
        <f t="shared" si="577"/>
        <v>-</v>
      </c>
      <c r="J532" s="13" t="str">
        <f t="shared" si="577"/>
        <v>-</v>
      </c>
      <c r="K532" s="13" t="str">
        <f t="shared" si="577"/>
        <v>-</v>
      </c>
      <c r="L532" s="13" t="str">
        <f t="shared" ref="L532:O532" si="578">IFERROR(L86/SUM(L314,L419),"-")</f>
        <v>-</v>
      </c>
      <c r="M532" s="13" t="str">
        <f t="shared" si="578"/>
        <v>-</v>
      </c>
      <c r="N532" s="13">
        <f t="shared" si="578"/>
        <v>0</v>
      </c>
      <c r="O532" s="13">
        <f t="shared" si="578"/>
        <v>0</v>
      </c>
      <c r="P532" s="13">
        <f>IFERROR(P86/SUM(P314,P419),"-")</f>
        <v>0</v>
      </c>
      <c r="Q532" s="13">
        <f>IFERROR(Q86/SUM(Q314,Q419),"-")</f>
        <v>0</v>
      </c>
      <c r="S532" s="3"/>
    </row>
    <row r="533" spans="1:19" x14ac:dyDescent="0.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79">IFERROR(G87/SUM(G315,G420),"-")</f>
        <v>-</v>
      </c>
      <c r="H533" s="13" t="str">
        <f t="shared" si="579"/>
        <v>-</v>
      </c>
      <c r="I533" s="13" t="str">
        <f t="shared" si="579"/>
        <v>-</v>
      </c>
      <c r="J533" s="13" t="str">
        <f t="shared" si="579"/>
        <v>-</v>
      </c>
      <c r="K533" s="13" t="str">
        <f t="shared" si="579"/>
        <v>-</v>
      </c>
      <c r="L533" s="13" t="str">
        <f t="shared" ref="L533:O533" si="580">IFERROR(L87/SUM(L315,L420),"-")</f>
        <v>-</v>
      </c>
      <c r="M533" s="13" t="str">
        <f t="shared" si="580"/>
        <v>-</v>
      </c>
      <c r="N533" s="13" t="str">
        <f t="shared" si="580"/>
        <v>-</v>
      </c>
      <c r="O533" s="13" t="str">
        <f t="shared" si="580"/>
        <v>-</v>
      </c>
      <c r="P533" s="13" t="str">
        <f>IFERROR(P87/SUM(P315,P420),"-")</f>
        <v>-</v>
      </c>
      <c r="Q533" s="13" t="str">
        <f>IFERROR(Q87/SUM(Q315,Q420),"-")</f>
        <v>-</v>
      </c>
      <c r="S533" s="3"/>
    </row>
    <row r="534" spans="1:19" x14ac:dyDescent="0.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0.34965399909803485</v>
      </c>
      <c r="G534" s="13">
        <f t="shared" ref="G534:K534" si="581">IFERROR(G88/SUM(G316,G471),"-'")</f>
        <v>0.35198456471394524</v>
      </c>
      <c r="H534" s="13">
        <f t="shared" si="581"/>
        <v>0.35314369424174502</v>
      </c>
      <c r="I534" s="13">
        <f t="shared" si="581"/>
        <v>0.35998908793764733</v>
      </c>
      <c r="J534" s="13">
        <f t="shared" si="581"/>
        <v>0.35487028490300759</v>
      </c>
      <c r="K534" s="13">
        <f t="shared" si="581"/>
        <v>0.35777881789096</v>
      </c>
      <c r="L534" s="13">
        <f t="shared" ref="L534:O534" si="582">IFERROR(L88/SUM(L316,L471),"-'")</f>
        <v>0.21766297513893751</v>
      </c>
      <c r="M534" s="13">
        <f t="shared" si="582"/>
        <v>0.21761683635218748</v>
      </c>
      <c r="N534" s="13">
        <f t="shared" si="582"/>
        <v>0.21761343173439834</v>
      </c>
      <c r="O534" s="13">
        <f t="shared" si="582"/>
        <v>0.21799091976286156</v>
      </c>
      <c r="P534" s="13">
        <f>IFERROR(P88/SUM(P316,P471),"-'")</f>
        <v>0.21727736829165634</v>
      </c>
      <c r="Q534" s="13">
        <f>IFERROR(Q88/SUM(Q316,Q471),"-'")</f>
        <v>0.21249297529049826</v>
      </c>
      <c r="S534" s="3"/>
    </row>
    <row r="535" spans="1:19" x14ac:dyDescent="0.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83">IFERROR(F89/SUM(F317,F472),"-")</f>
        <v>-</v>
      </c>
      <c r="G535" s="13" t="str">
        <f t="shared" ref="G535:K535" si="584">IFERROR(G89/SUM(G317,G472),"-")</f>
        <v>-</v>
      </c>
      <c r="H535" s="13" t="str">
        <f t="shared" si="584"/>
        <v>-</v>
      </c>
      <c r="I535" s="13" t="str">
        <f t="shared" si="584"/>
        <v>-</v>
      </c>
      <c r="J535" s="13" t="str">
        <f t="shared" si="584"/>
        <v>-</v>
      </c>
      <c r="K535" s="13">
        <f t="shared" si="584"/>
        <v>0.3069597325998033</v>
      </c>
      <c r="L535" s="13">
        <f t="shared" ref="L535:O535" si="585">IFERROR(L89/SUM(L317,L472),"-")</f>
        <v>0.32349078394994574</v>
      </c>
      <c r="M535" s="13">
        <f t="shared" si="585"/>
        <v>0.32313000188193569</v>
      </c>
      <c r="N535" s="13">
        <f t="shared" si="585"/>
        <v>0.32313981834840366</v>
      </c>
      <c r="O535" s="13">
        <f t="shared" si="585"/>
        <v>0.32283197668683977</v>
      </c>
      <c r="P535" s="13">
        <f t="shared" ref="P535:Q543" si="586">IFERROR(P89/SUM(P317,P472),"-")</f>
        <v>0.32209631650542681</v>
      </c>
      <c r="Q535" s="13">
        <f t="shared" si="586"/>
        <v>0.31303437671509526</v>
      </c>
      <c r="S535" s="3"/>
    </row>
    <row r="536" spans="1:19" x14ac:dyDescent="0.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83"/>
        <v>-</v>
      </c>
      <c r="G536" s="13" t="str">
        <f t="shared" ref="G536:K536" si="587">IFERROR(G90/SUM(G318,G473),"-")</f>
        <v>-</v>
      </c>
      <c r="H536" s="13" t="str">
        <f t="shared" si="587"/>
        <v>-</v>
      </c>
      <c r="I536" s="13" t="str">
        <f t="shared" si="587"/>
        <v>-</v>
      </c>
      <c r="J536" s="13" t="str">
        <f t="shared" si="587"/>
        <v>-</v>
      </c>
      <c r="K536" s="13" t="str">
        <f t="shared" si="587"/>
        <v>-</v>
      </c>
      <c r="L536" s="13" t="str">
        <f t="shared" ref="L536:O536" si="588">IFERROR(L90/SUM(L318,L473),"-")</f>
        <v>-</v>
      </c>
      <c r="M536" s="13" t="str">
        <f t="shared" si="588"/>
        <v>-</v>
      </c>
      <c r="N536" s="13" t="str">
        <f t="shared" si="588"/>
        <v>-</v>
      </c>
      <c r="O536" s="13" t="str">
        <f t="shared" si="588"/>
        <v>-</v>
      </c>
      <c r="P536" s="13" t="str">
        <f t="shared" si="586"/>
        <v>-</v>
      </c>
      <c r="Q536" s="13" t="str">
        <f t="shared" si="586"/>
        <v>-</v>
      </c>
      <c r="S536" s="3"/>
    </row>
    <row r="537" spans="1:19" x14ac:dyDescent="0.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83"/>
        <v>0.24454161237013139</v>
      </c>
      <c r="G537" s="13">
        <f t="shared" ref="G537:K537" si="589">IFERROR(G91/SUM(G319,G474),"-")</f>
        <v>0.2704316257002069</v>
      </c>
      <c r="H537" s="13">
        <f t="shared" si="589"/>
        <v>0.24958524593724593</v>
      </c>
      <c r="I537" s="13">
        <f t="shared" si="589"/>
        <v>0.26495732510612091</v>
      </c>
      <c r="J537" s="13">
        <f t="shared" si="589"/>
        <v>0.26522555622319266</v>
      </c>
      <c r="K537" s="13">
        <f t="shared" si="589"/>
        <v>0.2630757594055706</v>
      </c>
      <c r="L537" s="13" t="str">
        <f t="shared" ref="L537:O537" si="590">IFERROR(L91/SUM(L319,L474),"-")</f>
        <v>-</v>
      </c>
      <c r="M537" s="13" t="str">
        <f t="shared" si="590"/>
        <v>-</v>
      </c>
      <c r="N537" s="13">
        <f t="shared" si="590"/>
        <v>0.28022169348408876</v>
      </c>
      <c r="O537" s="13">
        <f t="shared" si="590"/>
        <v>0.277157909436613</v>
      </c>
      <c r="P537" s="13">
        <f t="shared" si="586"/>
        <v>0.278884058375101</v>
      </c>
      <c r="Q537" s="13">
        <f t="shared" si="586"/>
        <v>0.2705085155098389</v>
      </c>
      <c r="S537" s="3"/>
    </row>
    <row r="538" spans="1:19" x14ac:dyDescent="0.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83"/>
        <v>-</v>
      </c>
      <c r="G538" s="13" t="str">
        <f t="shared" ref="G538:K538" si="591">IFERROR(G92/SUM(G320,G475),"-")</f>
        <v>-</v>
      </c>
      <c r="H538" s="13" t="str">
        <f t="shared" si="591"/>
        <v>-</v>
      </c>
      <c r="I538" s="13" t="str">
        <f t="shared" si="591"/>
        <v>-</v>
      </c>
      <c r="J538" s="13" t="str">
        <f t="shared" si="591"/>
        <v>-</v>
      </c>
      <c r="K538" s="13" t="str">
        <f t="shared" si="591"/>
        <v>-</v>
      </c>
      <c r="L538" s="13" t="str">
        <f t="shared" ref="L538:O538" si="592">IFERROR(L92/SUM(L320,L475),"-")</f>
        <v>-</v>
      </c>
      <c r="M538" s="13" t="str">
        <f t="shared" si="592"/>
        <v>-</v>
      </c>
      <c r="N538" s="13">
        <f t="shared" si="592"/>
        <v>0.44999999999999996</v>
      </c>
      <c r="O538" s="13">
        <f t="shared" si="592"/>
        <v>0.44999999999999951</v>
      </c>
      <c r="P538" s="13">
        <f t="shared" si="586"/>
        <v>0.45000000000000029</v>
      </c>
      <c r="Q538" s="13">
        <f t="shared" si="586"/>
        <v>0.44999999999999996</v>
      </c>
      <c r="S538" s="3"/>
    </row>
    <row r="539" spans="1:19" x14ac:dyDescent="0.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83"/>
        <v>0.27557362137595592</v>
      </c>
      <c r="G539" s="13">
        <f t="shared" ref="G539:K539" si="593">IFERROR(G93/SUM(G321,G476),"-")</f>
        <v>0.29190324403422585</v>
      </c>
      <c r="H539" s="13">
        <f t="shared" si="593"/>
        <v>0.29380857728767418</v>
      </c>
      <c r="I539" s="13">
        <f t="shared" si="593"/>
        <v>0.29891353578650343</v>
      </c>
      <c r="J539" s="13">
        <f t="shared" si="593"/>
        <v>0.30080419740125169</v>
      </c>
      <c r="K539" s="13">
        <f t="shared" si="593"/>
        <v>0.30271963603804009</v>
      </c>
      <c r="L539" s="13" t="str">
        <f t="shared" ref="L539:O539" si="594">IFERROR(L93/SUM(L321,L476),"-")</f>
        <v>-</v>
      </c>
      <c r="M539" s="13" t="str">
        <f t="shared" si="594"/>
        <v>-</v>
      </c>
      <c r="N539" s="13">
        <f t="shared" si="594"/>
        <v>0.29886617460831361</v>
      </c>
      <c r="O539" s="13">
        <f t="shared" si="594"/>
        <v>0.30236971221414194</v>
      </c>
      <c r="P539" s="13">
        <f t="shared" si="586"/>
        <v>0.29849774909189691</v>
      </c>
      <c r="Q539" s="13">
        <f t="shared" si="586"/>
        <v>0.29372822130522119</v>
      </c>
      <c r="S539" s="3"/>
    </row>
    <row r="540" spans="1:19" x14ac:dyDescent="0.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83"/>
        <v>-</v>
      </c>
      <c r="G540" s="13" t="str">
        <f t="shared" ref="G540:K540" si="595">IFERROR(G94/SUM(G322,G477),"-")</f>
        <v>-</v>
      </c>
      <c r="H540" s="13" t="str">
        <f t="shared" si="595"/>
        <v>-</v>
      </c>
      <c r="I540" s="13" t="str">
        <f t="shared" si="595"/>
        <v>-</v>
      </c>
      <c r="J540" s="13" t="str">
        <f t="shared" si="595"/>
        <v>-</v>
      </c>
      <c r="K540" s="13" t="str">
        <f t="shared" si="595"/>
        <v>-</v>
      </c>
      <c r="L540" s="13" t="str">
        <f t="shared" ref="L540:O540" si="596">IFERROR(L94/SUM(L322,L477),"-")</f>
        <v>-</v>
      </c>
      <c r="M540" s="13" t="str">
        <f t="shared" si="596"/>
        <v>-</v>
      </c>
      <c r="N540" s="13">
        <f t="shared" si="596"/>
        <v>0.44999999999999951</v>
      </c>
      <c r="O540" s="13">
        <f t="shared" si="596"/>
        <v>0.44999999999999979</v>
      </c>
      <c r="P540" s="13">
        <f t="shared" si="586"/>
        <v>0.45000000000000007</v>
      </c>
      <c r="Q540" s="13">
        <f t="shared" si="586"/>
        <v>0.44999999999999957</v>
      </c>
      <c r="S540" s="3"/>
    </row>
    <row r="541" spans="1:19" x14ac:dyDescent="0.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83"/>
        <v>0.36265484729829428</v>
      </c>
      <c r="G541" s="13">
        <f t="shared" ref="G541:K541" si="597">IFERROR(G95/SUM(G323,G478),"-")</f>
        <v>0.36307415199356891</v>
      </c>
      <c r="H541" s="13">
        <f t="shared" si="597"/>
        <v>0.36366048629634962</v>
      </c>
      <c r="I541" s="13">
        <f t="shared" si="597"/>
        <v>0.36473665444465142</v>
      </c>
      <c r="J541" s="13">
        <f t="shared" si="597"/>
        <v>0.36895997582019047</v>
      </c>
      <c r="K541" s="13">
        <f t="shared" si="597"/>
        <v>0.37375963191363404</v>
      </c>
      <c r="L541" s="13">
        <f t="shared" ref="L541:O541" si="598">IFERROR(L95/SUM(L323,L478),"-")</f>
        <v>0.37890280868595583</v>
      </c>
      <c r="M541" s="13">
        <f t="shared" si="598"/>
        <v>0.38482877613174615</v>
      </c>
      <c r="N541" s="13">
        <f t="shared" si="598"/>
        <v>0.38476891456324536</v>
      </c>
      <c r="O541" s="13">
        <f t="shared" si="598"/>
        <v>0.38452196249770382</v>
      </c>
      <c r="P541" s="13">
        <f t="shared" si="586"/>
        <v>0.38379713968128315</v>
      </c>
      <c r="Q541" s="13">
        <f t="shared" si="586"/>
        <v>0.38380444160721633</v>
      </c>
      <c r="S541" s="3"/>
    </row>
    <row r="542" spans="1:19" x14ac:dyDescent="0.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83"/>
        <v>0.35922002991665763</v>
      </c>
      <c r="G542" s="13">
        <f t="shared" ref="G542:K542" si="599">IFERROR(G96/SUM(G324,G479),"-")</f>
        <v>0.35999755326153987</v>
      </c>
      <c r="H542" s="13">
        <f t="shared" si="599"/>
        <v>0.35991933677153487</v>
      </c>
      <c r="I542" s="13">
        <f t="shared" si="599"/>
        <v>0.35963865399420775</v>
      </c>
      <c r="J542" s="13">
        <f t="shared" si="599"/>
        <v>0.35870009256247937</v>
      </c>
      <c r="K542" s="13">
        <f t="shared" si="599"/>
        <v>0.3586225582932262</v>
      </c>
      <c r="L542" s="13" t="str">
        <f t="shared" ref="L542:O542" si="600">IFERROR(L96/SUM(L324,L479),"-")</f>
        <v>-</v>
      </c>
      <c r="M542" s="13" t="str">
        <f t="shared" si="600"/>
        <v>-</v>
      </c>
      <c r="N542" s="13">
        <f t="shared" si="600"/>
        <v>0.34807353822413928</v>
      </c>
      <c r="O542" s="13">
        <f t="shared" si="600"/>
        <v>0.33823257248071997</v>
      </c>
      <c r="P542" s="13">
        <f t="shared" si="586"/>
        <v>0.33135263533317499</v>
      </c>
      <c r="Q542" s="13">
        <f t="shared" si="586"/>
        <v>0.32540559435451338</v>
      </c>
      <c r="S542" s="3"/>
    </row>
    <row r="543" spans="1:19" x14ac:dyDescent="0.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83"/>
        <v>-</v>
      </c>
      <c r="G543" s="13" t="str">
        <f t="shared" ref="G543:K543" si="601">IFERROR(G97/SUM(G325,G480),"-")</f>
        <v>-</v>
      </c>
      <c r="H543" s="13" t="str">
        <f t="shared" si="601"/>
        <v>-</v>
      </c>
      <c r="I543" s="13" t="str">
        <f t="shared" si="601"/>
        <v>-</v>
      </c>
      <c r="J543" s="13" t="str">
        <f t="shared" si="601"/>
        <v>-</v>
      </c>
      <c r="K543" s="13" t="str">
        <f t="shared" si="601"/>
        <v>-</v>
      </c>
      <c r="L543" s="13" t="str">
        <f t="shared" ref="L543:O543" si="602">IFERROR(L97/SUM(L325,L480),"-")</f>
        <v>-</v>
      </c>
      <c r="M543" s="13" t="str">
        <f t="shared" si="602"/>
        <v>-</v>
      </c>
      <c r="N543" s="13">
        <f t="shared" si="602"/>
        <v>0.61999999999999966</v>
      </c>
      <c r="O543" s="13">
        <f t="shared" si="602"/>
        <v>0.62000000000000022</v>
      </c>
      <c r="P543" s="13">
        <f t="shared" si="586"/>
        <v>0.61999999999999955</v>
      </c>
      <c r="Q543" s="13">
        <f t="shared" si="586"/>
        <v>0.62000000000000011</v>
      </c>
      <c r="S543" s="3"/>
    </row>
    <row r="544" spans="1:19" x14ac:dyDescent="0.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0.35745695376016606</v>
      </c>
      <c r="G544" s="13">
        <f t="shared" ref="G544:K544" si="603">IFERROR(G131/G359,"-")</f>
        <v>0.3574569537601659</v>
      </c>
      <c r="H544" s="13">
        <f t="shared" si="603"/>
        <v>0.35745695376016606</v>
      </c>
      <c r="I544" s="13">
        <f t="shared" si="603"/>
        <v>0.35745695376016617</v>
      </c>
      <c r="J544" s="13">
        <f t="shared" si="603"/>
        <v>0.35745695376016567</v>
      </c>
      <c r="K544" s="13">
        <f t="shared" si="603"/>
        <v>0.35745695376016601</v>
      </c>
      <c r="L544" s="13">
        <f t="shared" ref="L544:O544" si="604">IFERROR(L131/L359,"-")</f>
        <v>0.35745695376016595</v>
      </c>
      <c r="M544" s="13">
        <f t="shared" si="604"/>
        <v>0.35745695376016595</v>
      </c>
      <c r="N544" s="13">
        <f t="shared" si="604"/>
        <v>0.35745695376016595</v>
      </c>
      <c r="O544" s="13">
        <f t="shared" si="604"/>
        <v>0.35745695376016634</v>
      </c>
      <c r="P544" s="13">
        <f>IFERROR(P131/P359,"-")</f>
        <v>0.35745695376016651</v>
      </c>
      <c r="Q544" s="13">
        <f>IFERROR(Q131/Q359,"-")</f>
        <v>0.35745695376016579</v>
      </c>
      <c r="S544" s="3"/>
    </row>
    <row r="545" spans="2:19" x14ac:dyDescent="0.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605">IFERROR(G132/G360,"-")</f>
        <v>-</v>
      </c>
      <c r="H545" s="13" t="str">
        <f t="shared" si="605"/>
        <v>-</v>
      </c>
      <c r="I545" s="13" t="str">
        <f t="shared" si="605"/>
        <v>-</v>
      </c>
      <c r="J545" s="13" t="str">
        <f t="shared" si="605"/>
        <v>-</v>
      </c>
      <c r="K545" s="13">
        <f t="shared" si="605"/>
        <v>0.3347083932228691</v>
      </c>
      <c r="L545" s="13">
        <f t="shared" ref="L545:O545" si="606">IFERROR(L132/L360,"-")</f>
        <v>0.33805547715509787</v>
      </c>
      <c r="M545" s="13">
        <f t="shared" si="606"/>
        <v>0.34140256108732603</v>
      </c>
      <c r="N545" s="13">
        <f t="shared" si="606"/>
        <v>0.34140256108732553</v>
      </c>
      <c r="O545" s="13">
        <f t="shared" si="606"/>
        <v>0.34140256108732642</v>
      </c>
      <c r="P545" s="13">
        <f>IFERROR(P132/P360,"-")</f>
        <v>0.34140256108732608</v>
      </c>
      <c r="Q545" s="13">
        <f>IFERROR(Q132/Q360,"-")</f>
        <v>0.34140256108732597</v>
      </c>
      <c r="S545" s="3"/>
    </row>
    <row r="546" spans="2:19" x14ac:dyDescent="0.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3.8383652909833449E-2</v>
      </c>
      <c r="G546" s="13">
        <f t="shared" ref="G546:K546" si="607">IFERROR(G133/SUM(G361,G428),"-")</f>
        <v>3.7337570070010775E-2</v>
      </c>
      <c r="H546" s="13">
        <f t="shared" si="607"/>
        <v>3.7677842270504532E-2</v>
      </c>
      <c r="I546" s="13">
        <f t="shared" si="607"/>
        <v>3.7310105893751042E-2</v>
      </c>
      <c r="J546" s="13">
        <f t="shared" si="607"/>
        <v>3.7268497739183788E-2</v>
      </c>
      <c r="K546" s="13">
        <f t="shared" si="607"/>
        <v>3.4929338615621155E-2</v>
      </c>
      <c r="L546" s="13">
        <f t="shared" ref="L546:O546" si="608">IFERROR(L133/SUM(L361,L428),"-")</f>
        <v>2.5702014040354503E-2</v>
      </c>
      <c r="M546" s="13">
        <f t="shared" si="608"/>
        <v>2.5287661626260352E-2</v>
      </c>
      <c r="N546" s="13">
        <f t="shared" si="608"/>
        <v>2.4905969049775812E-2</v>
      </c>
      <c r="O546" s="13">
        <f t="shared" si="608"/>
        <v>2.4773171657556044E-2</v>
      </c>
      <c r="P546" s="13">
        <f>IFERROR(P133/SUM(P361,P428),"-")</f>
        <v>2.4643201629884318E-2</v>
      </c>
      <c r="Q546" s="13">
        <f>IFERROR(Q133/SUM(Q361,Q428),"-")</f>
        <v>2.4516008936521724E-2</v>
      </c>
      <c r="S546" s="3"/>
    </row>
    <row r="547" spans="2:19" x14ac:dyDescent="0.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609">IFERROR(G134/SUM(G362,G429),"-")</f>
        <v>-</v>
      </c>
      <c r="H547" s="13" t="str">
        <f t="shared" si="609"/>
        <v>-</v>
      </c>
      <c r="I547" s="13" t="str">
        <f t="shared" si="609"/>
        <v>-</v>
      </c>
      <c r="J547" s="13" t="str">
        <f t="shared" si="609"/>
        <v>-</v>
      </c>
      <c r="K547" s="13">
        <f t="shared" si="609"/>
        <v>4.8242849883234788E-2</v>
      </c>
      <c r="L547" s="13">
        <f t="shared" ref="L547:O547" si="610">IFERROR(L134/SUM(L362,L429),"-")</f>
        <v>5.1121424941617435E-2</v>
      </c>
      <c r="M547" s="13">
        <f t="shared" si="610"/>
        <v>5.400000000000002E-2</v>
      </c>
      <c r="N547" s="13">
        <f t="shared" si="610"/>
        <v>5.3999999999999972E-2</v>
      </c>
      <c r="O547" s="13">
        <f t="shared" si="610"/>
        <v>5.4000000000000006E-2</v>
      </c>
      <c r="P547" s="13">
        <f>IFERROR(P134/SUM(P362,P429),"-")</f>
        <v>5.4000000000000006E-2</v>
      </c>
      <c r="Q547" s="13">
        <f>IFERROR(Q134/SUM(Q362,Q429),"-")</f>
        <v>5.3999999999999972E-2</v>
      </c>
      <c r="S547" s="3"/>
    </row>
    <row r="548" spans="2:19" x14ac:dyDescent="0.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6.197296697477013E-2</v>
      </c>
      <c r="G548" s="13">
        <f t="shared" ref="G548:K548" si="611">IFERROR(G135/SUM(G363,G504),"-")</f>
        <v>6.1972743796314879E-2</v>
      </c>
      <c r="H548" s="13">
        <f t="shared" si="611"/>
        <v>6.197265056735525E-2</v>
      </c>
      <c r="I548" s="13">
        <f t="shared" si="611"/>
        <v>6.1972650567355264E-2</v>
      </c>
      <c r="J548" s="13">
        <f t="shared" si="611"/>
        <v>6.1972650567355306E-2</v>
      </c>
      <c r="K548" s="13">
        <f t="shared" si="611"/>
        <v>6.1972650567355243E-2</v>
      </c>
      <c r="L548" s="13">
        <f t="shared" ref="L548:O548" si="612">IFERROR(L135/SUM(L363,L504),"-")</f>
        <v>6.1972650567355264E-2</v>
      </c>
      <c r="M548" s="13">
        <f t="shared" si="612"/>
        <v>6.1972650567355264E-2</v>
      </c>
      <c r="N548" s="13">
        <f t="shared" si="612"/>
        <v>6.1972650567355278E-2</v>
      </c>
      <c r="O548" s="13">
        <f t="shared" si="612"/>
        <v>6.1972650567355264E-2</v>
      </c>
      <c r="P548" s="13">
        <f>IFERROR(P135/SUM(P363,P504),"-")</f>
        <v>6.1972650567355271E-2</v>
      </c>
      <c r="Q548" s="13">
        <f>IFERROR(Q135/SUM(Q363,Q504),"-")</f>
        <v>6.1972650567355361E-2</v>
      </c>
      <c r="S548" s="3"/>
    </row>
    <row r="549" spans="2:19" x14ac:dyDescent="0.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613">IFERROR(G136/SUM(G364,G505),"-")</f>
        <v>-</v>
      </c>
      <c r="H549" s="13" t="str">
        <f t="shared" si="613"/>
        <v>-</v>
      </c>
      <c r="I549" s="13" t="str">
        <f t="shared" si="613"/>
        <v>-</v>
      </c>
      <c r="J549" s="13" t="str">
        <f t="shared" si="613"/>
        <v>-</v>
      </c>
      <c r="K549" s="13">
        <f t="shared" si="613"/>
        <v>4.788082384705046E-2</v>
      </c>
      <c r="L549" s="13">
        <f t="shared" ref="L549:O549" si="614">IFERROR(L136/SUM(L364,L505),"-")</f>
        <v>4.6820724841429656E-2</v>
      </c>
      <c r="M549" s="13">
        <f t="shared" si="614"/>
        <v>4.5431760215214292E-2</v>
      </c>
      <c r="N549" s="13">
        <f t="shared" si="614"/>
        <v>4.5431760215214265E-2</v>
      </c>
      <c r="O549" s="13">
        <f t="shared" si="614"/>
        <v>4.5431760215214279E-2</v>
      </c>
      <c r="P549" s="13">
        <f>IFERROR(P136/SUM(P364,P505),"-")</f>
        <v>4.5431760215214313E-2</v>
      </c>
      <c r="Q549" s="13">
        <f>IFERROR(Q136/SUM(Q364,Q505),"-")</f>
        <v>4.5431760215214272E-2</v>
      </c>
      <c r="S549" s="3"/>
    </row>
    <row r="550" spans="2:19" x14ac:dyDescent="0.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0.24383280254666551</v>
      </c>
      <c r="G550" s="13">
        <f t="shared" ref="G550:K550" si="615">IFERROR(G152/SUM(G380,G437),"-")</f>
        <v>0.22140734982924065</v>
      </c>
      <c r="H550" s="13">
        <f t="shared" si="615"/>
        <v>0.25776189326311144</v>
      </c>
      <c r="I550" s="13">
        <f t="shared" si="615"/>
        <v>0.24428895305267254</v>
      </c>
      <c r="J550" s="13">
        <f t="shared" si="615"/>
        <v>0.25228552791245917</v>
      </c>
      <c r="K550" s="13">
        <f t="shared" si="615"/>
        <v>0.30621094887095163</v>
      </c>
      <c r="L550" s="13">
        <f t="shared" ref="L550:O550" si="616">IFERROR(L152/SUM(L380,L437),"-")</f>
        <v>0.30577562656344709</v>
      </c>
      <c r="M550" s="13">
        <f t="shared" si="616"/>
        <v>0.30588697215276817</v>
      </c>
      <c r="N550" s="13">
        <f t="shared" si="616"/>
        <v>0.30599372775785511</v>
      </c>
      <c r="O550" s="13">
        <f t="shared" si="616"/>
        <v>0.30609889730575013</v>
      </c>
      <c r="P550" s="13">
        <f>IFERROR(P152/SUM(P380,P437),"-")</f>
        <v>0.30607731543971611</v>
      </c>
      <c r="Q550" s="13">
        <f>IFERROR(Q152/SUM(Q380,Q437),"-")</f>
        <v>0.30601462017108544</v>
      </c>
      <c r="S550" s="3"/>
    </row>
    <row r="551" spans="2:19" x14ac:dyDescent="0.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617">IFERROR(G153/G381,"-")</f>
        <v>-</v>
      </c>
      <c r="H551" s="13" t="str">
        <f t="shared" si="617"/>
        <v>-</v>
      </c>
      <c r="I551" s="13" t="str">
        <f t="shared" si="617"/>
        <v>-</v>
      </c>
      <c r="J551" s="13" t="str">
        <f t="shared" si="617"/>
        <v>-</v>
      </c>
      <c r="K551" s="13">
        <f t="shared" si="617"/>
        <v>0.14250383305205161</v>
      </c>
      <c r="L551" s="13">
        <f t="shared" ref="L551:O551" si="618">IFERROR(L153/L381,"-")</f>
        <v>0.23607402743388364</v>
      </c>
      <c r="M551" s="13">
        <f t="shared" si="618"/>
        <v>0.26442052263026478</v>
      </c>
      <c r="N551" s="13">
        <f t="shared" si="618"/>
        <v>0.26412099681810874</v>
      </c>
      <c r="O551" s="13">
        <f t="shared" si="618"/>
        <v>0.26412275462657203</v>
      </c>
      <c r="P551" s="13">
        <f>IFERROR(P153/P381,"-")</f>
        <v>0.26282967104950972</v>
      </c>
      <c r="Q551" s="13">
        <f>IFERROR(Q153/Q381,"-")</f>
        <v>0.26418394062905681</v>
      </c>
      <c r="S551" s="3"/>
    </row>
    <row r="552" spans="2:19" x14ac:dyDescent="0.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0.19762329062294745</v>
      </c>
      <c r="G552" s="13">
        <f t="shared" ref="G552:K552" si="619">IFERROR(G154/SUM(G382,G513),"-")</f>
        <v>0.22581562996295587</v>
      </c>
      <c r="H552" s="13">
        <f t="shared" si="619"/>
        <v>0.24935756563306721</v>
      </c>
      <c r="I552" s="13">
        <f t="shared" si="619"/>
        <v>0.30362677014435113</v>
      </c>
      <c r="J552" s="13">
        <f t="shared" si="619"/>
        <v>0.28516459862932875</v>
      </c>
      <c r="K552" s="13">
        <f t="shared" si="619"/>
        <v>0.35235636660461334</v>
      </c>
      <c r="L552" s="13">
        <f t="shared" ref="L552:O552" si="620">IFERROR(L154/SUM(L382,L513),"-")</f>
        <v>0.35975857008839085</v>
      </c>
      <c r="M552" s="13">
        <f t="shared" si="620"/>
        <v>0.31169527171820366</v>
      </c>
      <c r="N552" s="13">
        <f t="shared" si="620"/>
        <v>0.3408415802007369</v>
      </c>
      <c r="O552" s="13">
        <f t="shared" si="620"/>
        <v>0.32632437226221311</v>
      </c>
      <c r="P552" s="13">
        <f t="shared" ref="P552:Q556" si="621">IFERROR(P154/SUM(P382,P513),"-")</f>
        <v>0.32406317739236196</v>
      </c>
      <c r="Q552" s="13">
        <f t="shared" si="621"/>
        <v>0.26273224412446428</v>
      </c>
      <c r="S552" s="3"/>
    </row>
    <row r="553" spans="2:19" x14ac:dyDescent="0.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622">IFERROR(G155/SUM(G383,G514),"-")</f>
        <v>-</v>
      </c>
      <c r="H553" s="13" t="str">
        <f t="shared" si="622"/>
        <v>-</v>
      </c>
      <c r="I553" s="13" t="str">
        <f t="shared" si="622"/>
        <v>-</v>
      </c>
      <c r="J553" s="13" t="str">
        <f t="shared" si="622"/>
        <v>-</v>
      </c>
      <c r="K553" s="13">
        <f t="shared" si="622"/>
        <v>0.33534491677303468</v>
      </c>
      <c r="L553" s="13">
        <f t="shared" ref="L553:O553" si="623">IFERROR(L155/SUM(L383,L514),"-")</f>
        <v>0.34201098506464284</v>
      </c>
      <c r="M553" s="13">
        <f t="shared" si="623"/>
        <v>0.34902915050024114</v>
      </c>
      <c r="N553" s="13">
        <f t="shared" si="623"/>
        <v>0.34904453355263021</v>
      </c>
      <c r="O553" s="13">
        <f t="shared" si="623"/>
        <v>0.34902216245014561</v>
      </c>
      <c r="P553" s="13">
        <f t="shared" si="621"/>
        <v>0.34901592309411783</v>
      </c>
      <c r="Q553" s="13">
        <f t="shared" si="621"/>
        <v>0.3489275946448161</v>
      </c>
      <c r="S553" s="3"/>
    </row>
    <row r="554" spans="2:19" x14ac:dyDescent="0.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624">IFERROR(G156/SUM(G384,G515),"-")</f>
        <v>-</v>
      </c>
      <c r="H554" s="13" t="str">
        <f t="shared" si="624"/>
        <v>-</v>
      </c>
      <c r="I554" s="13">
        <f t="shared" si="624"/>
        <v>0.17403837293805616</v>
      </c>
      <c r="J554" s="13">
        <f t="shared" si="624"/>
        <v>0.17751718008029277</v>
      </c>
      <c r="K554" s="13">
        <f t="shared" si="624"/>
        <v>0.23133312624911434</v>
      </c>
      <c r="L554" s="13">
        <f t="shared" ref="L554:O554" si="625">IFERROR(L156/SUM(L384,L515),"-")</f>
        <v>0.25214857426258147</v>
      </c>
      <c r="M554" s="13">
        <f t="shared" si="625"/>
        <v>0.25692105832928741</v>
      </c>
      <c r="N554" s="13">
        <f t="shared" si="625"/>
        <v>0.25996232024410898</v>
      </c>
      <c r="O554" s="13">
        <f t="shared" si="625"/>
        <v>0.2447066868520022</v>
      </c>
      <c r="P554" s="13">
        <f t="shared" si="621"/>
        <v>0.25136042405079828</v>
      </c>
      <c r="Q554" s="13">
        <f t="shared" si="621"/>
        <v>0.23244596790578492</v>
      </c>
      <c r="S554" s="3"/>
    </row>
    <row r="555" spans="2:19" x14ac:dyDescent="0.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626">IFERROR(G157/SUM(G385,G516),"-")</f>
        <v>-</v>
      </c>
      <c r="H555" s="13" t="str">
        <f t="shared" si="626"/>
        <v>-</v>
      </c>
      <c r="I555" s="13">
        <f t="shared" si="626"/>
        <v>0.20330268191070849</v>
      </c>
      <c r="J555" s="13">
        <f t="shared" si="626"/>
        <v>0.20776038903052468</v>
      </c>
      <c r="K555" s="13">
        <f t="shared" si="626"/>
        <v>0.27281225461623343</v>
      </c>
      <c r="L555" s="13">
        <f t="shared" ref="L555:O555" si="627">IFERROR(L157/SUM(L385,L516),"-")</f>
        <v>0.27923122609074702</v>
      </c>
      <c r="M555" s="13">
        <f t="shared" si="627"/>
        <v>0.28502917035250236</v>
      </c>
      <c r="N555" s="13">
        <f t="shared" si="627"/>
        <v>0.28523210713782227</v>
      </c>
      <c r="O555" s="13">
        <f t="shared" si="627"/>
        <v>0.28501894590999599</v>
      </c>
      <c r="P555" s="13">
        <f t="shared" si="621"/>
        <v>0.28513014463492747</v>
      </c>
      <c r="Q555" s="13">
        <f t="shared" si="621"/>
        <v>0.28434727205180993</v>
      </c>
      <c r="S555" s="3"/>
    </row>
    <row r="556" spans="2:19" x14ac:dyDescent="0.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628">IFERROR(G158/SUM(G386,G517),"-")</f>
        <v>-</v>
      </c>
      <c r="H556" s="13" t="str">
        <f t="shared" si="628"/>
        <v>-</v>
      </c>
      <c r="I556" s="13">
        <f t="shared" si="628"/>
        <v>0.26131644711655605</v>
      </c>
      <c r="J556" s="13">
        <f t="shared" si="628"/>
        <v>0.23226278921897991</v>
      </c>
      <c r="K556" s="13">
        <f t="shared" si="628"/>
        <v>0.33908545620374236</v>
      </c>
      <c r="L556" s="13">
        <f t="shared" ref="L556:O556" si="629">IFERROR(L158/SUM(L386,L517),"-")</f>
        <v>0.35141424871169208</v>
      </c>
      <c r="M556" s="13">
        <f t="shared" si="629"/>
        <v>0.34842354732873909</v>
      </c>
      <c r="N556" s="13">
        <f t="shared" si="629"/>
        <v>0.35315116394633411</v>
      </c>
      <c r="O556" s="13">
        <f t="shared" si="629"/>
        <v>0.33376364760712707</v>
      </c>
      <c r="P556" s="13">
        <f t="shared" si="621"/>
        <v>0.34371109924239335</v>
      </c>
      <c r="Q556" s="13">
        <f t="shared" si="621"/>
        <v>0.31593820476312023</v>
      </c>
      <c r="S556" s="3"/>
    </row>
    <row r="557" spans="2:19" x14ac:dyDescent="0.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M557" s="13">
        <v>1</v>
      </c>
      <c r="N557" s="13">
        <v>1</v>
      </c>
      <c r="O557" s="13">
        <v>1</v>
      </c>
      <c r="P557" s="13">
        <v>1</v>
      </c>
      <c r="Q557" s="13">
        <v>1</v>
      </c>
      <c r="S557" s="3"/>
    </row>
    <row r="558" spans="2:19" x14ac:dyDescent="0.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M558" s="13">
        <v>1</v>
      </c>
      <c r="N558" s="13">
        <v>1</v>
      </c>
      <c r="O558" s="13">
        <v>1</v>
      </c>
      <c r="P558" s="13">
        <v>1</v>
      </c>
      <c r="Q558" s="13">
        <v>1</v>
      </c>
      <c r="S558" s="3"/>
    </row>
    <row r="559" spans="2:19" x14ac:dyDescent="0.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M559" s="13">
        <v>1</v>
      </c>
      <c r="N559" s="13">
        <v>1</v>
      </c>
      <c r="O559" s="13">
        <v>1</v>
      </c>
      <c r="P559" s="13">
        <v>1</v>
      </c>
      <c r="Q559" s="13">
        <v>1</v>
      </c>
      <c r="S559" s="3"/>
    </row>
    <row r="560" spans="2:19" x14ac:dyDescent="0.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M560" s="13">
        <v>1</v>
      </c>
      <c r="N560" s="13">
        <v>1</v>
      </c>
      <c r="O560" s="13">
        <v>1</v>
      </c>
      <c r="P560" s="13">
        <v>1</v>
      </c>
      <c r="Q560" s="13">
        <v>1</v>
      </c>
      <c r="S560" s="3"/>
    </row>
    <row r="561" spans="2:19" x14ac:dyDescent="0.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M561" s="13">
        <v>1</v>
      </c>
      <c r="N561" s="13">
        <v>1</v>
      </c>
      <c r="O561" s="13">
        <v>1</v>
      </c>
      <c r="P561" s="13">
        <v>1</v>
      </c>
      <c r="Q561" s="13">
        <v>1</v>
      </c>
      <c r="S561" s="3"/>
    </row>
    <row r="562" spans="2:19" x14ac:dyDescent="0.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M562" s="13">
        <v>1</v>
      </c>
      <c r="N562" s="13">
        <v>1</v>
      </c>
      <c r="O562" s="13">
        <v>1</v>
      </c>
      <c r="P562" s="13">
        <v>1</v>
      </c>
      <c r="Q562" s="13">
        <v>1</v>
      </c>
      <c r="S562" s="3"/>
    </row>
    <row r="563" spans="2:19" x14ac:dyDescent="0.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630">IFERROR(G168/G396,"-")</f>
        <v>-</v>
      </c>
      <c r="H563" s="13" t="str">
        <f t="shared" si="630"/>
        <v>-</v>
      </c>
      <c r="I563" s="13" t="str">
        <f t="shared" si="630"/>
        <v>-</v>
      </c>
      <c r="J563" s="13" t="str">
        <f t="shared" si="630"/>
        <v>-</v>
      </c>
      <c r="K563" s="13" t="str">
        <f t="shared" si="630"/>
        <v>-</v>
      </c>
      <c r="L563" s="13">
        <f t="shared" ref="L563:O563" si="631">IFERROR(L168/L396,"-")</f>
        <v>0.15000000000000011</v>
      </c>
      <c r="M563" s="13">
        <f t="shared" si="631"/>
        <v>0.15</v>
      </c>
      <c r="N563" s="13">
        <f t="shared" si="631"/>
        <v>0.15000000000000011</v>
      </c>
      <c r="O563" s="13">
        <f t="shared" si="631"/>
        <v>0.15</v>
      </c>
      <c r="P563" s="13">
        <f>IFERROR(P168/P396,"-")</f>
        <v>0.14999999999999997</v>
      </c>
      <c r="Q563" s="13">
        <f>IFERROR(Q168/Q396,"-")</f>
        <v>0.15</v>
      </c>
      <c r="S563" s="3"/>
    </row>
    <row r="564" spans="2:19" x14ac:dyDescent="0.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632">IFERROR(G170/SUM(G398,G439),"-")</f>
        <v>-</v>
      </c>
      <c r="H564" s="13" t="str">
        <f t="shared" si="632"/>
        <v>-</v>
      </c>
      <c r="I564" s="13" t="str">
        <f t="shared" si="632"/>
        <v>-</v>
      </c>
      <c r="J564" s="13" t="str">
        <f t="shared" si="632"/>
        <v>-</v>
      </c>
      <c r="K564" s="13">
        <f t="shared" si="632"/>
        <v>0.41999999999999987</v>
      </c>
      <c r="L564" s="13">
        <f t="shared" ref="L564:O564" si="633">IFERROR(L170/SUM(L398,L439),"-")</f>
        <v>0.41999999999999993</v>
      </c>
      <c r="M564" s="13">
        <f t="shared" si="633"/>
        <v>0.41999999999999987</v>
      </c>
      <c r="N564" s="13">
        <f t="shared" si="633"/>
        <v>0.41999999999999982</v>
      </c>
      <c r="O564" s="13">
        <f t="shared" si="633"/>
        <v>0.4199999999999996</v>
      </c>
      <c r="P564" s="13">
        <f>IFERROR(P170/SUM(P398,P439),"-")</f>
        <v>0.42000000000000021</v>
      </c>
      <c r="Q564" s="13">
        <f>IFERROR(Q170/SUM(Q398,Q439),"-")</f>
        <v>0.4200000000000001</v>
      </c>
      <c r="S564" s="3"/>
    </row>
    <row r="565" spans="2:19" x14ac:dyDescent="0.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634">IFERROR(G171/SUM(G399,G519),"-")</f>
        <v>-</v>
      </c>
      <c r="H565" s="13" t="str">
        <f t="shared" si="634"/>
        <v>-</v>
      </c>
      <c r="I565" s="13">
        <f t="shared" si="634"/>
        <v>0.49500000000000061</v>
      </c>
      <c r="J565" s="13">
        <f t="shared" si="634"/>
        <v>0.52250000000000041</v>
      </c>
      <c r="K565" s="13">
        <f t="shared" si="634"/>
        <v>0.54999999999999993</v>
      </c>
      <c r="L565" s="13">
        <f t="shared" ref="L565:O565" si="635">IFERROR(L171/SUM(L399,L519),"-")</f>
        <v>0.57499999999999984</v>
      </c>
      <c r="M565" s="13">
        <f t="shared" si="635"/>
        <v>0.60000000000000031</v>
      </c>
      <c r="N565" s="13">
        <f t="shared" si="635"/>
        <v>0.59999999999999987</v>
      </c>
      <c r="O565" s="13">
        <f t="shared" si="635"/>
        <v>0.59999999999999976</v>
      </c>
      <c r="P565" s="13">
        <f>IFERROR(P171/SUM(P399,P519),"-")</f>
        <v>0.60000000000000042</v>
      </c>
      <c r="Q565" s="13">
        <f>IFERROR(Q171/SUM(Q399,Q519),"-")</f>
        <v>0.60000000000000031</v>
      </c>
      <c r="S565" s="3"/>
    </row>
    <row r="566" spans="2:19" x14ac:dyDescent="0.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36">IFERROR(G172/SUM(G400,G520),"-")</f>
        <v>-</v>
      </c>
      <c r="H566" s="13" t="str">
        <f t="shared" si="636"/>
        <v>-</v>
      </c>
      <c r="I566" s="13">
        <f t="shared" si="636"/>
        <v>0.47499999999999998</v>
      </c>
      <c r="J566" s="13">
        <f t="shared" si="636"/>
        <v>0.5075000000000004</v>
      </c>
      <c r="K566" s="13">
        <f t="shared" si="636"/>
        <v>0.53999999999999992</v>
      </c>
      <c r="L566" s="13">
        <f t="shared" ref="L566:O566" si="637">IFERROR(L172/SUM(L400,L520),"-")</f>
        <v>0.55750000000000066</v>
      </c>
      <c r="M566" s="13">
        <f t="shared" si="637"/>
        <v>0.57500000000000084</v>
      </c>
      <c r="N566" s="13">
        <f t="shared" si="637"/>
        <v>0.57500000000000029</v>
      </c>
      <c r="O566" s="13">
        <f t="shared" si="637"/>
        <v>0.57499999999999996</v>
      </c>
      <c r="P566" s="13">
        <f>IFERROR(P172/SUM(P400,P520),"-")</f>
        <v>0.57499999999999984</v>
      </c>
      <c r="Q566" s="13">
        <f>IFERROR(Q172/SUM(Q400,Q520),"-")</f>
        <v>0.57499999999999996</v>
      </c>
      <c r="S566" s="3"/>
    </row>
    <row r="567" spans="2:19" x14ac:dyDescent="0.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38">IFERROR(F174/F402,"-")</f>
        <v>0.69998258622929421</v>
      </c>
      <c r="G567" s="13">
        <f t="shared" si="638"/>
        <v>0.69998716900155566</v>
      </c>
      <c r="H567" s="13">
        <f t="shared" si="638"/>
        <v>0.69999901980551582</v>
      </c>
      <c r="I567" s="13">
        <f t="shared" si="638"/>
        <v>0.69999798624507126</v>
      </c>
      <c r="J567" s="13">
        <f t="shared" si="638"/>
        <v>0.69999567509850091</v>
      </c>
      <c r="K567" s="13">
        <f t="shared" si="638"/>
        <v>0.69999706258531424</v>
      </c>
      <c r="L567" s="13">
        <f t="shared" ref="L567:O567" si="639">IFERROR(L174/L402,"-")</f>
        <v>0.69999668680969107</v>
      </c>
      <c r="M567" s="13">
        <f t="shared" si="639"/>
        <v>0.69999817484936999</v>
      </c>
      <c r="N567" s="13">
        <f t="shared" si="639"/>
        <v>0.69999827438212447</v>
      </c>
      <c r="O567" s="13">
        <f t="shared" si="639"/>
        <v>0.69999815282651345</v>
      </c>
      <c r="P567" s="13">
        <f t="shared" ref="P567:Q573" si="640">IFERROR(P174/P402,"-")</f>
        <v>0.69999844422247748</v>
      </c>
      <c r="Q567" s="13">
        <f t="shared" si="640"/>
        <v>0.69999804159518009</v>
      </c>
      <c r="S567" s="3"/>
    </row>
    <row r="568" spans="2:19" x14ac:dyDescent="0.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38"/>
        <v>0.86679498789242271</v>
      </c>
      <c r="G568" s="13">
        <f t="shared" si="638"/>
        <v>0.86657427801972819</v>
      </c>
      <c r="H568" s="13">
        <f t="shared" si="638"/>
        <v>0.86696296296144693</v>
      </c>
      <c r="I568" s="13">
        <f t="shared" si="638"/>
        <v>0.86693375636277736</v>
      </c>
      <c r="J568" s="13">
        <f t="shared" si="638"/>
        <v>0.86703914990383213</v>
      </c>
      <c r="K568" s="13">
        <f t="shared" si="638"/>
        <v>0.86703931436294113</v>
      </c>
      <c r="L568" s="13">
        <f t="shared" ref="L568:O568" si="641">IFERROR(L175/L403,"-")</f>
        <v>0.86703932152858609</v>
      </c>
      <c r="M568" s="13">
        <f t="shared" si="641"/>
        <v>0.86703921999836264</v>
      </c>
      <c r="N568" s="13">
        <f t="shared" si="641"/>
        <v>0.8670393024113433</v>
      </c>
      <c r="O568" s="13">
        <f t="shared" si="641"/>
        <v>0.86703926793820785</v>
      </c>
      <c r="P568" s="13">
        <f t="shared" si="640"/>
        <v>0.86703927269515624</v>
      </c>
      <c r="Q568" s="13">
        <f t="shared" si="640"/>
        <v>0.86703913506727393</v>
      </c>
      <c r="S568" s="3"/>
    </row>
    <row r="569" spans="2:19" x14ac:dyDescent="0.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38"/>
        <v>0.89405499170396052</v>
      </c>
      <c r="G569" s="13">
        <f t="shared" si="638"/>
        <v>0.89419787049566357</v>
      </c>
      <c r="H569" s="13">
        <f t="shared" si="638"/>
        <v>0.89416515626220161</v>
      </c>
      <c r="I569" s="13">
        <f t="shared" si="638"/>
        <v>0.89414415358694799</v>
      </c>
      <c r="J569" s="13">
        <f t="shared" si="638"/>
        <v>0.89425518705211182</v>
      </c>
      <c r="K569" s="13">
        <f t="shared" si="638"/>
        <v>0.89426801177085424</v>
      </c>
      <c r="L569" s="13">
        <f t="shared" ref="L569:O569" si="642">IFERROR(L176/L404,"-")</f>
        <v>0.89426964018859545</v>
      </c>
      <c r="M569" s="13">
        <f t="shared" si="642"/>
        <v>0.89426953772194595</v>
      </c>
      <c r="N569" s="13">
        <f t="shared" si="642"/>
        <v>0.89426963454644315</v>
      </c>
      <c r="O569" s="13">
        <f t="shared" si="642"/>
        <v>0.8942696166286801</v>
      </c>
      <c r="P569" s="13">
        <f t="shared" si="640"/>
        <v>0.89426962996145087</v>
      </c>
      <c r="Q569" s="13">
        <f t="shared" si="640"/>
        <v>0.89426961402420324</v>
      </c>
      <c r="S569" s="3"/>
    </row>
    <row r="570" spans="2:19" x14ac:dyDescent="0.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38"/>
        <v>0.90381618113028883</v>
      </c>
      <c r="G570" s="13">
        <f t="shared" si="638"/>
        <v>0.90369895426237645</v>
      </c>
      <c r="H570" s="13">
        <f t="shared" si="638"/>
        <v>0.90393405911053348</v>
      </c>
      <c r="I570" s="13">
        <f t="shared" si="638"/>
        <v>0.9042686699617406</v>
      </c>
      <c r="J570" s="13">
        <f t="shared" si="638"/>
        <v>0.90426930171224562</v>
      </c>
      <c r="K570" s="13">
        <f t="shared" si="638"/>
        <v>0.90426960339132567</v>
      </c>
      <c r="L570" s="13">
        <f t="shared" ref="L570:O570" si="643">IFERROR(L177/L405,"-")</f>
        <v>0.90426956104488143</v>
      </c>
      <c r="M570" s="13">
        <f t="shared" si="643"/>
        <v>0.9042689159336994</v>
      </c>
      <c r="N570" s="13">
        <f t="shared" si="643"/>
        <v>0.9042694200276753</v>
      </c>
      <c r="O570" s="13">
        <f t="shared" si="643"/>
        <v>0.90426922706738389</v>
      </c>
      <c r="P570" s="13">
        <f t="shared" si="640"/>
        <v>0.90426930270449468</v>
      </c>
      <c r="Q570" s="13">
        <f t="shared" si="640"/>
        <v>0.90426886259983252</v>
      </c>
      <c r="S570" s="3"/>
    </row>
    <row r="571" spans="2:19" x14ac:dyDescent="0.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38"/>
        <v>0.90381794406446947</v>
      </c>
      <c r="G571" s="13">
        <f t="shared" si="638"/>
        <v>0.90370116910281206</v>
      </c>
      <c r="H571" s="13">
        <f t="shared" si="638"/>
        <v>0.90393538166369636</v>
      </c>
      <c r="I571" s="13">
        <f t="shared" si="638"/>
        <v>0.90426327979277121</v>
      </c>
      <c r="J571" s="13">
        <f t="shared" si="638"/>
        <v>0.90426555819244114</v>
      </c>
      <c r="K571" s="13">
        <f t="shared" si="638"/>
        <v>0.90426774526011366</v>
      </c>
      <c r="L571" s="13">
        <f t="shared" ref="L571:O571" si="644">IFERROR(L178/L406,"-")</f>
        <v>0.9042672020762248</v>
      </c>
      <c r="M571" s="13">
        <f t="shared" si="644"/>
        <v>0.90426036814018995</v>
      </c>
      <c r="N571" s="13">
        <f t="shared" si="644"/>
        <v>0.90426246029955581</v>
      </c>
      <c r="O571" s="13">
        <f t="shared" si="644"/>
        <v>0.90426119660733228</v>
      </c>
      <c r="P571" s="13">
        <f t="shared" si="640"/>
        <v>0.9042625804824348</v>
      </c>
      <c r="Q571" s="13">
        <f t="shared" si="640"/>
        <v>0.90426113526324392</v>
      </c>
      <c r="S571" s="3"/>
    </row>
    <row r="572" spans="2:19" x14ac:dyDescent="0.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38"/>
        <v>0.90381776550436455</v>
      </c>
      <c r="G572" s="13">
        <f t="shared" si="638"/>
        <v>0.90370094049850636</v>
      </c>
      <c r="H572" s="13">
        <f t="shared" si="638"/>
        <v>0.90393520363601798</v>
      </c>
      <c r="I572" s="13">
        <f t="shared" si="638"/>
        <v>0.90426575456298985</v>
      </c>
      <c r="J572" s="13">
        <f t="shared" si="638"/>
        <v>0.90426769714709909</v>
      </c>
      <c r="K572" s="13">
        <f t="shared" si="638"/>
        <v>0.90426887631009722</v>
      </c>
      <c r="L572" s="13">
        <f t="shared" ref="L572:O572" si="645">IFERROR(L179/L407,"-")</f>
        <v>0.90426760697764175</v>
      </c>
      <c r="M572" s="13">
        <f t="shared" si="645"/>
        <v>0.9042662032807427</v>
      </c>
      <c r="N572" s="13">
        <f t="shared" si="645"/>
        <v>0.90426775630384959</v>
      </c>
      <c r="O572" s="13">
        <f t="shared" si="645"/>
        <v>0.90426586476318427</v>
      </c>
      <c r="P572" s="13">
        <f t="shared" si="640"/>
        <v>0.90426690473581706</v>
      </c>
      <c r="Q572" s="13">
        <f t="shared" si="640"/>
        <v>0.90426612857300592</v>
      </c>
      <c r="S572" s="3"/>
    </row>
    <row r="573" spans="2:19" x14ac:dyDescent="0.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38"/>
        <v>0.90381791898587149</v>
      </c>
      <c r="G573" s="13">
        <f t="shared" si="638"/>
        <v>0.90370114583977712</v>
      </c>
      <c r="H573" s="13">
        <f t="shared" si="638"/>
        <v>0.90393529748608481</v>
      </c>
      <c r="I573" s="13">
        <f t="shared" si="638"/>
        <v>0.90426653843805538</v>
      </c>
      <c r="J573" s="13">
        <f t="shared" si="638"/>
        <v>0.90426871425961208</v>
      </c>
      <c r="K573" s="13">
        <f t="shared" si="638"/>
        <v>0.90426923476026089</v>
      </c>
      <c r="L573" s="13">
        <f t="shared" ref="L573:O573" si="646">IFERROR(L180/L408,"-")</f>
        <v>0.90426817247824287</v>
      </c>
      <c r="M573" s="13">
        <f t="shared" si="646"/>
        <v>0.90426806281956518</v>
      </c>
      <c r="N573" s="13">
        <f t="shared" si="646"/>
        <v>0.90426886222101366</v>
      </c>
      <c r="O573" s="13">
        <f t="shared" si="646"/>
        <v>0.90426747460516399</v>
      </c>
      <c r="P573" s="13">
        <f t="shared" si="640"/>
        <v>0.90426822843377386</v>
      </c>
      <c r="Q573" s="13">
        <f t="shared" si="640"/>
        <v>0.90426745776032624</v>
      </c>
      <c r="S573" s="3"/>
    </row>
    <row r="574" spans="2:19" x14ac:dyDescent="0.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M574" t="s">
        <v>292</v>
      </c>
      <c r="N574" t="s">
        <v>292</v>
      </c>
      <c r="O574" t="s">
        <v>292</v>
      </c>
      <c r="P574" t="s">
        <v>292</v>
      </c>
      <c r="Q574" t="s">
        <v>292</v>
      </c>
      <c r="S574" s="3"/>
    </row>
    <row r="575" spans="2:19" x14ac:dyDescent="0.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0.59933755055837845</v>
      </c>
      <c r="G575" s="4">
        <f t="shared" ref="G575:K575" si="647">IFERROR(G212/G442,"-")</f>
        <v>0.58164737138070532</v>
      </c>
      <c r="H575" s="4">
        <f t="shared" si="647"/>
        <v>0.5805280478810424</v>
      </c>
      <c r="I575" s="4">
        <f t="shared" si="647"/>
        <v>0.38083293048419908</v>
      </c>
      <c r="J575" s="4">
        <f t="shared" si="647"/>
        <v>0.38083293048419942</v>
      </c>
      <c r="K575" s="4">
        <f t="shared" si="647"/>
        <v>0.38083293048419886</v>
      </c>
      <c r="L575" s="4">
        <f t="shared" ref="L575:O575" si="648">IFERROR(L212/L442,"-")</f>
        <v>0.38083293048419947</v>
      </c>
      <c r="M575" s="4">
        <f t="shared" si="648"/>
        <v>0.3808329304841982</v>
      </c>
      <c r="N575" s="4">
        <f t="shared" si="648"/>
        <v>0.38083293048419908</v>
      </c>
      <c r="O575" s="4">
        <f t="shared" si="648"/>
        <v>0.38083293048419908</v>
      </c>
      <c r="P575" s="4">
        <f>IFERROR(P212/P442,"-")</f>
        <v>0.38083293048419919</v>
      </c>
      <c r="Q575" s="4">
        <f>IFERROR(Q212/Q442,"-")</f>
        <v>0.38083293048419886</v>
      </c>
      <c r="S575" s="3"/>
    </row>
    <row r="576" spans="2:19" x14ac:dyDescent="0.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49">IFERROR(G218/G448,"-")</f>
        <v>2</v>
      </c>
      <c r="H576" s="4">
        <f t="shared" si="649"/>
        <v>2</v>
      </c>
      <c r="I576" s="4">
        <f t="shared" si="649"/>
        <v>2</v>
      </c>
      <c r="J576" s="4">
        <f t="shared" si="649"/>
        <v>2</v>
      </c>
      <c r="K576" s="4" t="str">
        <f t="shared" si="649"/>
        <v>-</v>
      </c>
      <c r="L576" s="4" t="str">
        <f t="shared" ref="L576:O576" si="650">IFERROR(L218/L448,"-")</f>
        <v>-</v>
      </c>
      <c r="M576" s="4" t="str">
        <f t="shared" si="650"/>
        <v>-</v>
      </c>
      <c r="N576" s="4" t="str">
        <f t="shared" si="650"/>
        <v>-</v>
      </c>
      <c r="O576" s="4" t="str">
        <f t="shared" si="650"/>
        <v>-</v>
      </c>
      <c r="P576" s="4" t="str">
        <f>IFERROR(P218/P448,"-")</f>
        <v>-</v>
      </c>
      <c r="Q576" s="4" t="str">
        <f>IFERROR(Q218/Q448,"-")</f>
        <v>-</v>
      </c>
      <c r="S576" s="3"/>
    </row>
    <row r="577" spans="2:19" x14ac:dyDescent="0.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0.85445501111132571</v>
      </c>
      <c r="G577" s="4">
        <f t="shared" ref="G577:K577" si="651">IFERROR(G220/G450,"-")</f>
        <v>0.85445501111132394</v>
      </c>
      <c r="H577" s="4">
        <f t="shared" si="651"/>
        <v>0.85445501111132471</v>
      </c>
      <c r="I577" s="4">
        <f t="shared" si="651"/>
        <v>0.85445501111132494</v>
      </c>
      <c r="J577" s="4">
        <f t="shared" si="651"/>
        <v>0.85445501111132482</v>
      </c>
      <c r="K577" s="4">
        <f t="shared" si="651"/>
        <v>0.85445501111132582</v>
      </c>
      <c r="L577" s="4">
        <f t="shared" ref="L577:O577" si="652">IFERROR(L220/L450,"-")</f>
        <v>0.85445501111132571</v>
      </c>
      <c r="M577" s="4">
        <f t="shared" si="652"/>
        <v>0.85445501111132538</v>
      </c>
      <c r="N577" s="4">
        <f t="shared" si="652"/>
        <v>0.85445501111132593</v>
      </c>
      <c r="O577" s="4" t="str">
        <f t="shared" si="652"/>
        <v>-</v>
      </c>
      <c r="P577" s="4">
        <f>IFERROR(P220/P450,"-")</f>
        <v>0.85445501111132649</v>
      </c>
      <c r="Q577" s="4">
        <f>IFERROR(Q220/Q450,"-")</f>
        <v>0.85445501111132494</v>
      </c>
      <c r="S577" s="3"/>
    </row>
    <row r="578" spans="2:19" x14ac:dyDescent="0.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0.69999999999999984</v>
      </c>
      <c r="G578" s="4">
        <f t="shared" ref="G578:K578" si="653">IFERROR(G226/G456,"-")</f>
        <v>0.70000000000000084</v>
      </c>
      <c r="H578" s="4">
        <f t="shared" si="653"/>
        <v>0.70000000000000062</v>
      </c>
      <c r="I578" s="4">
        <f t="shared" si="653"/>
        <v>0.69999999999999951</v>
      </c>
      <c r="J578" s="4">
        <f t="shared" si="653"/>
        <v>0.69999999999999984</v>
      </c>
      <c r="K578" s="4">
        <f t="shared" si="653"/>
        <v>0.69999999999999951</v>
      </c>
      <c r="L578" s="4">
        <f t="shared" ref="L578:O578" si="654">IFERROR(L226/L456,"-")</f>
        <v>0.6999999999999994</v>
      </c>
      <c r="M578" s="4">
        <f t="shared" si="654"/>
        <v>0.70000000000000007</v>
      </c>
      <c r="N578" s="4">
        <f t="shared" si="654"/>
        <v>0.6999999999999994</v>
      </c>
      <c r="O578" s="4">
        <f t="shared" si="654"/>
        <v>0.70000000000000051</v>
      </c>
      <c r="P578" s="4">
        <f>IFERROR(P226/P456,"-")</f>
        <v>0.69999999999999973</v>
      </c>
      <c r="Q578" s="4">
        <f>IFERROR(Q226/Q456,"-")</f>
        <v>0.70000000000000018</v>
      </c>
      <c r="S578" s="3"/>
    </row>
    <row r="579" spans="2:19" x14ac:dyDescent="0.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55">IFERROR(G228/G458,"-")</f>
        <v>-</v>
      </c>
      <c r="H579" t="str">
        <f t="shared" si="655"/>
        <v>-</v>
      </c>
      <c r="I579">
        <f t="shared" si="655"/>
        <v>0.49999999999999961</v>
      </c>
      <c r="J579">
        <f t="shared" si="655"/>
        <v>0.49999999999999994</v>
      </c>
      <c r="K579">
        <f t="shared" si="655"/>
        <v>0.49999999999999994</v>
      </c>
      <c r="L579">
        <f t="shared" ref="L579:O579" si="656">IFERROR(L228/L458,"-")</f>
        <v>0.50000000000000033</v>
      </c>
      <c r="M579">
        <f t="shared" si="656"/>
        <v>0.50000000000000022</v>
      </c>
      <c r="N579">
        <f t="shared" si="656"/>
        <v>0.50000000000000056</v>
      </c>
      <c r="O579">
        <f t="shared" si="656"/>
        <v>0.50000000000000056</v>
      </c>
      <c r="P579">
        <f>IFERROR(P228/P458,"-")</f>
        <v>0.49999999999999967</v>
      </c>
      <c r="Q579">
        <f>IFERROR(Q228/Q458,"-")</f>
        <v>0.5</v>
      </c>
      <c r="S579" s="3"/>
    </row>
    <row r="580" spans="2:19" x14ac:dyDescent="0.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57">IFERROR(G230/G460,"-")</f>
        <v>-</v>
      </c>
      <c r="H580" t="str">
        <f t="shared" si="657"/>
        <v>-</v>
      </c>
      <c r="I580" t="str">
        <f t="shared" si="657"/>
        <v>-</v>
      </c>
      <c r="J580" t="str">
        <f t="shared" si="657"/>
        <v>-</v>
      </c>
      <c r="K580">
        <f t="shared" si="657"/>
        <v>0.85000000000000009</v>
      </c>
      <c r="L580">
        <f t="shared" ref="L580:O580" si="658">IFERROR(L230/L460,"-")</f>
        <v>0.84999999999999887</v>
      </c>
      <c r="M580">
        <f t="shared" si="658"/>
        <v>0.84999999999999853</v>
      </c>
      <c r="N580">
        <f t="shared" si="658"/>
        <v>0.84999999999999964</v>
      </c>
      <c r="O580">
        <f t="shared" si="658"/>
        <v>0.85000000000000042</v>
      </c>
      <c r="P580">
        <f>IFERROR(P230/P460,"-")</f>
        <v>0.85000000000000098</v>
      </c>
      <c r="Q580">
        <f>IFERROR(Q230/Q460,"-")</f>
        <v>0.85000000000000031</v>
      </c>
      <c r="S580" s="3"/>
    </row>
    <row r="581" spans="2:19" x14ac:dyDescent="0.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59">IFERROR(G232/G462,"-")</f>
        <v>2.9999999999999991</v>
      </c>
      <c r="H581" s="4">
        <f t="shared" si="659"/>
        <v>3.0000000000000013</v>
      </c>
      <c r="I581" s="4">
        <f t="shared" si="659"/>
        <v>3.0000000000000036</v>
      </c>
      <c r="J581" s="4">
        <f t="shared" si="659"/>
        <v>2.999999999999996</v>
      </c>
      <c r="K581" s="4">
        <f t="shared" si="659"/>
        <v>2.9999999999999996</v>
      </c>
      <c r="L581" s="4">
        <f t="shared" ref="L581:O581" si="660">IFERROR(L232/L462,"-")</f>
        <v>2.9999999999999973</v>
      </c>
      <c r="M581" s="4">
        <f t="shared" si="660"/>
        <v>3</v>
      </c>
      <c r="N581" s="4">
        <f t="shared" si="660"/>
        <v>3.0000000000000022</v>
      </c>
      <c r="O581" s="4">
        <f t="shared" si="660"/>
        <v>3.0000000000000022</v>
      </c>
      <c r="P581" s="4">
        <f>IFERROR(P232/P462,"-")</f>
        <v>2.9999999999999982</v>
      </c>
      <c r="Q581" s="4">
        <f>IFERROR(Q232/Q462,"-")</f>
        <v>3.0000000000000013</v>
      </c>
      <c r="S581" s="3"/>
    </row>
    <row r="582" spans="2:19" x14ac:dyDescent="0.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0.73299918551022503</v>
      </c>
      <c r="G582" s="3">
        <f>[1]Other_transformation!C$5</f>
        <v>0.63724031184186014</v>
      </c>
      <c r="H582" s="3">
        <f>[1]Other_transformation!D$5</f>
        <v>0.47912811361511004</v>
      </c>
      <c r="I582" s="3">
        <f>[1]Other_transformation!E$5</f>
        <v>7.2497362116269879E-5</v>
      </c>
      <c r="J582" s="3">
        <f>[1]Other_transformation!F$5</f>
        <v>1.625609482478874E-4</v>
      </c>
      <c r="K582" s="3">
        <f>[1]Other_transformation!G$5</f>
        <v>1.3153992231265771E-4</v>
      </c>
      <c r="L582" s="3">
        <f>[1]Other_transformation!H$5</f>
        <v>1.0441415507253999E-4</v>
      </c>
      <c r="M582" s="3">
        <f>[1]Other_transformation!I$5</f>
        <v>3.3816723751309095</v>
      </c>
      <c r="N582" s="3">
        <f>[1]Other_transformation!J$5</f>
        <v>3.5888869738597911</v>
      </c>
      <c r="O582" s="3">
        <f>[1]Other_transformation!K$5</f>
        <v>3.3816710231356497</v>
      </c>
      <c r="P582" s="3">
        <f>[1]Other_transformation!L$5</f>
        <v>3.5900744976845496</v>
      </c>
      <c r="Q582" s="3">
        <f>[1]Other_transformation!M$5</f>
        <v>3.9609049863948558</v>
      </c>
      <c r="S582" s="3"/>
    </row>
    <row r="583" spans="2:19" x14ac:dyDescent="0.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0.73299918551022503</v>
      </c>
      <c r="G583" s="1">
        <f t="shared" ref="G583:K583" si="661">G582</f>
        <v>0.63724031184186014</v>
      </c>
      <c r="H583" s="1">
        <f t="shared" si="661"/>
        <v>0.47912811361511004</v>
      </c>
      <c r="I583" s="1">
        <f t="shared" si="661"/>
        <v>7.2497362116269879E-5</v>
      </c>
      <c r="J583" s="1">
        <f t="shared" si="661"/>
        <v>1.625609482478874E-4</v>
      </c>
      <c r="K583" s="1">
        <f t="shared" si="661"/>
        <v>1.3153992231265771E-4</v>
      </c>
      <c r="L583" s="1">
        <f t="shared" ref="L583:O583" si="662">L582</f>
        <v>1.0441415507253999E-4</v>
      </c>
      <c r="M583" s="1">
        <f t="shared" si="662"/>
        <v>3.3816723751309095</v>
      </c>
      <c r="N583" s="1">
        <f t="shared" si="662"/>
        <v>3.5888869738597911</v>
      </c>
      <c r="O583" s="1">
        <f t="shared" si="662"/>
        <v>3.3816710231356497</v>
      </c>
      <c r="P583" s="1">
        <f>P582</f>
        <v>3.5900744976845496</v>
      </c>
      <c r="Q583" s="1">
        <f>Q582</f>
        <v>3.9609049863948558</v>
      </c>
      <c r="S583" s="3"/>
    </row>
    <row r="584" spans="2:19" x14ac:dyDescent="0.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0.73299918551022503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0.63724031184186014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0.47912811361511004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7.2497362116269879E-5</v>
      </c>
      <c r="J584" s="1" cm="1">
        <f t="array" ref="J584">SUMPRODUCT(("CT_CWODBDS"=[1]OUT_SyntheticFuels!$C$4:$C$1000)*1,("BDS"=[1]OUT_SyntheticFuels!$A$4:$A$1000)*1,("Var_Fout"=[1]OUT_SyntheticFuels!$B$4:$B$1000)*1,[1]OUT_SyntheticFuels!I$4:I$1000)</f>
        <v>1.625609482478874E-4</v>
      </c>
      <c r="K584" s="1" cm="1">
        <f t="array" ref="K584">SUMPRODUCT(("CT_CWODBDS"=[1]OUT_SyntheticFuels!$C$4:$C$1000)*1,("BDS"=[1]OUT_SyntheticFuels!$A$4:$A$1000)*1,("Var_Fout"=[1]OUT_SyntheticFuels!$B$4:$B$1000)*1,[1]OUT_SyntheticFuels!J$4:J$1000)</f>
        <v>9.4419131632983056E-5</v>
      </c>
      <c r="L584" s="1" cm="1">
        <f t="array" ref="L584">SUMPRODUCT(("CT_CWODBDS"=[1]OUT_SyntheticFuels!$C$4:$C$1000)*1,("BDS"=[1]OUT_SyntheticFuels!$A$4:$A$1000)*1,("Var_Fout"=[1]OUT_SyntheticFuels!$B$4:$B$1000)*1,[1]OUT_SyntheticFuels!K$4:K$1000)</f>
        <v>4.5321346973478658E-5</v>
      </c>
      <c r="M584" s="1" cm="1">
        <f t="array" ref="M584">SUMPRODUCT(("CT_CWODBDS"=[1]OUT_SyntheticFuels!$C$4:$C$1000)*1,("BDS"=[1]OUT_SyntheticFuels!$A$4:$A$1000)*1,("Var_Fout"=[1]OUT_SyntheticFuels!$B$4:$B$1000)*1,[1]OUT_SyntheticFuels!L$4:L$1000)</f>
        <v>4.4817582052164151E-5</v>
      </c>
      <c r="N584" s="1" cm="1">
        <f t="array" ref="N584">SUMPRODUCT(("CT_CWODBDS"=[1]OUT_SyntheticFuels!$C$4:$C$1000)*1,("BDS"=[1]OUT_SyntheticFuels!$A$4:$A$1000)*1,("Var_Fout"=[1]OUT_SyntheticFuels!$B$4:$B$1000)*1,[1]OUT_SyntheticFuels!M$4:M$1000)</f>
        <v>1.521108216337751E-5</v>
      </c>
      <c r="O584" s="1" cm="1">
        <f t="array" ref="O584">SUMPRODUCT(("CT_CWODBDS"=[1]OUT_SyntheticFuels!$C$4:$C$1000)*1,("BDS"=[1]OUT_SyntheticFuels!$A$4:$A$1000)*1,("Var_Fout"=[1]OUT_SyntheticFuels!$B$4:$B$1000)*1,[1]OUT_SyntheticFuels!N$4:N$1000)</f>
        <v>4.4026787930319699E-5</v>
      </c>
      <c r="P584" s="1" cm="1">
        <f t="array" ref="P584">SUMPRODUCT(("CT_CWODBDS"=[1]OUT_SyntheticFuels!$C$4:$C$1000)*1,("BDS"=[1]OUT_SyntheticFuels!$A$4:$A$1000)*1,("Var_Fout"=[1]OUT_SyntheticFuels!$B$4:$B$1000)*1,[1]OUT_SyntheticFuels!O$4:O$1000)</f>
        <v>2.5596031191702142E-5</v>
      </c>
      <c r="Q584" s="1" cm="1">
        <f t="array" ref="Q584">SUMPRODUCT(("CT_CWODBDS"=[1]OUT_SyntheticFuels!$C$4:$C$1000)*1,("BDS"=[1]OUT_SyntheticFuels!$A$4:$A$1000)*1,("Var_Fout"=[1]OUT_SyntheticFuels!$B$4:$B$1000)*1,[1]OUT_SyntheticFuels!P$4:P$1000)</f>
        <v>9.5984150758396958E-5</v>
      </c>
      <c r="S584" s="3"/>
    </row>
    <row r="585" spans="2:19" x14ac:dyDescent="0.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SUMPRODUCT(("CT_CWODBDSCCS"=[1]OUT_SyntheticFuels!$C$4:$C$1000)*1,("BDS"=[1]OUT_SyntheticFuels!$A$4:$A$1000)*1,("Var_Fout"=[1]OUT_SyntheticFuels!$B$4:$B$1000)*1,[1]OUT_SyntheticFuels!I$4:I$1000)</f>
        <v>0</v>
      </c>
      <c r="K585" s="1" cm="1">
        <f t="array" ref="K585">SUMPRODUCT(("CT_CWODBDSCCS"=[1]OUT_SyntheticFuels!$C$4:$C$1000)*1,("BDS"=[1]OUT_SyntheticFuels!$A$4:$A$1000)*1,("Var_Fout"=[1]OUT_SyntheticFuels!$B$4:$B$1000)*1,[1]OUT_SyntheticFuels!J$4:J$1000)</f>
        <v>3.7120790679674651E-5</v>
      </c>
      <c r="L585" s="1" cm="1">
        <f t="array" ref="L585">SUMPRODUCT(("CT_CWODBDSCCS"=[1]OUT_SyntheticFuels!$C$4:$C$1000)*1,("BDS"=[1]OUT_SyntheticFuels!$A$4:$A$1000)*1,("Var_Fout"=[1]OUT_SyntheticFuels!$B$4:$B$1000)*1,[1]OUT_SyntheticFuels!K$4:K$1000)</f>
        <v>5.9092808099061336E-5</v>
      </c>
      <c r="M585" s="1" cm="1">
        <f t="array" ref="M585">SUMPRODUCT(("CT_CWODBDSCCS"=[1]OUT_SyntheticFuels!$C$4:$C$1000)*1,("BDS"=[1]OUT_SyntheticFuels!$A$4:$A$1000)*1,("Var_Fout"=[1]OUT_SyntheticFuels!$B$4:$B$1000)*1,[1]OUT_SyntheticFuels!L$4:L$1000)</f>
        <v>3.3816275575488572</v>
      </c>
      <c r="N585" s="1" cm="1">
        <f t="array" ref="N585">SUMPRODUCT(("CT_CWODBDSCCS"=[1]OUT_SyntheticFuels!$C$4:$C$1000)*1,("BDS"=[1]OUT_SyntheticFuels!$A$4:$A$1000)*1,("Var_Fout"=[1]OUT_SyntheticFuels!$B$4:$B$1000)*1,[1]OUT_SyntheticFuels!M$4:M$1000)</f>
        <v>3.5888717627776279</v>
      </c>
      <c r="O585" s="1" cm="1">
        <f t="array" ref="O585">SUMPRODUCT(("CT_CWODBDSCCS"=[1]OUT_SyntheticFuels!$C$4:$C$1000)*1,("BDS"=[1]OUT_SyntheticFuels!$A$4:$A$1000)*1,("Var_Fout"=[1]OUT_SyntheticFuels!$B$4:$B$1000)*1,[1]OUT_SyntheticFuels!N$4:N$1000)</f>
        <v>3.3816269963477192</v>
      </c>
      <c r="P585" s="1" cm="1">
        <f t="array" ref="P585">SUMPRODUCT(("CT_CWODBDSCCS"=[1]OUT_SyntheticFuels!$C$4:$C$1000)*1,("BDS"=[1]OUT_SyntheticFuels!$A$4:$A$1000)*1,("Var_Fout"=[1]OUT_SyntheticFuels!$B$4:$B$1000)*1,[1]OUT_SyntheticFuels!O$4:O$1000)</f>
        <v>3.5900489016533577</v>
      </c>
      <c r="Q585" s="1" cm="1">
        <f t="array" ref="Q585">SUMPRODUCT(("CT_CWODBDSCCS"=[1]OUT_SyntheticFuels!$C$4:$C$1000)*1,("BDS"=[1]OUT_SyntheticFuels!$A$4:$A$1000)*1,("Var_Fout"=[1]OUT_SyntheticFuels!$B$4:$B$1000)*1,[1]OUT_SyntheticFuels!P$4:P$1000)</f>
        <v>3.9608090022440976</v>
      </c>
      <c r="S585" s="3"/>
    </row>
    <row r="586" spans="2:19" x14ac:dyDescent="0.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0.2858696823489873</v>
      </c>
      <c r="G586" s="3">
        <f t="shared" ref="G586:O586" si="663">G587</f>
        <v>0.24852372161832506</v>
      </c>
      <c r="H586" s="3">
        <f t="shared" si="663"/>
        <v>0.18685996430989277</v>
      </c>
      <c r="I586" s="3">
        <f t="shared" si="663"/>
        <v>2.8273971225345253E-5</v>
      </c>
      <c r="J586" s="3">
        <f t="shared" si="663"/>
        <v>6.3398769816675892E-5</v>
      </c>
      <c r="K586" s="3">
        <f t="shared" si="663"/>
        <v>5.1300569701936437E-5</v>
      </c>
      <c r="L586" s="3">
        <f t="shared" si="663"/>
        <v>4.0714077249817928E-5</v>
      </c>
      <c r="M586" s="3">
        <f t="shared" si="663"/>
        <v>1.3188522263010538</v>
      </c>
      <c r="N586" s="3">
        <f t="shared" si="663"/>
        <v>1.3996659198053181</v>
      </c>
      <c r="O586" s="3">
        <f t="shared" si="663"/>
        <v>1.3188516990229022</v>
      </c>
      <c r="P586" s="3">
        <f>P587</f>
        <v>1.4001290540969724</v>
      </c>
      <c r="Q586" s="3">
        <f>Q587</f>
        <v>1.5447529446939916</v>
      </c>
      <c r="S586" s="3"/>
    </row>
    <row r="587" spans="2:19" x14ac:dyDescent="0.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0.2858696823489873</v>
      </c>
      <c r="G587" s="1">
        <f t="shared" ref="G587:K587" si="664">SUM(G588:G589)</f>
        <v>0.24852372161832506</v>
      </c>
      <c r="H587" s="1">
        <f t="shared" si="664"/>
        <v>0.18685996430989277</v>
      </c>
      <c r="I587" s="1">
        <f t="shared" si="664"/>
        <v>2.8273971225345253E-5</v>
      </c>
      <c r="J587" s="1">
        <f t="shared" si="664"/>
        <v>6.3398769816675892E-5</v>
      </c>
      <c r="K587" s="1">
        <f t="shared" si="664"/>
        <v>5.1300569701936437E-5</v>
      </c>
      <c r="L587" s="1">
        <f t="shared" ref="L587:O587" si="665">SUM(L588:L589)</f>
        <v>4.0714077249817928E-5</v>
      </c>
      <c r="M587" s="1">
        <f t="shared" si="665"/>
        <v>1.3188522263010538</v>
      </c>
      <c r="N587" s="1">
        <f t="shared" si="665"/>
        <v>1.3996659198053181</v>
      </c>
      <c r="O587" s="1">
        <f t="shared" si="665"/>
        <v>1.3188516990229022</v>
      </c>
      <c r="P587" s="1">
        <f>SUM(P588:P589)</f>
        <v>1.4001290540969724</v>
      </c>
      <c r="Q587" s="1">
        <f>SUM(Q588:Q589)</f>
        <v>1.5447529446939916</v>
      </c>
      <c r="S587" s="3"/>
    </row>
    <row r="588" spans="2:19" x14ac:dyDescent="0.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0.2858696823489873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0.24852372161832506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0.18685996430989277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2.8273971225345253E-5</v>
      </c>
      <c r="J588" s="1" cm="1">
        <f t="array" ref="J588">SUMPRODUCT(("CT_CWODBDS"=[1]OUT_SyntheticFuels!$C$4:$C$1000)*1,("LTH"=[1]OUT_SyntheticFuels!$A$4:$A$1000)*1,("Var_Fout"=[1]OUT_SyntheticFuels!$B$4:$B$1000)*1,[1]OUT_SyntheticFuels!I$4:I$1000)</f>
        <v>6.3398769816675892E-5</v>
      </c>
      <c r="K588" s="1" cm="1">
        <f t="array" ref="K588">SUMPRODUCT(("CT_CWODBDS"=[1]OUT_SyntheticFuels!$C$4:$C$1000)*1,("LTH"=[1]OUT_SyntheticFuels!$A$4:$A$1000)*1,("Var_Fout"=[1]OUT_SyntheticFuels!$B$4:$B$1000)*1,[1]OUT_SyntheticFuels!J$4:J$1000)</f>
        <v>3.682346133686334E-5</v>
      </c>
      <c r="L588" s="1" cm="1">
        <f t="array" ref="L588">SUMPRODUCT(("CT_CWODBDS"=[1]OUT_SyntheticFuels!$C$4:$C$1000)*1,("LTH"=[1]OUT_SyntheticFuels!$A$4:$A$1000)*1,("Var_Fout"=[1]OUT_SyntheticFuels!$B$4:$B$1000)*1,[1]OUT_SyntheticFuels!K$4:K$1000)</f>
        <v>1.7667882091184047E-5</v>
      </c>
      <c r="M588" s="1" cm="1">
        <f t="array" ref="M588">SUMPRODUCT(("CT_CWODBDS"=[1]OUT_SyntheticFuels!$C$4:$C$1000)*1,("LTH"=[1]OUT_SyntheticFuels!$A$4:$A$1000)*1,("Var_Fout"=[1]OUT_SyntheticFuels!$B$4:$B$1000)*1,[1]OUT_SyntheticFuels!L$4:L$1000)</f>
        <v>1.7478857000343989E-5</v>
      </c>
      <c r="N588" s="1" cm="1">
        <f t="array" ref="N588">SUMPRODUCT(("CT_CWODBDS"=[1]OUT_SyntheticFuels!$C$4:$C$1000)*1,("LTH"=[1]OUT_SyntheticFuels!$A$4:$A$1000)*1,("Var_Fout"=[1]OUT_SyntheticFuels!$B$4:$B$1000)*1,[1]OUT_SyntheticFuels!M$4:M$1000)</f>
        <v>5.9323220437172145E-6</v>
      </c>
      <c r="O588" s="1" cm="1">
        <f t="array" ref="O588">SUMPRODUCT(("CT_CWODBDS"=[1]OUT_SyntheticFuels!$C$4:$C$1000)*1,("LTH"=[1]OUT_SyntheticFuels!$A$4:$A$1000)*1,("Var_Fout"=[1]OUT_SyntheticFuels!$B$4:$B$1000)*1,[1]OUT_SyntheticFuels!N$4:N$1000)</f>
        <v>1.7170447292824653E-5</v>
      </c>
      <c r="P588" s="1" cm="1">
        <f t="array" ref="P588">SUMPRODUCT(("CT_CWODBDS"=[1]OUT_SyntheticFuels!$C$4:$C$1000)*1,("LTH"=[1]OUT_SyntheticFuels!$A$4:$A$1000)*1,("Var_Fout"=[1]OUT_SyntheticFuels!$B$4:$B$1000)*1,[1]OUT_SyntheticFuels!O$4:O$1000)</f>
        <v>9.9824521647638207E-6</v>
      </c>
      <c r="Q588" s="1" cm="1">
        <f t="array" ref="Q588">SUMPRODUCT(("CT_CWODBDS"=[1]OUT_SyntheticFuels!$C$4:$C$1000)*1,("LTH"=[1]OUT_SyntheticFuels!$A$4:$A$1000)*1,("Var_Fout"=[1]OUT_SyntheticFuels!$B$4:$B$1000)*1,[1]OUT_SyntheticFuels!P$4:P$1000)</f>
        <v>3.7433818795774786E-5</v>
      </c>
      <c r="S588" s="3"/>
    </row>
    <row r="589" spans="2:19" x14ac:dyDescent="0.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SUMPRODUCT(("CT_CWODBDSCCS"=[1]OUT_SyntheticFuels!$C$4:$C$1000)*1,("LTH"=[1]OUT_SyntheticFuels!$A$4:$A$1000)*1,("Var_Fout"=[1]OUT_SyntheticFuels!$B$4:$B$1000)*1,[1]OUT_SyntheticFuels!I$4:I$1000)</f>
        <v>0</v>
      </c>
      <c r="K589" s="1" cm="1">
        <f t="array" ref="K589">SUMPRODUCT(("CT_CWODBDSCCS"=[1]OUT_SyntheticFuels!$C$4:$C$1000)*1,("LTH"=[1]OUT_SyntheticFuels!$A$4:$A$1000)*1,("Var_Fout"=[1]OUT_SyntheticFuels!$B$4:$B$1000)*1,[1]OUT_SyntheticFuels!J$4:J$1000)</f>
        <v>1.4477108365073099E-5</v>
      </c>
      <c r="L589" s="1" cm="1">
        <f t="array" ref="L589">SUMPRODUCT(("CT_CWODBDSCCS"=[1]OUT_SyntheticFuels!$C$4:$C$1000)*1,("LTH"=[1]OUT_SyntheticFuels!$A$4:$A$1000)*1,("Var_Fout"=[1]OUT_SyntheticFuels!$B$4:$B$1000)*1,[1]OUT_SyntheticFuels!K$4:K$1000)</f>
        <v>2.3046195158633885E-5</v>
      </c>
      <c r="M589" s="1" cm="1">
        <f t="array" ref="M589">SUMPRODUCT(("CT_CWODBDSCCS"=[1]OUT_SyntheticFuels!$C$4:$C$1000)*1,("LTH"=[1]OUT_SyntheticFuels!$A$4:$A$1000)*1,("Var_Fout"=[1]OUT_SyntheticFuels!$B$4:$B$1000)*1,[1]OUT_SyntheticFuels!L$4:L$1000)</f>
        <v>1.3188347474440534</v>
      </c>
      <c r="N589" s="1" cm="1">
        <f t="array" ref="N589">SUMPRODUCT(("CT_CWODBDSCCS"=[1]OUT_SyntheticFuels!$C$4:$C$1000)*1,("LTH"=[1]OUT_SyntheticFuels!$A$4:$A$1000)*1,("Var_Fout"=[1]OUT_SyntheticFuels!$B$4:$B$1000)*1,[1]OUT_SyntheticFuels!M$4:M$1000)</f>
        <v>1.3996599874832742</v>
      </c>
      <c r="O589" s="1" cm="1">
        <f t="array" ref="O589">SUMPRODUCT(("CT_CWODBDSCCS"=[1]OUT_SyntheticFuels!$C$4:$C$1000)*1,("LTH"=[1]OUT_SyntheticFuels!$A$4:$A$1000)*1,("Var_Fout"=[1]OUT_SyntheticFuels!$B$4:$B$1000)*1,[1]OUT_SyntheticFuels!N$4:N$1000)</f>
        <v>1.3188345285756093</v>
      </c>
      <c r="P589" s="1" cm="1">
        <f t="array" ref="P589">SUMPRODUCT(("CT_CWODBDSCCS"=[1]OUT_SyntheticFuels!$C$4:$C$1000)*1,("LTH"=[1]OUT_SyntheticFuels!$A$4:$A$1000)*1,("Var_Fout"=[1]OUT_SyntheticFuels!$B$4:$B$1000)*1,[1]OUT_SyntheticFuels!O$4:O$1000)</f>
        <v>1.4001190716448078</v>
      </c>
      <c r="Q589" s="1" cm="1">
        <f t="array" ref="Q589">SUMPRODUCT(("CT_CWODBDSCCS"=[1]OUT_SyntheticFuels!$C$4:$C$1000)*1,("LTH"=[1]OUT_SyntheticFuels!$A$4:$A$1000)*1,("Var_Fout"=[1]OUT_SyntheticFuels!$B$4:$B$1000)*1,[1]OUT_SyntheticFuels!P$4:P$1000)</f>
        <v>1.5447155108751958</v>
      </c>
      <c r="S589" s="3"/>
    </row>
    <row r="590" spans="2:19" x14ac:dyDescent="0.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2.1396246225043445</v>
      </c>
      <c r="G590" s="3">
        <f t="shared" ref="G590:K590" si="666">G591+G594</f>
        <v>1.8601044702663894</v>
      </c>
      <c r="H590" s="3">
        <f t="shared" si="666"/>
        <v>1.3985749636425051</v>
      </c>
      <c r="I590" s="3">
        <f t="shared" si="666"/>
        <v>2.1161980001739195E-4</v>
      </c>
      <c r="J590" s="3">
        <f t="shared" si="666"/>
        <v>4.7451540793558202E-4</v>
      </c>
      <c r="K590" s="3">
        <f t="shared" si="666"/>
        <v>3.8617637176113681E-4</v>
      </c>
      <c r="L590" s="3">
        <f t="shared" ref="L590:O590" si="667">L591+L594</f>
        <v>3.0830516165350247E-4</v>
      </c>
      <c r="M590" s="3">
        <f t="shared" si="667"/>
        <v>10.072550047506814</v>
      </c>
      <c r="N590" s="3">
        <f t="shared" si="667"/>
        <v>10.689755294565053</v>
      </c>
      <c r="O590" s="3">
        <f t="shared" si="667"/>
        <v>10.072546067601106</v>
      </c>
      <c r="P590" s="3">
        <f>P591+P594</f>
        <v>10.693291800453981</v>
      </c>
      <c r="Q590" s="3">
        <f>Q591+Q594</f>
        <v>11.797832705848835</v>
      </c>
      <c r="S590" s="3"/>
    </row>
    <row r="591" spans="2:19" x14ac:dyDescent="0.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2.0886811791113837</v>
      </c>
      <c r="G591" s="1">
        <f t="shared" ref="G591:K591" si="668">SUM(G592:G593)</f>
        <v>1.8158162685933801</v>
      </c>
      <c r="H591" s="1">
        <f t="shared" si="668"/>
        <v>1.3652755597462549</v>
      </c>
      <c r="I591" s="1">
        <f t="shared" si="668"/>
        <v>2.0658123335031119E-4</v>
      </c>
      <c r="J591" s="1">
        <f t="shared" si="668"/>
        <v>4.6321742203235387E-4</v>
      </c>
      <c r="K591" s="1">
        <f t="shared" si="668"/>
        <v>3.7482300862991789E-4</v>
      </c>
      <c r="L591" s="1">
        <f t="shared" ref="L591:O591" si="669">SUM(L592:L593)</f>
        <v>2.9752813487920256E-4</v>
      </c>
      <c r="M591" s="1">
        <f t="shared" si="669"/>
        <v>9.6360754329355203</v>
      </c>
      <c r="N591" s="1">
        <f t="shared" si="669"/>
        <v>10.226533432013474</v>
      </c>
      <c r="O591" s="1">
        <f t="shared" si="669"/>
        <v>9.6360715804250354</v>
      </c>
      <c r="P591" s="1">
        <f>SUM(P592:P593)</f>
        <v>10.229917281152126</v>
      </c>
      <c r="Q591" s="1">
        <f>SUM(Q592:Q593)</f>
        <v>11.286598758732136</v>
      </c>
      <c r="S591" s="3"/>
    </row>
    <row r="592" spans="2:19" x14ac:dyDescent="0.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2.0886811791113837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1.8158162685933801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1.3652755597462549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2.0658123335031119E-4</v>
      </c>
      <c r="J592" s="1" cm="1">
        <f t="array" ref="J592">SUMPRODUCT(("CT_CWODBDS"=[1]OUT_SyntheticFuels!$C$4:$C$1000)*1,("CWOD"=[1]OUT_SyntheticFuels!$A$4:$A$1000)*1,("Var_Fin"=[1]OUT_SyntheticFuels!$B$4:$B$1000)*1,[1]OUT_SyntheticFuels!I$4:I$1000)</f>
        <v>4.6321742203235387E-4</v>
      </c>
      <c r="K592" s="1" cm="1">
        <f t="array" ref="K592">SUMPRODUCT(("CT_CWODBDS"=[1]OUT_SyntheticFuels!$C$4:$C$1000)*1,("CWOD"=[1]OUT_SyntheticFuels!$A$4:$A$1000)*1,("Var_Fin"=[1]OUT_SyntheticFuels!$B$4:$B$1000)*1,[1]OUT_SyntheticFuels!J$4:J$1000)</f>
        <v>2.6904731558818499E-4</v>
      </c>
      <c r="L592" s="1" cm="1">
        <f t="array" ref="L592">SUMPRODUCT(("CT_CWODBDS"=[1]OUT_SyntheticFuels!$C$4:$C$1000)*1,("CWOD"=[1]OUT_SyntheticFuels!$A$4:$A$1000)*1,("Var_Fin"=[1]OUT_SyntheticFuels!$B$4:$B$1000)*1,[1]OUT_SyntheticFuels!K$4:K$1000)</f>
        <v>1.2914317820092734E-4</v>
      </c>
      <c r="M592" s="1" cm="1">
        <f t="array" ref="M592">SUMPRODUCT(("CT_CWODBDS"=[1]OUT_SyntheticFuels!$C$4:$C$1000)*1,("CWOD"=[1]OUT_SyntheticFuels!$A$4:$A$1000)*1,("Var_Fin"=[1]OUT_SyntheticFuels!$B$4:$B$1000)*1,[1]OUT_SyntheticFuels!L$4:L$1000)</f>
        <v>1.277077000576417E-4</v>
      </c>
      <c r="N592" s="1" cm="1">
        <f t="array" ref="N592">SUMPRODUCT(("CT_CWODBDS"=[1]OUT_SyntheticFuels!$C$4:$C$1000)*1,("CWOD"=[1]OUT_SyntheticFuels!$A$4:$A$1000)*1,("Var_Fin"=[1]OUT_SyntheticFuels!$B$4:$B$1000)*1,[1]OUT_SyntheticFuels!M$4:M$1000)</f>
        <v>4.3343978624544196E-5</v>
      </c>
      <c r="O592" s="1" cm="1">
        <f t="array" ref="O592">SUMPRODUCT(("CT_CWODBDS"=[1]OUT_SyntheticFuels!$C$4:$C$1000)*1,("CWOD"=[1]OUT_SyntheticFuels!$A$4:$A$1000)*1,("Var_Fin"=[1]OUT_SyntheticFuels!$B$4:$B$1000)*1,[1]OUT_SyntheticFuels!N$4:N$1000)</f>
        <v>1.2545433220744585E-4</v>
      </c>
      <c r="P592" s="1" cm="1">
        <f t="array" ref="P592">SUMPRODUCT(("CT_CWODBDS"=[1]OUT_SyntheticFuels!$C$4:$C$1000)*1,("CWOD"=[1]OUT_SyntheticFuels!$A$4:$A$1000)*1,("Var_Fin"=[1]OUT_SyntheticFuels!$B$4:$B$1000)*1,[1]OUT_SyntheticFuels!O$4:O$1000)</f>
        <v>7.2935890880755253E-5</v>
      </c>
      <c r="Q592" s="1" cm="1">
        <f t="array" ref="Q592">SUMPRODUCT(("CT_CWODBDS"=[1]OUT_SyntheticFuels!$C$4:$C$1000)*1,("CWOD"=[1]OUT_SyntheticFuels!$A$4:$A$1000)*1,("Var_Fin"=[1]OUT_SyntheticFuels!$B$4:$B$1000)*1,[1]OUT_SyntheticFuels!P$4:P$1000)</f>
        <v>2.7350683758605191E-4</v>
      </c>
      <c r="S592" s="3"/>
    </row>
    <row r="593" spans="2:19" x14ac:dyDescent="0.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SUMPRODUCT(("CT_CWODBDSCCS"=[1]OUT_SyntheticFuels!$C$4:$C$1000)*1,("CWOD"=[1]OUT_SyntheticFuels!$A$4:$A$1000)*1,("Var_Fin"=[1]OUT_SyntheticFuels!$B$4:$B$1000)*1,[1]OUT_SyntheticFuels!I$4:I$1000)</f>
        <v>0</v>
      </c>
      <c r="K593" s="1" cm="1">
        <f t="array" ref="K593">SUMPRODUCT(("CT_CWODBDSCCS"=[1]OUT_SyntheticFuels!$C$4:$C$1000)*1,("CWOD"=[1]OUT_SyntheticFuels!$A$4:$A$1000)*1,("Var_Fin"=[1]OUT_SyntheticFuels!$B$4:$B$1000)*1,[1]OUT_SyntheticFuels!J$4:J$1000)</f>
        <v>1.057756930417329E-4</v>
      </c>
      <c r="L593" s="1" cm="1">
        <f t="array" ref="L593">SUMPRODUCT(("CT_CWODBDSCCS"=[1]OUT_SyntheticFuels!$C$4:$C$1000)*1,("CWOD"=[1]OUT_SyntheticFuels!$A$4:$A$1000)*1,("Var_Fin"=[1]OUT_SyntheticFuels!$B$4:$B$1000)*1,[1]OUT_SyntheticFuels!K$4:K$1000)</f>
        <v>1.6838495667827519E-4</v>
      </c>
      <c r="M593" s="1" cm="1">
        <f t="array" ref="M593">SUMPRODUCT(("CT_CWODBDSCCS"=[1]OUT_SyntheticFuels!$C$4:$C$1000)*1,("CWOD"=[1]OUT_SyntheticFuels!$A$4:$A$1000)*1,("Var_Fin"=[1]OUT_SyntheticFuels!$B$4:$B$1000)*1,[1]OUT_SyntheticFuels!L$4:L$1000)</f>
        <v>9.6359477252354626</v>
      </c>
      <c r="N593" s="1" cm="1">
        <f t="array" ref="N593">SUMPRODUCT(("CT_CWODBDSCCS"=[1]OUT_SyntheticFuels!$C$4:$C$1000)*1,("CWOD"=[1]OUT_SyntheticFuels!$A$4:$A$1000)*1,("Var_Fin"=[1]OUT_SyntheticFuels!$B$4:$B$1000)*1,[1]OUT_SyntheticFuels!M$4:M$1000)</f>
        <v>10.226490088034849</v>
      </c>
      <c r="O593" s="1" cm="1">
        <f t="array" ref="O593">SUMPRODUCT(("CT_CWODBDSCCS"=[1]OUT_SyntheticFuels!$C$4:$C$1000)*1,("CWOD"=[1]OUT_SyntheticFuels!$A$4:$A$1000)*1,("Var_Fin"=[1]OUT_SyntheticFuels!$B$4:$B$1000)*1,[1]OUT_SyntheticFuels!N$4:N$1000)</f>
        <v>9.6359461260928274</v>
      </c>
      <c r="P593" s="1" cm="1">
        <f t="array" ref="P593">SUMPRODUCT(("CT_CWODBDSCCS"=[1]OUT_SyntheticFuels!$C$4:$C$1000)*1,("CWOD"=[1]OUT_SyntheticFuels!$A$4:$A$1000)*1,("Var_Fin"=[1]OUT_SyntheticFuels!$B$4:$B$1000)*1,[1]OUT_SyntheticFuels!O$4:O$1000)</f>
        <v>10.229844345261245</v>
      </c>
      <c r="Q593" s="1" cm="1">
        <f t="array" ref="Q593">SUMPRODUCT(("CT_CWODBDSCCS"=[1]OUT_SyntheticFuels!$C$4:$C$1000)*1,("CWOD"=[1]OUT_SyntheticFuels!$A$4:$A$1000)*1,("Var_Fin"=[1]OUT_SyntheticFuels!$B$4:$B$1000)*1,[1]OUT_SyntheticFuels!P$4:P$1000)</f>
        <v>11.286325251894551</v>
      </c>
      <c r="S593" s="3"/>
    </row>
    <row r="594" spans="2:19" x14ac:dyDescent="0.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5.0943443392960648E-2</v>
      </c>
      <c r="G594" s="1">
        <f t="shared" ref="G594:K594" si="670">SUM(G595:G596)</f>
        <v>4.4288201673009266E-2</v>
      </c>
      <c r="H594" s="1">
        <f t="shared" si="670"/>
        <v>3.3299403896250135E-2</v>
      </c>
      <c r="I594" s="1">
        <f t="shared" si="670"/>
        <v>5.0385666670807568E-6</v>
      </c>
      <c r="J594" s="1">
        <f t="shared" si="670"/>
        <v>1.129798590322816E-5</v>
      </c>
      <c r="K594" s="1">
        <f t="shared" si="670"/>
        <v>1.1353363131218904E-5</v>
      </c>
      <c r="L594" s="1">
        <f t="shared" ref="L594:O594" si="671">SUM(L595:L596)</f>
        <v>1.0777026774299888E-5</v>
      </c>
      <c r="M594" s="1">
        <f t="shared" si="671"/>
        <v>0.43647461457129466</v>
      </c>
      <c r="N594" s="1">
        <f t="shared" si="671"/>
        <v>0.46322186255158015</v>
      </c>
      <c r="O594" s="1">
        <f t="shared" si="671"/>
        <v>0.43647448717607046</v>
      </c>
      <c r="P594" s="1">
        <f>SUM(P595:P596)</f>
        <v>0.46337451930185497</v>
      </c>
      <c r="Q594" s="1">
        <f>SUM(Q595:Q596)</f>
        <v>0.51123394711669856</v>
      </c>
      <c r="S594" s="3"/>
    </row>
    <row r="595" spans="2:19" x14ac:dyDescent="0.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5.0943443392960648E-2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4.4288201673009266E-2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3.3299403896250135E-2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5.0385666670807568E-6</v>
      </c>
      <c r="J595" s="1" cm="1">
        <f t="array" ref="J595">SUMPRODUCT(("CT_CWODBDS"=[1]OUT_SyntheticFuels!$C$4:$C$1000)*1,("Celc"=[1]OUT_SyntheticFuels!$A$4:$A$1000)*1,("Var_Fin"=[1]OUT_SyntheticFuels!$B$4:$B$1000)*1,[1]OUT_SyntheticFuels!I$4:I$1000)</f>
        <v>1.129798590322816E-5</v>
      </c>
      <c r="K595" s="1" cm="1">
        <f t="array" ref="K595">SUMPRODUCT(("CT_CWODBDS"=[1]OUT_SyntheticFuels!$C$4:$C$1000)*1,("Celc"=[1]OUT_SyntheticFuels!$A$4:$A$1000)*1,("Var_Fin"=[1]OUT_SyntheticFuels!$B$4:$B$1000)*1,[1]OUT_SyntheticFuels!J$4:J$1000)</f>
        <v>6.5621296484923229E-6</v>
      </c>
      <c r="L595" s="1" cm="1">
        <f t="array" ref="L595">SUMPRODUCT(("CT_CWODBDS"=[1]OUT_SyntheticFuels!$C$4:$C$1000)*1,("Celc"=[1]OUT_SyntheticFuels!$A$4:$A$1000)*1,("Var_Fin"=[1]OUT_SyntheticFuels!$B$4:$B$1000)*1,[1]OUT_SyntheticFuels!K$4:K$1000)</f>
        <v>3.149833614656764E-6</v>
      </c>
      <c r="M595" s="1" cm="1">
        <f t="array" ref="M595">SUMPRODUCT(("CT_CWODBDS"=[1]OUT_SyntheticFuels!$C$4:$C$1000)*1,("Celc"=[1]OUT_SyntheticFuels!$A$4:$A$1000)*1,("Var_Fin"=[1]OUT_SyntheticFuels!$B$4:$B$1000)*1,[1]OUT_SyntheticFuels!L$4:L$1000)</f>
        <v>3.1148219526254066E-6</v>
      </c>
      <c r="N595" s="1" cm="1">
        <f t="array" ref="N595">SUMPRODUCT(("CT_CWODBDS"=[1]OUT_SyntheticFuels!$C$4:$C$1000)*1,("Celc"=[1]OUT_SyntheticFuels!$A$4:$A$1000)*1,("Var_Fin"=[1]OUT_SyntheticFuels!$B$4:$B$1000)*1,[1]OUT_SyntheticFuels!M$4:M$1000)</f>
        <v>1.0571702103547367E-6</v>
      </c>
      <c r="O595" s="1" cm="1">
        <f t="array" ref="O595">SUMPRODUCT(("CT_CWODBDS"=[1]OUT_SyntheticFuels!$C$4:$C$1000)*1,("Celc"=[1]OUT_SyntheticFuels!$A$4:$A$1000)*1,("Var_Fin"=[1]OUT_SyntheticFuels!$B$4:$B$1000)*1,[1]OUT_SyntheticFuels!N$4:N$1000)</f>
        <v>3.059861761157218E-6</v>
      </c>
      <c r="P595" s="1" cm="1">
        <f t="array" ref="P595">SUMPRODUCT(("CT_CWODBDS"=[1]OUT_SyntheticFuels!$C$4:$C$1000)*1,("Celc"=[1]OUT_SyntheticFuels!$A$4:$A$1000)*1,("Var_Fin"=[1]OUT_SyntheticFuels!$B$4:$B$1000)*1,[1]OUT_SyntheticFuels!O$4:O$1000)</f>
        <v>1.7789241678232975E-6</v>
      </c>
      <c r="Q595" s="1" cm="1">
        <f t="array" ref="Q595">SUMPRODUCT(("CT_CWODBDS"=[1]OUT_SyntheticFuels!$C$4:$C$1000)*1,("Celc"=[1]OUT_SyntheticFuels!$A$4:$A$1000)*1,("Var_Fin"=[1]OUT_SyntheticFuels!$B$4:$B$1000)*1,[1]OUT_SyntheticFuels!P$4:P$1000)</f>
        <v>6.6708984777085882E-6</v>
      </c>
      <c r="S595" s="3"/>
    </row>
    <row r="596" spans="2:19" x14ac:dyDescent="0.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SUMPRODUCT(("CT_CWODBDSCCS"=[1]OUT_SyntheticFuels!$C$4:$C$1000)*1,("Celc"=[1]OUT_SyntheticFuels!$A$4:$A$1000)*1,("Var_Fin"=[1]OUT_SyntheticFuels!$B$4:$B$1000)*1,[1]OUT_SyntheticFuels!I$4:I$1000)</f>
        <v>0</v>
      </c>
      <c r="K596" s="1" cm="1">
        <f t="array" ref="K596">SUMPRODUCT(("CT_CWODBDSCCS"=[1]OUT_SyntheticFuels!$C$4:$C$1000)*1,("Celc"=[1]OUT_SyntheticFuels!$A$4:$A$1000)*1,("Var_Fin"=[1]OUT_SyntheticFuels!$B$4:$B$1000)*1,[1]OUT_SyntheticFuels!J$4:J$1000)</f>
        <v>4.7912334827265816E-6</v>
      </c>
      <c r="L596" s="1" cm="1">
        <f t="array" ref="L596">SUMPRODUCT(("CT_CWODBDSCCS"=[1]OUT_SyntheticFuels!$C$4:$C$1000)*1,("Celc"=[1]OUT_SyntheticFuels!$A$4:$A$1000)*1,("Var_Fin"=[1]OUT_SyntheticFuels!$B$4:$B$1000)*1,[1]OUT_SyntheticFuels!K$4:K$1000)</f>
        <v>7.6271931596431249E-6</v>
      </c>
      <c r="M596" s="1" cm="1">
        <f t="array" ref="M596">SUMPRODUCT(("CT_CWODBDSCCS"=[1]OUT_SyntheticFuels!$C$4:$C$1000)*1,("Celc"=[1]OUT_SyntheticFuels!$A$4:$A$1000)*1,("Var_Fin"=[1]OUT_SyntheticFuels!$B$4:$B$1000)*1,[1]OUT_SyntheticFuels!L$4:L$1000)</f>
        <v>0.43647149974934202</v>
      </c>
      <c r="N596" s="1" cm="1">
        <f t="array" ref="N596">SUMPRODUCT(("CT_CWODBDSCCS"=[1]OUT_SyntheticFuels!$C$4:$C$1000)*1,("Celc"=[1]OUT_SyntheticFuels!$A$4:$A$1000)*1,("Var_Fin"=[1]OUT_SyntheticFuels!$B$4:$B$1000)*1,[1]OUT_SyntheticFuels!M$4:M$1000)</f>
        <v>0.46322080538136978</v>
      </c>
      <c r="O596" s="1" cm="1">
        <f t="array" ref="O596">SUMPRODUCT(("CT_CWODBDSCCS"=[1]OUT_SyntheticFuels!$C$4:$C$1000)*1,("Celc"=[1]OUT_SyntheticFuels!$A$4:$A$1000)*1,("Var_Fin"=[1]OUT_SyntheticFuels!$B$4:$B$1000)*1,[1]OUT_SyntheticFuels!N$4:N$1000)</f>
        <v>0.43647142731430932</v>
      </c>
      <c r="P596" s="1" cm="1">
        <f t="array" ref="P596">SUMPRODUCT(("CT_CWODBDSCCS"=[1]OUT_SyntheticFuels!$C$4:$C$1000)*1,("Celc"=[1]OUT_SyntheticFuels!$A$4:$A$1000)*1,("Var_Fin"=[1]OUT_SyntheticFuels!$B$4:$B$1000)*1,[1]OUT_SyntheticFuels!O$4:O$1000)</f>
        <v>0.46337274037768716</v>
      </c>
      <c r="Q596" s="1" cm="1">
        <f t="array" ref="Q596">SUMPRODUCT(("CT_CWODBDSCCS"=[1]OUT_SyntheticFuels!$C$4:$C$1000)*1,("Celc"=[1]OUT_SyntheticFuels!$A$4:$A$1000)*1,("Var_Fin"=[1]OUT_SyntheticFuels!$B$4:$B$1000)*1,[1]OUT_SyntheticFuels!P$4:P$1000)</f>
        <v>0.51122727621822084</v>
      </c>
      <c r="S596" s="3"/>
    </row>
    <row r="597" spans="2:19" x14ac:dyDescent="0.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M597" t="s">
        <v>292</v>
      </c>
      <c r="N597" t="s">
        <v>292</v>
      </c>
      <c r="O597" t="s">
        <v>292</v>
      </c>
      <c r="P597" t="s">
        <v>292</v>
      </c>
      <c r="Q597" t="s">
        <v>292</v>
      </c>
      <c r="S597" s="3"/>
    </row>
    <row r="598" spans="2:19" x14ac:dyDescent="0.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0.47619047619047655</v>
      </c>
      <c r="G598" s="4">
        <f t="shared" ref="G598:K599" si="672">IFERROR(SUM(G584,G588)/SUM(G592,G595),"-")</f>
        <v>0.47619047619047605</v>
      </c>
      <c r="H598" s="4">
        <f t="shared" si="672"/>
        <v>0.47619047619047644</v>
      </c>
      <c r="I598" s="4">
        <f t="shared" si="672"/>
        <v>0.47619047619047583</v>
      </c>
      <c r="J598" s="4">
        <f t="shared" si="672"/>
        <v>0.47619047619047711</v>
      </c>
      <c r="K598" s="4">
        <f t="shared" si="672"/>
        <v>0.47619047619047644</v>
      </c>
      <c r="L598" s="4">
        <f t="shared" ref="L598:O598" si="673">IFERROR(SUM(L584,L588)/SUM(L592,L595),"-")</f>
        <v>0.47613421298828257</v>
      </c>
      <c r="M598" s="4">
        <f t="shared" si="673"/>
        <v>0.47619047619047616</v>
      </c>
      <c r="N598" s="4">
        <f t="shared" si="673"/>
        <v>0.47619047619047611</v>
      </c>
      <c r="O598" s="4">
        <f t="shared" si="673"/>
        <v>0.47619047619047644</v>
      </c>
      <c r="P598" s="4">
        <f>IFERROR(SUM(P584,P588)/SUM(P592,P595),"-")</f>
        <v>0.476190476190476</v>
      </c>
      <c r="Q598" s="4">
        <f>IFERROR(SUM(Q584,Q588)/SUM(Q592,Q595),"-")</f>
        <v>0.47619047619047644</v>
      </c>
      <c r="S598" s="3"/>
    </row>
    <row r="599" spans="2:19" x14ac:dyDescent="0.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72"/>
        <v>-</v>
      </c>
      <c r="H599" s="4" t="str">
        <f t="shared" si="672"/>
        <v>-</v>
      </c>
      <c r="I599" s="4" t="str">
        <f t="shared" si="672"/>
        <v>-</v>
      </c>
      <c r="J599" s="4" t="str">
        <f t="shared" si="672"/>
        <v>-</v>
      </c>
      <c r="K599" s="4">
        <f t="shared" si="672"/>
        <v>0.46666666666666662</v>
      </c>
      <c r="L599" s="4">
        <f t="shared" ref="L599:O599" si="674">IFERROR(SUM(L585,L589)/SUM(L593,L596),"-")</f>
        <v>0.46666666666666673</v>
      </c>
      <c r="M599" s="4">
        <f t="shared" si="674"/>
        <v>0.4666666666666669</v>
      </c>
      <c r="N599" s="4">
        <f t="shared" si="674"/>
        <v>0.46666666666666667</v>
      </c>
      <c r="O599" s="4">
        <f t="shared" si="674"/>
        <v>0.46666666666666645</v>
      </c>
      <c r="P599" s="4">
        <f>IFERROR(SUM(P585,P589)/SUM(P593,P596),"-")</f>
        <v>0.46666666666666634</v>
      </c>
      <c r="Q599" s="4">
        <f>IFERROR(SUM(Q585,Q589)/SUM(Q593,Q596),"-")</f>
        <v>0.46666666666666662</v>
      </c>
      <c r="S599" s="3"/>
    </row>
    <row r="600" spans="2:19" x14ac:dyDescent="0.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0.18403683236482027</v>
      </c>
      <c r="G600" s="1">
        <f>[1]Other_transformation!C$12</f>
        <v>1.9222415166544928E-5</v>
      </c>
      <c r="H600" s="1">
        <f>[1]Other_transformation!D$12</f>
        <v>0.18402759594952389</v>
      </c>
      <c r="I600" s="1">
        <f>[1]Other_transformation!E$12</f>
        <v>2.515008710809563E-5</v>
      </c>
      <c r="J600" s="1">
        <f>[1]Other_transformation!F$12</f>
        <v>4.1498856525855553E-5</v>
      </c>
      <c r="K600" s="1">
        <f>[1]Other_transformation!G$12</f>
        <v>6.2720223585995485E-5</v>
      </c>
      <c r="L600" s="1">
        <f>[1]Other_transformation!H$12</f>
        <v>4.2391876188462694E-5</v>
      </c>
      <c r="M600" s="1">
        <f>[1]Other_transformation!I$12</f>
        <v>7.5856648414537422E-5</v>
      </c>
      <c r="N600" s="1">
        <f>[1]Other_transformation!J$12</f>
        <v>3.2769786455738902E-5</v>
      </c>
      <c r="O600" s="1">
        <f>[1]Other_transformation!K$12</f>
        <v>7.8138090359956337E-5</v>
      </c>
      <c r="P600" s="1">
        <f>[1]Other_transformation!L$12</f>
        <v>5.3498583727719341E-5</v>
      </c>
      <c r="Q600" s="1">
        <f>[1]Other_transformation!M$12</f>
        <v>1.7222528234823558E-4</v>
      </c>
      <c r="S600" s="3"/>
    </row>
    <row r="601" spans="2:19" x14ac:dyDescent="0.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0.18403683236482027</v>
      </c>
      <c r="G601" s="1">
        <f t="shared" ref="G601:K601" si="675">SUM(G602:G603)</f>
        <v>1.9222415166544928E-5</v>
      </c>
      <c r="H601" s="1">
        <f t="shared" si="675"/>
        <v>0.18402759594952389</v>
      </c>
      <c r="I601" s="1">
        <f t="shared" si="675"/>
        <v>2.515008710809563E-5</v>
      </c>
      <c r="J601" s="1">
        <f t="shared" si="675"/>
        <v>4.1498856525855553E-5</v>
      </c>
      <c r="K601" s="1">
        <f t="shared" si="675"/>
        <v>6.2720223585995485E-5</v>
      </c>
      <c r="L601" s="1">
        <f t="shared" ref="L601:O601" si="676">SUM(L602:L603)</f>
        <v>4.2391876188462694E-5</v>
      </c>
      <c r="M601" s="1">
        <f t="shared" si="676"/>
        <v>7.5856648414537422E-5</v>
      </c>
      <c r="N601" s="1">
        <f t="shared" si="676"/>
        <v>3.2769786455738902E-5</v>
      </c>
      <c r="O601" s="1">
        <f t="shared" si="676"/>
        <v>7.8138090359956337E-5</v>
      </c>
      <c r="P601" s="1">
        <f>SUM(P602:P603)</f>
        <v>5.3498583727719341E-5</v>
      </c>
      <c r="Q601" s="1">
        <f>SUM(Q602:Q603)</f>
        <v>1.7222528234823558E-4</v>
      </c>
      <c r="S601" s="3"/>
    </row>
    <row r="602" spans="2:19" x14ac:dyDescent="0.5">
      <c r="B602" s="5" t="s">
        <v>6</v>
      </c>
      <c r="C602" s="5" t="s">
        <v>7</v>
      </c>
      <c r="D602" t="s">
        <v>2165</v>
      </c>
      <c r="E602" t="str">
        <f t="shared" ref="E602:E603" si="677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0.18403683236482027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1.9222415166544928E-5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0.18402759594952389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2.515008710809563E-5</v>
      </c>
      <c r="J602" s="1" cm="1">
        <f t="array" ref="J602">SUMPRODUCT(("CT_CWODETH"=[1]OUT_SyntheticFuels!$C$4:$C$1000)*1,("ETH"=[1]OUT_SyntheticFuels!$A$4:$A$1000)*1,("Var_Fout"=[1]OUT_SyntheticFuels!$B$4:$B$1000)*1,[1]OUT_SyntheticFuels!I$4:I$1000)</f>
        <v>4.1498856525855553E-5</v>
      </c>
      <c r="K602" s="1" cm="1">
        <f t="array" ref="K602">SUMPRODUCT(("CT_CWODETH"=[1]OUT_SyntheticFuels!$C$4:$C$1000)*1,("ETH"=[1]OUT_SyntheticFuels!$A$4:$A$1000)*1,("Var_Fout"=[1]OUT_SyntheticFuels!$B$4:$B$1000)*1,[1]OUT_SyntheticFuels!J$4:J$1000)</f>
        <v>3.6723572003672347E-5</v>
      </c>
      <c r="L602" s="1" cm="1">
        <f t="array" ref="L602">SUMPRODUCT(("CT_CWODETH"=[1]OUT_SyntheticFuels!$C$4:$C$1000)*1,("ETH"=[1]OUT_SyntheticFuels!$A$4:$A$1000)*1,("Var_Fout"=[1]OUT_SyntheticFuels!$B$4:$B$1000)*1,[1]OUT_SyntheticFuels!K$4:K$1000)</f>
        <v>2.1948933891173565E-5</v>
      </c>
      <c r="M602" s="1" cm="1">
        <f t="array" ref="M602">SUMPRODUCT(("CT_CWODETH"=[1]OUT_SyntheticFuels!$C$4:$C$1000)*1,("ETH"=[1]OUT_SyntheticFuels!$A$4:$A$1000)*1,("Var_Fout"=[1]OUT_SyntheticFuels!$B$4:$B$1000)*1,[1]OUT_SyntheticFuels!L$4:L$1000)</f>
        <v>3.5232181410296504E-5</v>
      </c>
      <c r="N602" s="1" cm="1">
        <f t="array" ref="N602">SUMPRODUCT(("CT_CWODETH"=[1]OUT_SyntheticFuels!$C$4:$C$1000)*1,("ETH"=[1]OUT_SyntheticFuels!$A$4:$A$1000)*1,("Var_Fout"=[1]OUT_SyntheticFuels!$B$4:$B$1000)*1,[1]OUT_SyntheticFuels!M$4:M$1000)</f>
        <v>1.470147658799559E-5</v>
      </c>
      <c r="O602" s="1" cm="1">
        <f t="array" ref="O602">SUMPRODUCT(("CT_CWODETH"=[1]OUT_SyntheticFuels!$C$4:$C$1000)*1,("ETH"=[1]OUT_SyntheticFuels!$A$4:$A$1000)*1,("Var_Fout"=[1]OUT_SyntheticFuels!$B$4:$B$1000)*1,[1]OUT_SyntheticFuels!N$4:N$1000)</f>
        <v>3.6813606365589265E-5</v>
      </c>
      <c r="P602" s="1" cm="1">
        <f t="array" ref="P602">SUMPRODUCT(("CT_CWODETH"=[1]OUT_SyntheticFuels!$C$4:$C$1000)*1,("ETH"=[1]OUT_SyntheticFuels!$A$4:$A$1000)*1,("Var_Fout"=[1]OUT_SyntheticFuels!$B$4:$B$1000)*1,[1]OUT_SyntheticFuels!O$4:O$1000)</f>
        <v>2.4374396388124697E-5</v>
      </c>
      <c r="Q602" s="1" cm="1">
        <f t="array" ref="Q602">SUMPRODUCT(("CT_CWODETH"=[1]OUT_SyntheticFuels!$C$4:$C$1000)*1,("ETH"=[1]OUT_SyntheticFuels!$A$4:$A$1000)*1,("Var_Fout"=[1]OUT_SyntheticFuels!$B$4:$B$1000)*1,[1]OUT_SyntheticFuels!P$4:P$1000)</f>
        <v>7.8715145221421945E-5</v>
      </c>
      <c r="S602" s="3"/>
    </row>
    <row r="603" spans="2:19" x14ac:dyDescent="0.5">
      <c r="B603" s="5" t="s">
        <v>6</v>
      </c>
      <c r="C603" s="5" t="s">
        <v>7</v>
      </c>
      <c r="D603" t="s">
        <v>2166</v>
      </c>
      <c r="E603" t="str">
        <f t="shared" si="677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SUMPRODUCT(("CT_CWODETHCCS"=[1]OUT_SyntheticFuels!$C$4:$C$1000)*1,("ETH"=[1]OUT_SyntheticFuels!$A$4:$A$1000)*1,("Var_Fout"=[1]OUT_SyntheticFuels!$B$4:$B$1000)*1,[1]OUT_SyntheticFuels!I$4:I$1000)</f>
        <v>0</v>
      </c>
      <c r="K603" s="1" cm="1">
        <f t="array" ref="K603">SUMPRODUCT(("CT_CWODETHCCS"=[1]OUT_SyntheticFuels!$C$4:$C$1000)*1,("ETH"=[1]OUT_SyntheticFuels!$A$4:$A$1000)*1,("Var_Fout"=[1]OUT_SyntheticFuels!$B$4:$B$1000)*1,[1]OUT_SyntheticFuels!J$4:J$1000)</f>
        <v>2.5996651582323138E-5</v>
      </c>
      <c r="L603" s="1" cm="1">
        <f t="array" ref="L603">SUMPRODUCT(("CT_CWODETHCCS"=[1]OUT_SyntheticFuels!$C$4:$C$1000)*1,("ETH"=[1]OUT_SyntheticFuels!$A$4:$A$1000)*1,("Var_Fout"=[1]OUT_SyntheticFuels!$B$4:$B$1000)*1,[1]OUT_SyntheticFuels!K$4:K$1000)</f>
        <v>2.0442942297289125E-5</v>
      </c>
      <c r="M603" s="1" cm="1">
        <f t="array" ref="M603">SUMPRODUCT(("CT_CWODETHCCS"=[1]OUT_SyntheticFuels!$C$4:$C$1000)*1,("ETH"=[1]OUT_SyntheticFuels!$A$4:$A$1000)*1,("Var_Fout"=[1]OUT_SyntheticFuels!$B$4:$B$1000)*1,[1]OUT_SyntheticFuels!L$4:L$1000)</f>
        <v>4.0624467004240918E-5</v>
      </c>
      <c r="N603" s="1" cm="1">
        <f t="array" ref="N603">SUMPRODUCT(("CT_CWODETHCCS"=[1]OUT_SyntheticFuels!$C$4:$C$1000)*1,("ETH"=[1]OUT_SyntheticFuels!$A$4:$A$1000)*1,("Var_Fout"=[1]OUT_SyntheticFuels!$B$4:$B$1000)*1,[1]OUT_SyntheticFuels!M$4:M$1000)</f>
        <v>1.8068309867743312E-5</v>
      </c>
      <c r="O603" s="1" cm="1">
        <f t="array" ref="O603">SUMPRODUCT(("CT_CWODETHCCS"=[1]OUT_SyntheticFuels!$C$4:$C$1000)*1,("ETH"=[1]OUT_SyntheticFuels!$A$4:$A$1000)*1,("Var_Fout"=[1]OUT_SyntheticFuels!$B$4:$B$1000)*1,[1]OUT_SyntheticFuels!N$4:N$1000)</f>
        <v>4.1324483994367078E-5</v>
      </c>
      <c r="P603" s="1" cm="1">
        <f t="array" ref="P603">SUMPRODUCT(("CT_CWODETHCCS"=[1]OUT_SyntheticFuels!$C$4:$C$1000)*1,("ETH"=[1]OUT_SyntheticFuels!$A$4:$A$1000)*1,("Var_Fout"=[1]OUT_SyntheticFuels!$B$4:$B$1000)*1,[1]OUT_SyntheticFuels!O$4:O$1000)</f>
        <v>2.9124187339594647E-5</v>
      </c>
      <c r="Q603" s="1" cm="1">
        <f t="array" ref="Q603">SUMPRODUCT(("CT_CWODETHCCS"=[1]OUT_SyntheticFuels!$C$4:$C$1000)*1,("ETH"=[1]OUT_SyntheticFuels!$A$4:$A$1000)*1,("Var_Fout"=[1]OUT_SyntheticFuels!$B$4:$B$1000)*1,[1]OUT_SyntheticFuels!P$4:P$1000)</f>
        <v>9.3510137126813638E-5</v>
      </c>
      <c r="S603" s="3"/>
    </row>
    <row r="604" spans="2:19" x14ac:dyDescent="0.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0.68645738472078022</v>
      </c>
      <c r="G604" s="3">
        <f t="shared" ref="G604:K604" si="678">G605+G608</f>
        <v>7.1699608571212595E-5</v>
      </c>
      <c r="H604" s="3">
        <f t="shared" si="678"/>
        <v>0.68642293289172451</v>
      </c>
      <c r="I604" s="3">
        <f t="shared" si="678"/>
        <v>9.3809824913196598E-5</v>
      </c>
      <c r="J604" s="3">
        <f t="shared" si="678"/>
        <v>1.5479073484144114E-4</v>
      </c>
      <c r="K604" s="3">
        <f t="shared" si="678"/>
        <v>2.4590489370363174E-4</v>
      </c>
      <c r="L604" s="3">
        <f t="shared" ref="L604:O604" si="679">L605+L608</f>
        <v>1.6752545163971873E-4</v>
      </c>
      <c r="M604" s="3">
        <f t="shared" si="679"/>
        <v>3.0163255340817554E-4</v>
      </c>
      <c r="N604" s="3">
        <f t="shared" si="679"/>
        <v>1.3054272601906798E-4</v>
      </c>
      <c r="O604" s="3">
        <f t="shared" si="679"/>
        <v>3.104643396800458E-4</v>
      </c>
      <c r="P604" s="3">
        <f>P605+P608</f>
        <v>2.1294684348060669E-4</v>
      </c>
      <c r="Q604" s="3">
        <f>Q605+Q608</f>
        <v>6.8541496623725272E-4</v>
      </c>
      <c r="S604" s="3"/>
    </row>
    <row r="605" spans="2:19" x14ac:dyDescent="0.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0.38463697964247456</v>
      </c>
      <c r="G605" s="1">
        <f t="shared" ref="G605:K605" si="680">SUM(G606:G607)</f>
        <v>4.0174847698078906E-5</v>
      </c>
      <c r="H605" s="1">
        <f t="shared" si="680"/>
        <v>0.3846176755345051</v>
      </c>
      <c r="I605" s="1">
        <f t="shared" si="680"/>
        <v>5.2563682055919777E-5</v>
      </c>
      <c r="J605" s="1">
        <f t="shared" si="680"/>
        <v>8.6732610139038111E-5</v>
      </c>
      <c r="K605" s="1">
        <f t="shared" si="680"/>
        <v>1.3108526729473056E-4</v>
      </c>
      <c r="L605" s="1">
        <f t="shared" ref="L605:O605" si="681">SUM(L606:L607)</f>
        <v>8.8599021233886973E-5</v>
      </c>
      <c r="M605" s="1">
        <f t="shared" si="681"/>
        <v>1.5854039518638333E-4</v>
      </c>
      <c r="N605" s="1">
        <f t="shared" si="681"/>
        <v>6.8488853692494285E-5</v>
      </c>
      <c r="O605" s="1">
        <f t="shared" si="681"/>
        <v>1.6330860885230866E-4</v>
      </c>
      <c r="P605" s="1">
        <f>SUM(P606:P607)</f>
        <v>1.1181203999093344E-4</v>
      </c>
      <c r="Q605" s="1">
        <f>SUM(Q606:Q607)</f>
        <v>3.5995084010781225E-4</v>
      </c>
      <c r="S605" s="3"/>
    </row>
    <row r="606" spans="2:19" x14ac:dyDescent="0.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0.38463697964247456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4.0174847698078906E-5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0.3846176755345051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5.2563682055919777E-5</v>
      </c>
      <c r="J606" s="1" cm="1">
        <f t="array" ref="J606">SUMPRODUCT(("CT_CWODETH"=[1]OUT_SyntheticFuels!$C$4:$C$1000)*1,("cwod"=[1]OUT_SyntheticFuels!$A$4:$A$1000)*1,("Var_Fin"=[1]OUT_SyntheticFuels!$B$4:$B$1000)*1,[1]OUT_SyntheticFuels!I$4:I$1000)</f>
        <v>8.6732610139038111E-5</v>
      </c>
      <c r="K606" s="1" cm="1">
        <f t="array" ref="K606">SUMPRODUCT(("CT_CWODETH"=[1]OUT_SyntheticFuels!$C$4:$C$1000)*1,("cwod"=[1]OUT_SyntheticFuels!$A$4:$A$1000)*1,("Var_Fin"=[1]OUT_SyntheticFuels!$B$4:$B$1000)*1,[1]OUT_SyntheticFuels!J$4:J$1000)</f>
        <v>7.6752265487675152E-5</v>
      </c>
      <c r="L606" s="1" cm="1">
        <f t="array" ref="L606">SUMPRODUCT(("CT_CWODETH"=[1]OUT_SyntheticFuels!$C$4:$C$1000)*1,("cwod"=[1]OUT_SyntheticFuels!$A$4:$A$1000)*1,("Var_Fin"=[1]OUT_SyntheticFuels!$B$4:$B$1000)*1,[1]OUT_SyntheticFuels!K$4:K$1000)</f>
        <v>4.5873271832552703E-5</v>
      </c>
      <c r="M606" s="1" cm="1">
        <f t="array" ref="M606">SUMPRODUCT(("CT_CWODETH"=[1]OUT_SyntheticFuels!$C$4:$C$1000)*1,("cwod"=[1]OUT_SyntheticFuels!$A$4:$A$1000)*1,("Var_Fin"=[1]OUT_SyntheticFuels!$B$4:$B$1000)*1,[1]OUT_SyntheticFuels!L$4:L$1000)</f>
        <v>7.3635259147519723E-5</v>
      </c>
      <c r="N606" s="1" cm="1">
        <f t="array" ref="N606">SUMPRODUCT(("CT_CWODETH"=[1]OUT_SyntheticFuels!$C$4:$C$1000)*1,("cwod"=[1]OUT_SyntheticFuels!$A$4:$A$1000)*1,("Var_Fin"=[1]OUT_SyntheticFuels!$B$4:$B$1000)*1,[1]OUT_SyntheticFuels!M$4:M$1000)</f>
        <v>3.0726086068910771E-5</v>
      </c>
      <c r="O606" s="1" cm="1">
        <f t="array" ref="O606">SUMPRODUCT(("CT_CWODETH"=[1]OUT_SyntheticFuels!$C$4:$C$1000)*1,("cwod"=[1]OUT_SyntheticFuels!$A$4:$A$1000)*1,("Var_Fin"=[1]OUT_SyntheticFuels!$B$4:$B$1000)*1,[1]OUT_SyntheticFuels!N$4:N$1000)</f>
        <v>7.6940437304081542E-5</v>
      </c>
      <c r="P606" s="1" cm="1">
        <f t="array" ref="P606">SUMPRODUCT(("CT_CWODETH"=[1]OUT_SyntheticFuels!$C$4:$C$1000)*1,("cwod"=[1]OUT_SyntheticFuels!$A$4:$A$1000)*1,("Var_Fin"=[1]OUT_SyntheticFuels!$B$4:$B$1000)*1,[1]OUT_SyntheticFuels!O$4:O$1000)</f>
        <v>5.09424884511806E-5</v>
      </c>
      <c r="Q606" s="1" cm="1">
        <f t="array" ref="Q606">SUMPRODUCT(("CT_CWODETH"=[1]OUT_SyntheticFuels!$C$4:$C$1000)*1,("cwod"=[1]OUT_SyntheticFuels!$A$4:$A$1000)*1,("Var_Fin"=[1]OUT_SyntheticFuels!$B$4:$B$1000)*1,[1]OUT_SyntheticFuels!P$4:P$1000)</f>
        <v>1.6451465351277188E-4</v>
      </c>
      <c r="S606" s="3"/>
    </row>
    <row r="607" spans="2:19" x14ac:dyDescent="0.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SUMPRODUCT(("CT_CWODETHCCS"=[1]OUT_SyntheticFuels!$C$4:$C$1000)*1,("cwod"=[1]OUT_SyntheticFuels!$A$4:$A$1000)*1,("Var_Fin"=[1]OUT_SyntheticFuels!$B$4:$B$1000)*1,[1]OUT_SyntheticFuels!I$4:I$1000)</f>
        <v>0</v>
      </c>
      <c r="K607" s="1" cm="1">
        <f t="array" ref="K607">SUMPRODUCT(("CT_CWODETHCCS"=[1]OUT_SyntheticFuels!$C$4:$C$1000)*1,("cwod"=[1]OUT_SyntheticFuels!$A$4:$A$1000)*1,("Var_Fin"=[1]OUT_SyntheticFuels!$B$4:$B$1000)*1,[1]OUT_SyntheticFuels!J$4:J$1000)</f>
        <v>5.4333001807055417E-5</v>
      </c>
      <c r="L607" s="1" cm="1">
        <f t="array" ref="L607">SUMPRODUCT(("CT_CWODETHCCS"=[1]OUT_SyntheticFuels!$C$4:$C$1000)*1,("cwod"=[1]OUT_SyntheticFuels!$A$4:$A$1000)*1,("Var_Fin"=[1]OUT_SyntheticFuels!$B$4:$B$1000)*1,[1]OUT_SyntheticFuels!K$4:K$1000)</f>
        <v>4.272574940133427E-5</v>
      </c>
      <c r="M607" s="1" cm="1">
        <f t="array" ref="M607">SUMPRODUCT(("CT_CWODETHCCS"=[1]OUT_SyntheticFuels!$C$4:$C$1000)*1,("cwod"=[1]OUT_SyntheticFuels!$A$4:$A$1000)*1,("Var_Fin"=[1]OUT_SyntheticFuels!$B$4:$B$1000)*1,[1]OUT_SyntheticFuels!L$4:L$1000)</f>
        <v>8.490513603886362E-5</v>
      </c>
      <c r="N607" s="1" cm="1">
        <f t="array" ref="N607">SUMPRODUCT(("CT_CWODETHCCS"=[1]OUT_SyntheticFuels!$C$4:$C$1000)*1,("cwod"=[1]OUT_SyntheticFuels!$A$4:$A$1000)*1,("Var_Fin"=[1]OUT_SyntheticFuels!$B$4:$B$1000)*1,[1]OUT_SyntheticFuels!M$4:M$1000)</f>
        <v>3.7762767623583515E-5</v>
      </c>
      <c r="O607" s="1" cm="1">
        <f t="array" ref="O607">SUMPRODUCT(("CT_CWODETHCCS"=[1]OUT_SyntheticFuels!$C$4:$C$1000)*1,("cwod"=[1]OUT_SyntheticFuels!$A$4:$A$1000)*1,("Var_Fin"=[1]OUT_SyntheticFuels!$B$4:$B$1000)*1,[1]OUT_SyntheticFuels!N$4:N$1000)</f>
        <v>8.6368171548227118E-5</v>
      </c>
      <c r="P607" s="1" cm="1">
        <f t="array" ref="P607">SUMPRODUCT(("CT_CWODETHCCS"=[1]OUT_SyntheticFuels!$C$4:$C$1000)*1,("cwod"=[1]OUT_SyntheticFuels!$A$4:$A$1000)*1,("Var_Fin"=[1]OUT_SyntheticFuels!$B$4:$B$1000)*1,[1]OUT_SyntheticFuels!O$4:O$1000)</f>
        <v>6.0869551539752837E-5</v>
      </c>
      <c r="Q607" s="1" cm="1">
        <f t="array" ref="Q607">SUMPRODUCT(("CT_CWODETHCCS"=[1]OUT_SyntheticFuels!$C$4:$C$1000)*1,("cwod"=[1]OUT_SyntheticFuels!$A$4:$A$1000)*1,("Var_Fin"=[1]OUT_SyntheticFuels!$B$4:$B$1000)*1,[1]OUT_SyntheticFuels!P$4:P$1000)</f>
        <v>1.9543618659504039E-4</v>
      </c>
      <c r="S607" s="3"/>
    </row>
    <row r="608" spans="2:19" x14ac:dyDescent="0.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0.30182040507830565</v>
      </c>
      <c r="G608" s="1">
        <f t="shared" ref="G608:K608" si="682">SUM(G609:G610)</f>
        <v>3.1524760873133689E-5</v>
      </c>
      <c r="H608" s="1">
        <f t="shared" si="682"/>
        <v>0.30180525735721941</v>
      </c>
      <c r="I608" s="1">
        <f t="shared" si="682"/>
        <v>4.1246142857276814E-5</v>
      </c>
      <c r="J608" s="1">
        <f t="shared" si="682"/>
        <v>6.8058124702403044E-5</v>
      </c>
      <c r="K608" s="1">
        <f t="shared" si="682"/>
        <v>1.148196264089012E-4</v>
      </c>
      <c r="L608" s="1">
        <f t="shared" ref="L608:O608" si="683">SUM(L609:L610)</f>
        <v>7.8926430405831753E-5</v>
      </c>
      <c r="M608" s="1">
        <f t="shared" si="683"/>
        <v>1.4309215822179224E-4</v>
      </c>
      <c r="N608" s="1">
        <f t="shared" si="683"/>
        <v>6.2053872326573684E-5</v>
      </c>
      <c r="O608" s="1">
        <f t="shared" si="683"/>
        <v>1.4715573082773714E-4</v>
      </c>
      <c r="P608" s="1">
        <f>SUM(P609:P610)</f>
        <v>1.0113480348967327E-4</v>
      </c>
      <c r="Q608" s="1">
        <f>SUM(Q609:Q610)</f>
        <v>3.2546412612944047E-4</v>
      </c>
      <c r="S608" s="3"/>
    </row>
    <row r="609" spans="2:19" x14ac:dyDescent="0.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0.30182040507830565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3.1524760873133689E-5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0.30180525735721941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4.1246142857276814E-5</v>
      </c>
      <c r="J609" s="1" cm="1">
        <f t="array" ref="J609">SUMPRODUCT(("CT_CWODETH"=[1]OUT_SyntheticFuels!$C$4:$C$1000)*1,("celc"=[1]OUT_SyntheticFuels!$A$4:$A$1000)*1,("Var_Fin"=[1]OUT_SyntheticFuels!$B$4:$B$1000)*1,[1]OUT_SyntheticFuels!I$4:I$1000)</f>
        <v>6.8058124702403044E-5</v>
      </c>
      <c r="K609" s="1" cm="1">
        <f t="array" ref="K609">SUMPRODUCT(("CT_CWODETH"=[1]OUT_SyntheticFuels!$C$4:$C$1000)*1,("celc"=[1]OUT_SyntheticFuels!$A$4:$A$1000)*1,("Var_Fin"=[1]OUT_SyntheticFuels!$B$4:$B$1000)*1,[1]OUT_SyntheticFuels!J$4:J$1000)</f>
        <v>6.0226658086022622E-5</v>
      </c>
      <c r="L609" s="1" cm="1">
        <f t="array" ref="L609">SUMPRODUCT(("CT_CWODETH"=[1]OUT_SyntheticFuels!$C$4:$C$1000)*1,("celc"=[1]OUT_SyntheticFuels!$A$4:$A$1000)*1,("Var_Fin"=[1]OUT_SyntheticFuels!$B$4:$B$1000)*1,[1]OUT_SyntheticFuels!K$4:K$1000)</f>
        <v>3.5996251581524614E-5</v>
      </c>
      <c r="M609" s="1" cm="1">
        <f t="array" ref="M609">SUMPRODUCT(("CT_CWODETH"=[1]OUT_SyntheticFuels!$C$4:$C$1000)*1,("celc"=[1]OUT_SyntheticFuels!$A$4:$A$1000)*1,("Var_Fin"=[1]OUT_SyntheticFuels!$B$4:$B$1000)*1,[1]OUT_SyntheticFuels!L$4:L$1000)</f>
        <v>5.7780777512886254E-5</v>
      </c>
      <c r="N609" s="1" cm="1">
        <f t="array" ref="N609">SUMPRODUCT(("CT_CWODETH"=[1]OUT_SyntheticFuels!$C$4:$C$1000)*1,("celc"=[1]OUT_SyntheticFuels!$A$4:$A$1000)*1,("Var_Fin"=[1]OUT_SyntheticFuels!$B$4:$B$1000)*1,[1]OUT_SyntheticFuels!M$4:M$1000)</f>
        <v>2.4110421604312759E-5</v>
      </c>
      <c r="O609" s="1" cm="1">
        <f t="array" ref="O609">SUMPRODUCT(("CT_CWODETH"=[1]OUT_SyntheticFuels!$C$4:$C$1000)*1,("celc"=[1]OUT_SyntheticFuels!$A$4:$A$1000)*1,("Var_Fin"=[1]OUT_SyntheticFuels!$B$4:$B$1000)*1,[1]OUT_SyntheticFuels!N$4:N$1000)</f>
        <v>6.0374314439566346E-5</v>
      </c>
      <c r="P609" s="1" cm="1">
        <f t="array" ref="P609">SUMPRODUCT(("CT_CWODETH"=[1]OUT_SyntheticFuels!$C$4:$C$1000)*1,("celc"=[1]OUT_SyntheticFuels!$A$4:$A$1000)*1,("Var_Fin"=[1]OUT_SyntheticFuels!$B$4:$B$1000)*1,[1]OUT_SyntheticFuels!O$4:O$1000)</f>
        <v>3.9974010076524508E-5</v>
      </c>
      <c r="Q609" s="1" cm="1">
        <f t="array" ref="Q609">SUMPRODUCT(("CT_CWODETH"=[1]OUT_SyntheticFuels!$C$4:$C$1000)*1,("celc"=[1]OUT_SyntheticFuels!$A$4:$A$1000)*1,("Var_Fin"=[1]OUT_SyntheticFuels!$B$4:$B$1000)*1,[1]OUT_SyntheticFuels!P$4:P$1000)</f>
        <v>1.2909283816313198E-4</v>
      </c>
      <c r="S609" s="3"/>
    </row>
    <row r="610" spans="2:19" x14ac:dyDescent="0.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SUMPRODUCT(("CT_CWODETHCCS"=[1]OUT_SyntheticFuels!$C$4:$C$1000)*1,("celc"=[1]OUT_SyntheticFuels!$A$4:$A$1000)*1,("Var_Fin"=[1]OUT_SyntheticFuels!$B$4:$B$1000)*1,[1]OUT_SyntheticFuels!I$4:I$1000)</f>
        <v>0</v>
      </c>
      <c r="K610" s="1" cm="1">
        <f t="array" ref="K610">SUMPRODUCT(("CT_CWODETHCCS"=[1]OUT_SyntheticFuels!$C$4:$C$1000)*1,("celc"=[1]OUT_SyntheticFuels!$A$4:$A$1000)*1,("Var_Fin"=[1]OUT_SyntheticFuels!$B$4:$B$1000)*1,[1]OUT_SyntheticFuels!J$4:J$1000)</f>
        <v>5.4592968322878575E-5</v>
      </c>
      <c r="L610" s="1" cm="1">
        <f t="array" ref="L610">SUMPRODUCT(("CT_CWODETHCCS"=[1]OUT_SyntheticFuels!$C$4:$C$1000)*1,("celc"=[1]OUT_SyntheticFuels!$A$4:$A$1000)*1,("Var_Fin"=[1]OUT_SyntheticFuels!$B$4:$B$1000)*1,[1]OUT_SyntheticFuels!K$4:K$1000)</f>
        <v>4.2930178824307139E-5</v>
      </c>
      <c r="M610" s="1" cm="1">
        <f t="array" ref="M610">SUMPRODUCT(("CT_CWODETHCCS"=[1]OUT_SyntheticFuels!$C$4:$C$1000)*1,("celc"=[1]OUT_SyntheticFuels!$A$4:$A$1000)*1,("Var_Fin"=[1]OUT_SyntheticFuels!$B$4:$B$1000)*1,[1]OUT_SyntheticFuels!L$4:L$1000)</f>
        <v>8.5311380708905993E-5</v>
      </c>
      <c r="N610" s="1" cm="1">
        <f t="array" ref="N610">SUMPRODUCT(("CT_CWODETHCCS"=[1]OUT_SyntheticFuels!$C$4:$C$1000)*1,("celc"=[1]OUT_SyntheticFuels!$A$4:$A$1000)*1,("Var_Fin"=[1]OUT_SyntheticFuels!$B$4:$B$1000)*1,[1]OUT_SyntheticFuels!M$4:M$1000)</f>
        <v>3.7943450722260925E-5</v>
      </c>
      <c r="O610" s="1" cm="1">
        <f t="array" ref="O610">SUMPRODUCT(("CT_CWODETHCCS"=[1]OUT_SyntheticFuels!$C$4:$C$1000)*1,("celc"=[1]OUT_SyntheticFuels!$A$4:$A$1000)*1,("Var_Fin"=[1]OUT_SyntheticFuels!$B$4:$B$1000)*1,[1]OUT_SyntheticFuels!N$4:N$1000)</f>
        <v>8.6781416388170791E-5</v>
      </c>
      <c r="P610" s="1" cm="1">
        <f t="array" ref="P610">SUMPRODUCT(("CT_CWODETHCCS"=[1]OUT_SyntheticFuels!$C$4:$C$1000)*1,("celc"=[1]OUT_SyntheticFuels!$A$4:$A$1000)*1,("Var_Fin"=[1]OUT_SyntheticFuels!$B$4:$B$1000)*1,[1]OUT_SyntheticFuels!O$4:O$1000)</f>
        <v>6.1160793413148756E-5</v>
      </c>
      <c r="Q610" s="1" cm="1">
        <f t="array" ref="Q610">SUMPRODUCT(("CT_CWODETHCCS"=[1]OUT_SyntheticFuels!$C$4:$C$1000)*1,("celc"=[1]OUT_SyntheticFuels!$A$4:$A$1000)*1,("Var_Fin"=[1]OUT_SyntheticFuels!$B$4:$B$1000)*1,[1]OUT_SyntheticFuels!P$4:P$1000)</f>
        <v>1.9637128796630849E-4</v>
      </c>
      <c r="S610" s="3"/>
    </row>
    <row r="611" spans="2:19" x14ac:dyDescent="0.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M611" t="s">
        <v>292</v>
      </c>
      <c r="N611" t="s">
        <v>292</v>
      </c>
      <c r="O611" t="s">
        <v>292</v>
      </c>
      <c r="P611" t="s">
        <v>292</v>
      </c>
      <c r="Q611" t="s">
        <v>292</v>
      </c>
      <c r="S611" s="3"/>
    </row>
    <row r="612" spans="2:19" x14ac:dyDescent="0.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0.26809651474530805</v>
      </c>
      <c r="G612">
        <f t="shared" ref="G612:K613" si="684">IFERROR(G602/SUM(G606,G609),"-")</f>
        <v>0.26809651474530827</v>
      </c>
      <c r="H612">
        <f t="shared" si="684"/>
        <v>0.26809651474530816</v>
      </c>
      <c r="I612">
        <f t="shared" si="684"/>
        <v>0.2680965147453086</v>
      </c>
      <c r="J612">
        <f t="shared" si="684"/>
        <v>0.26809651474530843</v>
      </c>
      <c r="K612">
        <f t="shared" si="684"/>
        <v>0.26809651474530849</v>
      </c>
      <c r="L612">
        <f t="shared" ref="L612:O612" si="685">IFERROR(L602/SUM(L606,L609),"-")</f>
        <v>0.2680965147453086</v>
      </c>
      <c r="M612">
        <f t="shared" si="685"/>
        <v>0.26809651474530827</v>
      </c>
      <c r="N612">
        <f t="shared" si="685"/>
        <v>0.26809651474530843</v>
      </c>
      <c r="O612">
        <f t="shared" si="685"/>
        <v>0.26809651474530843</v>
      </c>
      <c r="P612">
        <f>IFERROR(P602/SUM(P606,P609),"-")</f>
        <v>0.26809651474530832</v>
      </c>
      <c r="Q612">
        <f>IFERROR(Q602/SUM(Q606,Q609),"-")</f>
        <v>0.26809651474530832</v>
      </c>
      <c r="S612" s="3"/>
    </row>
    <row r="613" spans="2:19" x14ac:dyDescent="0.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84"/>
        <v>-</v>
      </c>
      <c r="H613" t="str">
        <f t="shared" si="684"/>
        <v>-</v>
      </c>
      <c r="I613" t="str">
        <f t="shared" si="684"/>
        <v>-</v>
      </c>
      <c r="J613" t="str">
        <f t="shared" si="684"/>
        <v>-</v>
      </c>
      <c r="K613">
        <f t="shared" si="684"/>
        <v>0.23866348448687341</v>
      </c>
      <c r="L613">
        <f t="shared" ref="L613:O613" si="686">IFERROR(L603/SUM(L607,L610),"-")</f>
        <v>0.23866348448687355</v>
      </c>
      <c r="M613">
        <f t="shared" si="686"/>
        <v>0.23866348448687325</v>
      </c>
      <c r="N613">
        <f t="shared" si="686"/>
        <v>0.23866348448687363</v>
      </c>
      <c r="O613">
        <f t="shared" si="686"/>
        <v>0.23866348448687372</v>
      </c>
      <c r="P613">
        <f>IFERROR(P603/SUM(P607,P610),"-")</f>
        <v>0.23866348448687347</v>
      </c>
      <c r="Q613">
        <f>IFERROR(Q603/SUM(Q607,Q610),"-")</f>
        <v>0.23866348448687369</v>
      </c>
      <c r="S613" s="3"/>
    </row>
    <row r="614" spans="2:19" x14ac:dyDescent="0.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6.9574124547972147</v>
      </c>
      <c r="G614" s="3">
        <f t="shared" ref="G614" si="687">G615+G616+G621</f>
        <v>9.4954032767356704</v>
      </c>
      <c r="H614" s="3">
        <f t="shared" ref="H614" si="688">H615+H616+H621</f>
        <v>10.137884592914872</v>
      </c>
      <c r="I614" s="3">
        <f t="shared" ref="I614" si="689">I615+I616+I621</f>
        <v>10.328043526460648</v>
      </c>
      <c r="J614" s="3">
        <f t="shared" ref="J614" si="690">J615+J616+J621</f>
        <v>10.315874224734836</v>
      </c>
      <c r="K614" s="3">
        <f t="shared" ref="K614" si="691">K615+K616+K621</f>
        <v>10.155511864367147</v>
      </c>
      <c r="L614" s="3">
        <f t="shared" ref="L614:O614" si="692">L615+L616+L621</f>
        <v>13.604158943528498</v>
      </c>
      <c r="M614" s="3">
        <f t="shared" si="692"/>
        <v>16.423764921444743</v>
      </c>
      <c r="N614" s="3">
        <f t="shared" si="692"/>
        <v>16.886206334698876</v>
      </c>
      <c r="O614" s="3">
        <f t="shared" si="692"/>
        <v>17.053130662478317</v>
      </c>
      <c r="P614" s="3">
        <f>P615+P616+P621</f>
        <v>17.220069840083013</v>
      </c>
      <c r="Q614" s="3">
        <f>Q615+Q616+Q621</f>
        <v>17.387594644700421</v>
      </c>
      <c r="S614" s="3"/>
    </row>
    <row r="615" spans="2:19" x14ac:dyDescent="0.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1.3280004456093457</v>
      </c>
      <c r="G615" s="1">
        <f>[1]Other_transformation!C$19</f>
        <v>3.5330854889444199</v>
      </c>
      <c r="H615" s="1">
        <f>[1]Other_transformation!D$19</f>
        <v>4.3847354834723165</v>
      </c>
      <c r="I615" s="1">
        <f>[1]Other_transformation!E$19</f>
        <v>4.3847644590165089</v>
      </c>
      <c r="J615" s="1">
        <f>[1]Other_transformation!F$19</f>
        <v>4.384764699615185</v>
      </c>
      <c r="K615" s="1">
        <f>[1]Other_transformation!G$19</f>
        <v>4.3850904202876579</v>
      </c>
      <c r="L615" s="1">
        <f>[1]Other_transformation!H$19</f>
        <v>4.3860262441536273</v>
      </c>
      <c r="M615" s="1">
        <f>[1]Other_transformation!I$19</f>
        <v>6.5775764903163045</v>
      </c>
      <c r="N615" s="1">
        <f>[1]Other_transformation!J$19</f>
        <v>6.5775770968854905</v>
      </c>
      <c r="O615" s="1">
        <f>[1]Other_transformation!K$19</f>
        <v>6.577592929147885</v>
      </c>
      <c r="P615" s="1">
        <f>[1]Other_transformation!L$19</f>
        <v>6.5775944182194204</v>
      </c>
      <c r="Q615" s="1">
        <f>[1]Other_transformation!M$19</f>
        <v>6.5777126360911407</v>
      </c>
      <c r="S615" s="3"/>
    </row>
    <row r="616" spans="2:19" x14ac:dyDescent="0.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5.6294120091878685</v>
      </c>
      <c r="G616" s="1">
        <f>[1]Other_transformation!C$20</f>
        <v>5.9623003116832836</v>
      </c>
      <c r="H616" s="1">
        <f>[1]Other_transformation!D$20</f>
        <v>5.7531171700775827</v>
      </c>
      <c r="I616" s="1">
        <f>[1]Other_transformation!E$20</f>
        <v>5.9428271468890772</v>
      </c>
      <c r="J616" s="1">
        <f>[1]Other_transformation!F$20</f>
        <v>5.9306563453979342</v>
      </c>
      <c r="K616" s="1">
        <f>[1]Other_transformation!G$20</f>
        <v>5.7699663503069791</v>
      </c>
      <c r="L616" s="1">
        <f>[1]Other_transformation!H$20</f>
        <v>9.2176766699337875</v>
      </c>
      <c r="M616" s="1">
        <f>[1]Other_transformation!I$20</f>
        <v>9.8457297499792418</v>
      </c>
      <c r="N616" s="1">
        <f>[1]Other_transformation!J$20</f>
        <v>10.308171416219828</v>
      </c>
      <c r="O616" s="1">
        <f>[1]Other_transformation!K$20</f>
        <v>10.475074835399869</v>
      </c>
      <c r="P616" s="1">
        <f>[1]Other_transformation!L$20</f>
        <v>10.642012113828596</v>
      </c>
      <c r="Q616" s="1">
        <f>[1]Other_transformation!M$20</f>
        <v>10.808998326315214</v>
      </c>
      <c r="S616" s="3"/>
    </row>
    <row r="617" spans="2:19" x14ac:dyDescent="0.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5.6294120091878685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5.9623003116832836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5.7531171700775827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5.9428271468890772</v>
      </c>
      <c r="J617" s="1" cm="1">
        <f t="array" ref="J617">SUMPRODUCT(("SUP_WSTBIO"=[1]OUT_SyntheticFuels!$C$4:$C$1000)*1,("BIO"=[1]OUT_SyntheticFuels!$A$4:$A$1000)*1,("Var_Fout"=[1]OUT_SyntheticFuels!$B$4:$B$1000)*1,[1]OUT_SyntheticFuels!I$4:I$1000)</f>
        <v>5.9306563453979342</v>
      </c>
      <c r="K617" s="1" cm="1">
        <f t="array" ref="K617">SUMPRODUCT(("SUP_WSTBIO"=[1]OUT_SyntheticFuels!$C$4:$C$1000)*1,("BIO"=[1]OUT_SyntheticFuels!$A$4:$A$1000)*1,("Var_Fout"=[1]OUT_SyntheticFuels!$B$4:$B$1000)*1,[1]OUT_SyntheticFuels!J$4:J$1000)</f>
        <v>5.7697713662475598</v>
      </c>
      <c r="L617" s="1" cm="1">
        <f t="array" ref="L617">SUMPRODUCT(("SUP_WSTBIO"=[1]OUT_SyntheticFuels!$C$4:$C$1000)*1,("BIO"=[1]OUT_SyntheticFuels!$A$4:$A$1000)*1,("Var_Fout"=[1]OUT_SyntheticFuels!$B$4:$B$1000)*1,[1]OUT_SyntheticFuels!K$4:K$1000)</f>
        <v>9.2174130174431426</v>
      </c>
      <c r="M617" s="1" cm="1">
        <f t="array" ref="M617">SUMPRODUCT(("SUP_WSTBIO"=[1]OUT_SyntheticFuels!$C$4:$C$1000)*1,("BIO"=[1]OUT_SyntheticFuels!$A$4:$A$1000)*1,("Var_Fout"=[1]OUT_SyntheticFuels!$B$4:$B$1000)*1,[1]OUT_SyntheticFuels!L$4:L$1000)</f>
        <v>9.844694042178542</v>
      </c>
      <c r="N617" s="1" cm="1">
        <f t="array" ref="N617">SUMPRODUCT(("SUP_WSTBIO"=[1]OUT_SyntheticFuels!$C$4:$C$1000)*1,("BIO"=[1]OUT_SyntheticFuels!$A$4:$A$1000)*1,("Var_Fout"=[1]OUT_SyntheticFuels!$B$4:$B$1000)*1,[1]OUT_SyntheticFuels!M$4:M$1000)</f>
        <v>10.30717555845572</v>
      </c>
      <c r="O617" s="1" cm="1">
        <f t="array" ref="O617">SUMPRODUCT(("SUP_WSTBIO"=[1]OUT_SyntheticFuels!$C$4:$C$1000)*1,("BIO"=[1]OUT_SyntheticFuels!$A$4:$A$1000)*1,("Var_Fout"=[1]OUT_SyntheticFuels!$B$4:$B$1000)*1,[1]OUT_SyntheticFuels!N$4:N$1000)</f>
        <v>10.47437864560146</v>
      </c>
      <c r="P617" s="1" cm="1">
        <f t="array" ref="P617">SUMPRODUCT(("SUP_WSTBIO"=[1]OUT_SyntheticFuels!$C$4:$C$1000)*1,("BIO"=[1]OUT_SyntheticFuels!$A$4:$A$1000)*1,("Var_Fout"=[1]OUT_SyntheticFuels!$B$4:$B$1000)*1,[1]OUT_SyntheticFuels!O$4:O$1000)</f>
        <v>10.641329244986084</v>
      </c>
      <c r="Q617" s="1" cm="1">
        <f t="array" ref="Q617">SUMPRODUCT(("SUP_WSTBIO"=[1]OUT_SyntheticFuels!$C$4:$C$1000)*1,("BIO"=[1]OUT_SyntheticFuels!$A$4:$A$1000)*1,("Var_Fout"=[1]OUT_SyntheticFuels!$B$4:$B$1000)*1,[1]OUT_SyntheticFuels!P$4:P$1000)</f>
        <v>10.807974346246811</v>
      </c>
      <c r="S617" s="3"/>
    </row>
    <row r="618" spans="2:19" x14ac:dyDescent="0.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SUMPRODUCT(("SUP_WSTBIOCCS"=[1]OUT_SyntheticFuels!$C$4:$C$1000)*1,("BIO"=[1]OUT_SyntheticFuels!$A$4:$A$1000)*1,("Var_Fout"=[1]OUT_SyntheticFuels!$B$4:$B$1000)*1,[1]OUT_SyntheticFuels!I$4:I$1000)</f>
        <v>0</v>
      </c>
      <c r="K618" s="1" cm="1">
        <f t="array" ref="K618">SUMPRODUCT(("SUP_WSTBIOCCS"=[1]OUT_SyntheticFuels!$C$4:$C$1000)*1,("BIO"=[1]OUT_SyntheticFuels!$A$4:$A$1000)*1,("Var_Fout"=[1]OUT_SyntheticFuels!$B$4:$B$1000)*1,[1]OUT_SyntheticFuels!J$4:J$1000)</f>
        <v>0</v>
      </c>
      <c r="L618" s="1" cm="1">
        <f t="array" ref="L618">SUMPRODUCT(("SUP_WSTBIOCCS"=[1]OUT_SyntheticFuels!$C$4:$C$1000)*1,("BIO"=[1]OUT_SyntheticFuels!$A$4:$A$1000)*1,("Var_Fout"=[1]OUT_SyntheticFuels!$B$4:$B$1000)*1,[1]OUT_SyntheticFuels!K$4:K$1000)</f>
        <v>0</v>
      </c>
      <c r="M618" s="1" cm="1">
        <f t="array" ref="M618">SUMPRODUCT(("SUP_WSTBIOCCS"=[1]OUT_SyntheticFuels!$C$4:$C$1000)*1,("BIO"=[1]OUT_SyntheticFuels!$A$4:$A$1000)*1,("Var_Fout"=[1]OUT_SyntheticFuels!$B$4:$B$1000)*1,[1]OUT_SyntheticFuels!L$4:L$1000)</f>
        <v>0</v>
      </c>
      <c r="N618" s="1" cm="1">
        <f t="array" ref="N618">SUMPRODUCT(("SUP_WSTBIOCCS"=[1]OUT_SyntheticFuels!$C$4:$C$1000)*1,("BIO"=[1]OUT_SyntheticFuels!$A$4:$A$1000)*1,("Var_Fout"=[1]OUT_SyntheticFuels!$B$4:$B$1000)*1,[1]OUT_SyntheticFuels!M$4:M$1000)</f>
        <v>0</v>
      </c>
      <c r="O618" s="1" cm="1">
        <f t="array" ref="O618">SUMPRODUCT(("SUP_WSTBIOCCS"=[1]OUT_SyntheticFuels!$C$4:$C$1000)*1,("BIO"=[1]OUT_SyntheticFuels!$A$4:$A$1000)*1,("Var_Fout"=[1]OUT_SyntheticFuels!$B$4:$B$1000)*1,[1]OUT_SyntheticFuels!N$4:N$1000)</f>
        <v>0</v>
      </c>
      <c r="P618" s="1" cm="1">
        <f t="array" ref="P618">SUMPRODUCT(("SUP_WSTBIOCCS"=[1]OUT_SyntheticFuels!$C$4:$C$1000)*1,("BIO"=[1]OUT_SyntheticFuels!$A$4:$A$1000)*1,("Var_Fout"=[1]OUT_SyntheticFuels!$B$4:$B$1000)*1,[1]OUT_SyntheticFuels!O$4:O$1000)</f>
        <v>0</v>
      </c>
      <c r="Q618" s="1" cm="1">
        <f t="array" ref="Q618">SUMPRODUCT(("SUP_WSTBIOCCS"=[1]OUT_SyntheticFuels!$C$4:$C$1000)*1,("BIO"=[1]OUT_SyntheticFuels!$A$4:$A$1000)*1,("Var_Fout"=[1]OUT_SyntheticFuels!$B$4:$B$1000)*1,[1]OUT_SyntheticFuels!P$4:P$1000)</f>
        <v>0</v>
      </c>
      <c r="S618" s="3"/>
    </row>
    <row r="619" spans="2:19" x14ac:dyDescent="0.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SUMPRODUCT(("SUP_WSTHTGBIO"=[1]OUT_SyntheticFuels!$C$4:$C$1000)*1,("BIO"=[1]OUT_SyntheticFuels!$A$4:$A$1000)*1,("Var_Fout"=[1]OUT_SyntheticFuels!$B$4:$B$1000)*1,[1]OUT_SyntheticFuels!I$4:I$1000)</f>
        <v>0</v>
      </c>
      <c r="K619" s="1" cm="1">
        <f t="array" ref="K619">SUMPRODUCT(("SUP_WSTHTGBIO"=[1]OUT_SyntheticFuels!$C$4:$C$1000)*1,("BIO"=[1]OUT_SyntheticFuels!$A$4:$A$1000)*1,("Var_Fout"=[1]OUT_SyntheticFuels!$B$4:$B$1000)*1,[1]OUT_SyntheticFuels!J$4:J$1000)</f>
        <v>1.5765883075876533E-4</v>
      </c>
      <c r="L619" s="1" cm="1">
        <f t="array" ref="L619">SUMPRODUCT(("SUP_WSTHTGBIO"=[1]OUT_SyntheticFuels!$C$4:$C$1000)*1,("BIO"=[1]OUT_SyntheticFuels!$A$4:$A$1000)*1,("Var_Fout"=[1]OUT_SyntheticFuels!$B$4:$B$1000)*1,[1]OUT_SyntheticFuels!K$4:K$1000)</f>
        <v>2.1199217261015754E-4</v>
      </c>
      <c r="M619" s="1" cm="1">
        <f t="array" ref="M619">SUMPRODUCT(("SUP_WSTHTGBIO"=[1]OUT_SyntheticFuels!$C$4:$C$1000)*1,("BIO"=[1]OUT_SyntheticFuels!$A$4:$A$1000)*1,("Var_Fout"=[1]OUT_SyntheticFuels!$B$4:$B$1000)*1,[1]OUT_SyntheticFuels!L$4:L$1000)</f>
        <v>6.7986237730910165E-4</v>
      </c>
      <c r="N619" s="1" cm="1">
        <f t="array" ref="N619">SUMPRODUCT(("SUP_WSTHTGBIO"=[1]OUT_SyntheticFuels!$C$4:$C$1000)*1,("BIO"=[1]OUT_SyntheticFuels!$A$4:$A$1000)*1,("Var_Fout"=[1]OUT_SyntheticFuels!$B$4:$B$1000)*1,[1]OUT_SyntheticFuels!M$4:M$1000)</f>
        <v>6.438482114514767E-4</v>
      </c>
      <c r="O619" s="1" cm="1">
        <f t="array" ref="O619">SUMPRODUCT(("SUP_WSTHTGBIO"=[1]OUT_SyntheticFuels!$C$4:$C$1000)*1,("BIO"=[1]OUT_SyntheticFuels!$A$4:$A$1000)*1,("Var_Fout"=[1]OUT_SyntheticFuels!$B$4:$B$1000)*1,[1]OUT_SyntheticFuels!N$4:N$1000)</f>
        <v>4.3754001722960591E-4</v>
      </c>
      <c r="P619" s="1" cm="1">
        <f t="array" ref="P619">SUMPRODUCT(("SUP_WSTHTGBIO"=[1]OUT_SyntheticFuels!$C$4:$C$1000)*1,("BIO"=[1]OUT_SyntheticFuels!$A$4:$A$1000)*1,("Var_Fout"=[1]OUT_SyntheticFuels!$B$4:$B$1000)*1,[1]OUT_SyntheticFuels!O$4:O$1000)</f>
        <v>4.1184536881058975E-4</v>
      </c>
      <c r="Q619" s="1" cm="1">
        <f t="array" ref="Q619">SUMPRODUCT(("SUP_WSTHTGBIO"=[1]OUT_SyntheticFuels!$C$4:$C$1000)*1,("BIO"=[1]OUT_SyntheticFuels!$A$4:$A$1000)*1,("Var_Fout"=[1]OUT_SyntheticFuels!$B$4:$B$1000)*1,[1]OUT_SyntheticFuels!P$4:P$1000)</f>
        <v>7.2104796620575066E-4</v>
      </c>
      <c r="S619" s="3"/>
    </row>
    <row r="620" spans="2:19" x14ac:dyDescent="0.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SUMPRODUCT(("SUP_WSTHTGBIOCCS"=[1]OUT_SyntheticFuels!$C$4:$C$1000)*1,("BIO"=[1]OUT_SyntheticFuels!$A$4:$A$1000)*1,("Var_Fout"=[1]OUT_SyntheticFuels!$B$4:$B$1000)*1,[1]OUT_SyntheticFuels!I$4:I$1000)</f>
        <v>0</v>
      </c>
      <c r="K620" s="1" cm="1">
        <f t="array" ref="K620">SUMPRODUCT(("SUP_WSTHTGBIOCCS"=[1]OUT_SyntheticFuels!$C$4:$C$1000)*1,("BIO"=[1]OUT_SyntheticFuels!$A$4:$A$1000)*1,("Var_Fout"=[1]OUT_SyntheticFuels!$B$4:$B$1000)*1,[1]OUT_SyntheticFuels!J$4:J$1000)</f>
        <v>3.7325228660767525E-5</v>
      </c>
      <c r="L620" s="1" cm="1">
        <f t="array" ref="L620">SUMPRODUCT(("SUP_WSTHTGBIOCCS"=[1]OUT_SyntheticFuels!$C$4:$C$1000)*1,("BIO"=[1]OUT_SyntheticFuels!$A$4:$A$1000)*1,("Var_Fout"=[1]OUT_SyntheticFuels!$B$4:$B$1000)*1,[1]OUT_SyntheticFuels!K$4:K$1000)</f>
        <v>5.1660318033267199E-5</v>
      </c>
      <c r="M620" s="1" cm="1">
        <f t="array" ref="M620">SUMPRODUCT(("SUP_WSTHTGBIOCCS"=[1]OUT_SyntheticFuels!$C$4:$C$1000)*1,("BIO"=[1]OUT_SyntheticFuels!$A$4:$A$1000)*1,("Var_Fout"=[1]OUT_SyntheticFuels!$B$4:$B$1000)*1,[1]OUT_SyntheticFuels!L$4:L$1000)</f>
        <v>3.5584542339070155E-4</v>
      </c>
      <c r="N620" s="1" cm="1">
        <f t="array" ref="N620">SUMPRODUCT(("SUP_WSTHTGBIOCCS"=[1]OUT_SyntheticFuels!$C$4:$C$1000)*1,("BIO"=[1]OUT_SyntheticFuels!$A$4:$A$1000)*1,("Var_Fout"=[1]OUT_SyntheticFuels!$B$4:$B$1000)*1,[1]OUT_SyntheticFuels!M$4:M$1000)</f>
        <v>3.5200955265631261E-4</v>
      </c>
      <c r="O620" s="1" cm="1">
        <f t="array" ref="O620">SUMPRODUCT(("SUP_WSTHTGBIOCCS"=[1]OUT_SyntheticFuels!$C$4:$C$1000)*1,("BIO"=[1]OUT_SyntheticFuels!$A$4:$A$1000)*1,("Var_Fout"=[1]OUT_SyntheticFuels!$B$4:$B$1000)*1,[1]OUT_SyntheticFuels!N$4:N$1000)</f>
        <v>2.5864978118002367E-4</v>
      </c>
      <c r="P620" s="1" cm="1">
        <f t="array" ref="P620">SUMPRODUCT(("SUP_WSTHTGBIOCCS"=[1]OUT_SyntheticFuels!$C$4:$C$1000)*1,("BIO"=[1]OUT_SyntheticFuels!$A$4:$A$1000)*1,("Var_Fout"=[1]OUT_SyntheticFuels!$B$4:$B$1000)*1,[1]OUT_SyntheticFuels!O$4:O$1000)</f>
        <v>2.7102347370149444E-4</v>
      </c>
      <c r="Q620" s="1" cm="1">
        <f t="array" ref="Q620">SUMPRODUCT(("SUP_WSTHTGBIOCCS"=[1]OUT_SyntheticFuels!$C$4:$C$1000)*1,("BIO"=[1]OUT_SyntheticFuels!$A$4:$A$1000)*1,("Var_Fout"=[1]OUT_SyntheticFuels!$B$4:$B$1000)*1,[1]OUT_SyntheticFuels!P$4:P$1000)</f>
        <v>3.0293210219840025E-4</v>
      </c>
      <c r="S620" s="3"/>
    </row>
    <row r="621" spans="2:19" x14ac:dyDescent="0.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1.7476107967032206E-5</v>
      </c>
      <c r="H621" s="1">
        <f>[1]Other_transformation!D$21</f>
        <v>3.193936497254575E-5</v>
      </c>
      <c r="I621" s="1">
        <f>[1]Other_transformation!E$21</f>
        <v>4.5192055506246238E-4</v>
      </c>
      <c r="J621" s="1">
        <f>[1]Other_transformation!F$21</f>
        <v>4.5317972171759129E-4</v>
      </c>
      <c r="K621" s="1">
        <f>[1]Other_transformation!G$21</f>
        <v>4.5509377250973495E-4</v>
      </c>
      <c r="L621" s="1">
        <f>[1]Other_transformation!H$21</f>
        <v>4.5602944108320408E-4</v>
      </c>
      <c r="M621" s="1">
        <f>[1]Other_transformation!I$21</f>
        <v>4.5868114919914968E-4</v>
      </c>
      <c r="N621" s="1">
        <f>[1]Other_transformation!J$21</f>
        <v>4.5782159355501489E-4</v>
      </c>
      <c r="O621" s="1">
        <f>[1]Other_transformation!K$21</f>
        <v>4.6289793056169805E-4</v>
      </c>
      <c r="P621" s="1">
        <f>[1]Other_transformation!L$21</f>
        <v>4.6330803499878501E-4</v>
      </c>
      <c r="Q621" s="1">
        <f>[1]Other_transformation!M$21</f>
        <v>8.8368229406831397E-4</v>
      </c>
      <c r="S621" s="3"/>
    </row>
    <row r="622" spans="2:19" x14ac:dyDescent="0.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1.7476107967032206E-5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3.193936497254575E-5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4.5192055506246238E-4</v>
      </c>
      <c r="J622" s="1" cm="1">
        <f t="array" ref="J622">SUMPRODUCT(("SUP_WODBIO"=[1]OUT_SyntheticFuels!$C$4:$C$1000)*1,("BIO"=[1]OUT_SyntheticFuels!$A$4:$A$1000)*1,("Var_Fout"=[1]OUT_SyntheticFuels!$B$4:$B$1000)*1,[1]OUT_SyntheticFuels!I$4:I$1000)</f>
        <v>4.5317972171759129E-4</v>
      </c>
      <c r="K622" s="1" cm="1">
        <f t="array" ref="K622">SUMPRODUCT(("SUP_WODBIO"=[1]OUT_SyntheticFuels!$C$4:$C$1000)*1,("BIO"=[1]OUT_SyntheticFuels!$A$4:$A$1000)*1,("Var_Fout"=[1]OUT_SyntheticFuels!$B$4:$B$1000)*1,[1]OUT_SyntheticFuels!J$4:J$1000)</f>
        <v>3.2154925166902397E-4</v>
      </c>
      <c r="L622" s="1" cm="1">
        <f t="array" ref="L622">SUMPRODUCT(("SUP_WODBIO"=[1]OUT_SyntheticFuels!$C$4:$C$1000)*1,("BIO"=[1]OUT_SyntheticFuels!$A$4:$A$1000)*1,("Var_Fout"=[1]OUT_SyntheticFuels!$B$4:$B$1000)*1,[1]OUT_SyntheticFuels!K$4:K$1000)</f>
        <v>2.6813045291982848E-4</v>
      </c>
      <c r="M622" s="1" cm="1">
        <f t="array" ref="M622">SUMPRODUCT(("SUP_WODBIO"=[1]OUT_SyntheticFuels!$C$4:$C$1000)*1,("BIO"=[1]OUT_SyntheticFuels!$A$4:$A$1000)*1,("Var_Fout"=[1]OUT_SyntheticFuels!$B$4:$B$1000)*1,[1]OUT_SyntheticFuels!L$4:L$1000)</f>
        <v>8.7494423623224023E-5</v>
      </c>
      <c r="N622" s="1" cm="1">
        <f t="array" ref="N622">SUMPRODUCT(("SUP_WODBIO"=[1]OUT_SyntheticFuels!$C$4:$C$1000)*1,("BIO"=[1]OUT_SyntheticFuels!$A$4:$A$1000)*1,("Var_Fout"=[1]OUT_SyntheticFuels!$B$4:$B$1000)*1,[1]OUT_SyntheticFuels!M$4:M$1000)</f>
        <v>6.4178840268652382E-5</v>
      </c>
      <c r="O622" s="1" cm="1">
        <f t="array" ref="O622">SUMPRODUCT(("SUP_WODBIO"=[1]OUT_SyntheticFuels!$C$4:$C$1000)*1,("BIO"=[1]OUT_SyntheticFuels!$A$4:$A$1000)*1,("Var_Fout"=[1]OUT_SyntheticFuels!$B$4:$B$1000)*1,[1]OUT_SyntheticFuels!N$4:N$1000)</f>
        <v>9.7402674339324967E-5</v>
      </c>
      <c r="P622" s="1" cm="1">
        <f t="array" ref="P622">SUMPRODUCT(("SUP_WODBIO"=[1]OUT_SyntheticFuels!$C$4:$C$1000)*1,("BIO"=[1]OUT_SyntheticFuels!$A$4:$A$1000)*1,("Var_Fout"=[1]OUT_SyntheticFuels!$B$4:$B$1000)*1,[1]OUT_SyntheticFuels!O$4:O$1000)</f>
        <v>9.9362914891381663E-5</v>
      </c>
      <c r="Q622" s="1" cm="1">
        <f t="array" ref="Q622">SUMPRODUCT(("SUP_WODBIO"=[1]OUT_SyntheticFuels!$C$4:$C$1000)*1,("BIO"=[1]OUT_SyntheticFuels!$A$4:$A$1000)*1,("Var_Fout"=[1]OUT_SyntheticFuels!$B$4:$B$1000)*1,[1]OUT_SyntheticFuels!P$4:P$1000)</f>
        <v>2.8815018622939663E-4</v>
      </c>
      <c r="S622" s="3"/>
    </row>
    <row r="623" spans="2:19" x14ac:dyDescent="0.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SUMPRODUCT(("SUP_WODBIOCCS"=[1]OUT_SyntheticFuels!$C$4:$C$1000)*1,("BIO"=[1]OUT_SyntheticFuels!$A$4:$A$1000)*1,("Var_Fout"=[1]OUT_SyntheticFuels!$B$4:$B$1000)*1,[1]OUT_SyntheticFuels!I$4:I$1000)</f>
        <v>0</v>
      </c>
      <c r="K623" s="1" cm="1">
        <f t="array" ref="K623">SUMPRODUCT(("SUP_WODBIOCCS"=[1]OUT_SyntheticFuels!$C$4:$C$1000)*1,("BIO"=[1]OUT_SyntheticFuels!$A$4:$A$1000)*1,("Var_Fout"=[1]OUT_SyntheticFuels!$B$4:$B$1000)*1,[1]OUT_SyntheticFuels!J$4:J$1000)</f>
        <v>1.3354452084071095E-4</v>
      </c>
      <c r="L623" s="1" cm="1">
        <f t="array" ref="L623">SUMPRODUCT(("SUP_WODBIOCCS"=[1]OUT_SyntheticFuels!$C$4:$C$1000)*1,("BIO"=[1]OUT_SyntheticFuels!$A$4:$A$1000)*1,("Var_Fout"=[1]OUT_SyntheticFuels!$B$4:$B$1000)*1,[1]OUT_SyntheticFuels!K$4:K$1000)</f>
        <v>1.8789898816337563E-4</v>
      </c>
      <c r="M623" s="1" cm="1">
        <f t="array" ref="M623">SUMPRODUCT(("SUP_WODBIOCCS"=[1]OUT_SyntheticFuels!$C$4:$C$1000)*1,("BIO"=[1]OUT_SyntheticFuels!$A$4:$A$1000)*1,("Var_Fout"=[1]OUT_SyntheticFuels!$B$4:$B$1000)*1,[1]OUT_SyntheticFuels!L$4:L$1000)</f>
        <v>3.7118672557592564E-4</v>
      </c>
      <c r="N623" s="1" cm="1">
        <f t="array" ref="N623">SUMPRODUCT(("SUP_WODBIOCCS"=[1]OUT_SyntheticFuels!$C$4:$C$1000)*1,("BIO"=[1]OUT_SyntheticFuels!$A$4:$A$1000)*1,("Var_Fout"=[1]OUT_SyntheticFuels!$B$4:$B$1000)*1,[1]OUT_SyntheticFuels!M$4:M$1000)</f>
        <v>3.9364275328636252E-4</v>
      </c>
      <c r="O623" s="1" cm="1">
        <f t="array" ref="O623">SUMPRODUCT(("SUP_WODBIOCCS"=[1]OUT_SyntheticFuels!$C$4:$C$1000)*1,("BIO"=[1]OUT_SyntheticFuels!$A$4:$A$1000)*1,("Var_Fout"=[1]OUT_SyntheticFuels!$B$4:$B$1000)*1,[1]OUT_SyntheticFuels!N$4:N$1000)</f>
        <v>3.6549525622237309E-4</v>
      </c>
      <c r="P623" s="1" cm="1">
        <f t="array" ref="P623">SUMPRODUCT(("SUP_WODBIOCCS"=[1]OUT_SyntheticFuels!$C$4:$C$1000)*1,("BIO"=[1]OUT_SyntheticFuels!$A$4:$A$1000)*1,("Var_Fout"=[1]OUT_SyntheticFuels!$B$4:$B$1000)*1,[1]OUT_SyntheticFuels!O$4:O$1000)</f>
        <v>3.6394512010740337E-4</v>
      </c>
      <c r="Q623" s="1" cm="1">
        <f t="array" ref="Q623">SUMPRODUCT(("SUP_WODBIOCCS"=[1]OUT_SyntheticFuels!$C$4:$C$1000)*1,("BIO"=[1]OUT_SyntheticFuels!$A$4:$A$1000)*1,("Var_Fout"=[1]OUT_SyntheticFuels!$B$4:$B$1000)*1,[1]OUT_SyntheticFuels!P$4:P$1000)</f>
        <v>5.9553210783891734E-4</v>
      </c>
      <c r="S623" s="3"/>
    </row>
    <row r="624" spans="2:19" x14ac:dyDescent="0.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0.11258824018375738</v>
      </c>
      <c r="G624" s="3">
        <f t="shared" ref="G624" si="693">G625+G626+G631</f>
        <v>0.11924600623366576</v>
      </c>
      <c r="H624" s="3">
        <f t="shared" ref="H624" si="694">H625+H626+H631</f>
        <v>0.11506234340155161</v>
      </c>
      <c r="I624" s="3">
        <f t="shared" ref="I624" si="695">I625+I626+I631</f>
        <v>0.11887461975998398</v>
      </c>
      <c r="J624" s="3">
        <f t="shared" ref="J624" si="696">J625+J626+J631</f>
        <v>0.11863125409682743</v>
      </c>
      <c r="K624" s="3">
        <f t="shared" ref="K624" si="697">K625+K626+K631</f>
        <v>0.11541383796971943</v>
      </c>
      <c r="L624" s="3">
        <f t="shared" ref="L624:O624" si="698">L625+L626+L631</f>
        <v>0.18436669217892279</v>
      </c>
      <c r="M624" s="3">
        <f t="shared" si="698"/>
        <v>0.19691076086406176</v>
      </c>
      <c r="N624" s="3">
        <f t="shared" si="698"/>
        <v>0.20616075772845813</v>
      </c>
      <c r="O624" s="3">
        <f t="shared" si="698"/>
        <v>0.2095057880477228</v>
      </c>
      <c r="P624" s="3">
        <f>P625+P626+P631</f>
        <v>0.21284393825321291</v>
      </c>
      <c r="Q624" s="3">
        <f>Q625+Q626+Q631</f>
        <v>0.21619555643099231</v>
      </c>
      <c r="S624" s="3"/>
    </row>
    <row r="625" spans="2:19" x14ac:dyDescent="0.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SUMPRODUCT(("SUP_MNRBIO"=[1]OUT_SyntheticFuels!$C$4:$C$1000)*1,("Var_Fout"=[1]OUT_SyntheticFuels!$B$4:$B$1000)*1,("ELC35"=[1]OUT_SyntheticFuels!$A$4:$A$1000)*1,[1]OUT_SyntheticFuels!I$4:I$1000)</f>
        <v>0</v>
      </c>
      <c r="K625" s="1" cm="1">
        <f t="array" ref="K625">SUMPRODUCT(("SUP_MNRBIO"=[1]OUT_SyntheticFuels!$C$4:$C$1000)*1,("Var_Fout"=[1]OUT_SyntheticFuels!$B$4:$B$1000)*1,("ELC35"=[1]OUT_SyntheticFuels!$A$4:$A$1000)*1,[1]OUT_SyntheticFuels!J$4:J$1000)</f>
        <v>0</v>
      </c>
      <c r="L625" s="1" cm="1">
        <f t="array" ref="L625">SUMPRODUCT(("SUP_MNRBIO"=[1]OUT_SyntheticFuels!$C$4:$C$1000)*1,("Var_Fout"=[1]OUT_SyntheticFuels!$B$4:$B$1000)*1,("ELC35"=[1]OUT_SyntheticFuels!$A$4:$A$1000)*1,[1]OUT_SyntheticFuels!K$4:K$1000)</f>
        <v>0</v>
      </c>
      <c r="M625" s="1" cm="1">
        <f t="array" ref="M625">SUMPRODUCT(("SUP_MNRBIO"=[1]OUT_SyntheticFuels!$C$4:$C$1000)*1,("Var_Fout"=[1]OUT_SyntheticFuels!$B$4:$B$1000)*1,("ELC35"=[1]OUT_SyntheticFuels!$A$4:$A$1000)*1,[1]OUT_SyntheticFuels!L$4:L$1000)</f>
        <v>0</v>
      </c>
      <c r="N625" s="1" cm="1">
        <f t="array" ref="N625">SUMPRODUCT(("SUP_MNRBIO"=[1]OUT_SyntheticFuels!$C$4:$C$1000)*1,("Var_Fout"=[1]OUT_SyntheticFuels!$B$4:$B$1000)*1,("ELC35"=[1]OUT_SyntheticFuels!$A$4:$A$1000)*1,[1]OUT_SyntheticFuels!M$4:M$1000)</f>
        <v>0</v>
      </c>
      <c r="O625" s="1" cm="1">
        <f t="array" ref="O625">SUMPRODUCT(("SUP_MNRBIO"=[1]OUT_SyntheticFuels!$C$4:$C$1000)*1,("Var_Fout"=[1]OUT_SyntheticFuels!$B$4:$B$1000)*1,("ELC35"=[1]OUT_SyntheticFuels!$A$4:$A$1000)*1,[1]OUT_SyntheticFuels!N$4:N$1000)</f>
        <v>0</v>
      </c>
      <c r="P625" s="1" cm="1">
        <f t="array" ref="P625">SUMPRODUCT(("SUP_MNRBIO"=[1]OUT_SyntheticFuels!$C$4:$C$1000)*1,("Var_Fout"=[1]OUT_SyntheticFuels!$B$4:$B$1000)*1,("ELC35"=[1]OUT_SyntheticFuels!$A$4:$A$1000)*1,[1]OUT_SyntheticFuels!O$4:O$1000)</f>
        <v>0</v>
      </c>
      <c r="Q625" s="1" cm="1">
        <f t="array" ref="Q625">SUMPRODUCT(("SUP_MNRBIO"=[1]OUT_SyntheticFuels!$C$4:$C$1000)*1,("Var_Fout"=[1]OUT_SyntheticFuels!$B$4:$B$1000)*1,("ELC35"=[1]OUT_SyntheticFuels!$A$4:$A$1000)*1,[1]OUT_SyntheticFuels!P$4:P$1000)</f>
        <v>0</v>
      </c>
      <c r="S625" s="3"/>
    </row>
    <row r="626" spans="2:19" x14ac:dyDescent="0.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0.11258824018375738</v>
      </c>
      <c r="G626" s="1">
        <f t="shared" ref="G626:K626" si="699">SUM(G627:G630)</f>
        <v>0.11924600623366576</v>
      </c>
      <c r="H626" s="1">
        <f t="shared" si="699"/>
        <v>0.11506234340155161</v>
      </c>
      <c r="I626" s="1">
        <f t="shared" si="699"/>
        <v>0.11885654293778149</v>
      </c>
      <c r="J626" s="1">
        <f t="shared" si="699"/>
        <v>0.11861312690795872</v>
      </c>
      <c r="K626" s="1">
        <f t="shared" si="699"/>
        <v>0.11539542732495123</v>
      </c>
      <c r="L626" s="1">
        <f t="shared" ref="L626:O626" si="700">SUM(L627:L630)</f>
        <v>0.1843482603488629</v>
      </c>
      <c r="M626" s="1">
        <f t="shared" si="700"/>
        <v>0.19689388084357087</v>
      </c>
      <c r="N626" s="1">
        <f t="shared" si="700"/>
        <v>0.20614351116911453</v>
      </c>
      <c r="O626" s="1">
        <f t="shared" si="700"/>
        <v>0.2094875729120293</v>
      </c>
      <c r="P626" s="1">
        <f>SUM(P627:P630)</f>
        <v>0.21282658489972175</v>
      </c>
      <c r="Q626" s="1">
        <f>SUM(Q627:Q630)</f>
        <v>0.21615948692493625</v>
      </c>
      <c r="S626" s="3"/>
    </row>
    <row r="627" spans="2:19" x14ac:dyDescent="0.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0.11258824018375738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0.11924600623366576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0.11506234340155161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0.11885654293778149</v>
      </c>
      <c r="J627" s="1" cm="1">
        <f t="array" ref="J627">SUMPRODUCT(("SUP_WSTBIO"=[1]OUT_SyntheticFuels!$C$4:$C$1000)*1,("elc35"=[1]OUT_SyntheticFuels!$A$4:$A$1000)*1,("Var_Fout"=[1]OUT_SyntheticFuels!$B$4:$B$1000)*1,[1]OUT_SyntheticFuels!I$4:I$1000)</f>
        <v>0.11861312690795872</v>
      </c>
      <c r="K627" s="1" cm="1">
        <f t="array" ref="K627">SUMPRODUCT(("SUP_WSTBIO"=[1]OUT_SyntheticFuels!$C$4:$C$1000)*1,("elc35"=[1]OUT_SyntheticFuels!$A$4:$A$1000)*1,("Var_Fout"=[1]OUT_SyntheticFuels!$B$4:$B$1000)*1,[1]OUT_SyntheticFuels!J$4:J$1000)</f>
        <v>0.11539542732495123</v>
      </c>
      <c r="L627" s="1" cm="1">
        <f t="array" ref="L627">SUMPRODUCT(("SUP_WSTBIO"=[1]OUT_SyntheticFuels!$C$4:$C$1000)*1,("elc35"=[1]OUT_SyntheticFuels!$A$4:$A$1000)*1,("Var_Fout"=[1]OUT_SyntheticFuels!$B$4:$B$1000)*1,[1]OUT_SyntheticFuels!K$4:K$1000)</f>
        <v>0.1843482603488629</v>
      </c>
      <c r="M627" s="1" cm="1">
        <f t="array" ref="M627">SUMPRODUCT(("SUP_WSTBIO"=[1]OUT_SyntheticFuels!$C$4:$C$1000)*1,("elc35"=[1]OUT_SyntheticFuels!$A$4:$A$1000)*1,("Var_Fout"=[1]OUT_SyntheticFuels!$B$4:$B$1000)*1,[1]OUT_SyntheticFuels!L$4:L$1000)</f>
        <v>0.19689388084357087</v>
      </c>
      <c r="N627" s="1" cm="1">
        <f t="array" ref="N627">SUMPRODUCT(("SUP_WSTBIO"=[1]OUT_SyntheticFuels!$C$4:$C$1000)*1,("elc35"=[1]OUT_SyntheticFuels!$A$4:$A$1000)*1,("Var_Fout"=[1]OUT_SyntheticFuels!$B$4:$B$1000)*1,[1]OUT_SyntheticFuels!M$4:M$1000)</f>
        <v>0.20614351116911453</v>
      </c>
      <c r="O627" s="1" cm="1">
        <f t="array" ref="O627">SUMPRODUCT(("SUP_WSTBIO"=[1]OUT_SyntheticFuels!$C$4:$C$1000)*1,("elc35"=[1]OUT_SyntheticFuels!$A$4:$A$1000)*1,("Var_Fout"=[1]OUT_SyntheticFuels!$B$4:$B$1000)*1,[1]OUT_SyntheticFuels!N$4:N$1000)</f>
        <v>0.2094875729120293</v>
      </c>
      <c r="P627" s="1" cm="1">
        <f t="array" ref="P627">SUMPRODUCT(("SUP_WSTBIO"=[1]OUT_SyntheticFuels!$C$4:$C$1000)*1,("elc35"=[1]OUT_SyntheticFuels!$A$4:$A$1000)*1,("Var_Fout"=[1]OUT_SyntheticFuels!$B$4:$B$1000)*1,[1]OUT_SyntheticFuels!O$4:O$1000)</f>
        <v>0.21282658489972175</v>
      </c>
      <c r="Q627" s="1" cm="1">
        <f t="array" ref="Q627">SUMPRODUCT(("SUP_WSTBIO"=[1]OUT_SyntheticFuels!$C$4:$C$1000)*1,("elc35"=[1]OUT_SyntheticFuels!$A$4:$A$1000)*1,("Var_Fout"=[1]OUT_SyntheticFuels!$B$4:$B$1000)*1,[1]OUT_SyntheticFuels!P$4:P$1000)</f>
        <v>0.21615948692493625</v>
      </c>
      <c r="S627" s="3"/>
    </row>
    <row r="628" spans="2:19" x14ac:dyDescent="0.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SUMPRODUCT(("SUP_WSTBIOCCS"=[1]OUT_SyntheticFuels!$C$4:$C$1000)*1,("elc35"=[1]OUT_SyntheticFuels!$A$4:$A$1000)*1,("Var_Fout"=[1]OUT_SyntheticFuels!$B$4:$B$1000)*1,[1]OUT_SyntheticFuels!I$4:I$1000)</f>
        <v>0</v>
      </c>
      <c r="K628" s="1" cm="1">
        <f t="array" ref="K628">SUMPRODUCT(("SUP_WSTBIOCCS"=[1]OUT_SyntheticFuels!$C$4:$C$1000)*1,("elc35"=[1]OUT_SyntheticFuels!$A$4:$A$1000)*1,("Var_Fout"=[1]OUT_SyntheticFuels!$B$4:$B$1000)*1,[1]OUT_SyntheticFuels!J$4:J$1000)</f>
        <v>0</v>
      </c>
      <c r="L628" s="1" cm="1">
        <f t="array" ref="L628">SUMPRODUCT(("SUP_WSTBIOCCS"=[1]OUT_SyntheticFuels!$C$4:$C$1000)*1,("elc35"=[1]OUT_SyntheticFuels!$A$4:$A$1000)*1,("Var_Fout"=[1]OUT_SyntheticFuels!$B$4:$B$1000)*1,[1]OUT_SyntheticFuels!K$4:K$1000)</f>
        <v>0</v>
      </c>
      <c r="M628" s="1" cm="1">
        <f t="array" ref="M628">SUMPRODUCT(("SUP_WSTBIOCCS"=[1]OUT_SyntheticFuels!$C$4:$C$1000)*1,("elc35"=[1]OUT_SyntheticFuels!$A$4:$A$1000)*1,("Var_Fout"=[1]OUT_SyntheticFuels!$B$4:$B$1000)*1,[1]OUT_SyntheticFuels!L$4:L$1000)</f>
        <v>0</v>
      </c>
      <c r="N628" s="1" cm="1">
        <f t="array" ref="N628">SUMPRODUCT(("SUP_WSTBIOCCS"=[1]OUT_SyntheticFuels!$C$4:$C$1000)*1,("elc35"=[1]OUT_SyntheticFuels!$A$4:$A$1000)*1,("Var_Fout"=[1]OUT_SyntheticFuels!$B$4:$B$1000)*1,[1]OUT_SyntheticFuels!M$4:M$1000)</f>
        <v>0</v>
      </c>
      <c r="O628" s="1" cm="1">
        <f t="array" ref="O628">SUMPRODUCT(("SUP_WSTBIOCCS"=[1]OUT_SyntheticFuels!$C$4:$C$1000)*1,("elc35"=[1]OUT_SyntheticFuels!$A$4:$A$1000)*1,("Var_Fout"=[1]OUT_SyntheticFuels!$B$4:$B$1000)*1,[1]OUT_SyntheticFuels!N$4:N$1000)</f>
        <v>0</v>
      </c>
      <c r="P628" s="1" cm="1">
        <f t="array" ref="P628">SUMPRODUCT(("SUP_WSTBIOCCS"=[1]OUT_SyntheticFuels!$C$4:$C$1000)*1,("elc35"=[1]OUT_SyntheticFuels!$A$4:$A$1000)*1,("Var_Fout"=[1]OUT_SyntheticFuels!$B$4:$B$1000)*1,[1]OUT_SyntheticFuels!O$4:O$1000)</f>
        <v>0</v>
      </c>
      <c r="Q628" s="1" cm="1">
        <f t="array" ref="Q628">SUMPRODUCT(("SUP_WSTBIOCCS"=[1]OUT_SyntheticFuels!$C$4:$C$1000)*1,("elc35"=[1]OUT_SyntheticFuels!$A$4:$A$1000)*1,("Var_Fout"=[1]OUT_SyntheticFuels!$B$4:$B$1000)*1,[1]OUT_SyntheticFuels!P$4:P$1000)</f>
        <v>0</v>
      </c>
      <c r="S628" s="3"/>
    </row>
    <row r="629" spans="2:19" x14ac:dyDescent="0.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SUMPRODUCT(("SUP_WSTHTGBIO"=[1]OUT_SyntheticFuels!$C$4:$C$1000)*1,("elc35"=[1]OUT_SyntheticFuels!$A$4:$A$1000)*1,("Var_Fout"=[1]OUT_SyntheticFuels!$B$4:$B$1000)*1,[1]OUT_SyntheticFuels!I$4:I$1000)</f>
        <v>0</v>
      </c>
      <c r="K629" s="1" cm="1">
        <f t="array" ref="K629">SUMPRODUCT(("SUP_WSTHTGBIO"=[1]OUT_SyntheticFuels!$C$4:$C$1000)*1,("elc35"=[1]OUT_SyntheticFuels!$A$4:$A$1000)*1,("Var_Fout"=[1]OUT_SyntheticFuels!$B$4:$B$1000)*1,[1]OUT_SyntheticFuels!J$4:J$1000)</f>
        <v>0</v>
      </c>
      <c r="L629" s="1" cm="1">
        <f t="array" ref="L629">SUMPRODUCT(("SUP_WSTHTGBIO"=[1]OUT_SyntheticFuels!$C$4:$C$1000)*1,("elc35"=[1]OUT_SyntheticFuels!$A$4:$A$1000)*1,("Var_Fout"=[1]OUT_SyntheticFuels!$B$4:$B$1000)*1,[1]OUT_SyntheticFuels!K$4:K$1000)</f>
        <v>0</v>
      </c>
      <c r="M629" s="1" cm="1">
        <f t="array" ref="M629">SUMPRODUCT(("SUP_WSTHTGBIO"=[1]OUT_SyntheticFuels!$C$4:$C$1000)*1,("elc35"=[1]OUT_SyntheticFuels!$A$4:$A$1000)*1,("Var_Fout"=[1]OUT_SyntheticFuels!$B$4:$B$1000)*1,[1]OUT_SyntheticFuels!L$4:L$1000)</f>
        <v>0</v>
      </c>
      <c r="N629" s="1" cm="1">
        <f t="array" ref="N629">SUMPRODUCT(("SUP_WSTHTGBIO"=[1]OUT_SyntheticFuels!$C$4:$C$1000)*1,("elc35"=[1]OUT_SyntheticFuels!$A$4:$A$1000)*1,("Var_Fout"=[1]OUT_SyntheticFuels!$B$4:$B$1000)*1,[1]OUT_SyntheticFuels!M$4:M$1000)</f>
        <v>0</v>
      </c>
      <c r="O629" s="1" cm="1">
        <f t="array" ref="O629">SUMPRODUCT(("SUP_WSTHTGBIO"=[1]OUT_SyntheticFuels!$C$4:$C$1000)*1,("elc35"=[1]OUT_SyntheticFuels!$A$4:$A$1000)*1,("Var_Fout"=[1]OUT_SyntheticFuels!$B$4:$B$1000)*1,[1]OUT_SyntheticFuels!N$4:N$1000)</f>
        <v>0</v>
      </c>
      <c r="P629" s="1" cm="1">
        <f t="array" ref="P629">SUMPRODUCT(("SUP_WSTHTGBIO"=[1]OUT_SyntheticFuels!$C$4:$C$1000)*1,("elc35"=[1]OUT_SyntheticFuels!$A$4:$A$1000)*1,("Var_Fout"=[1]OUT_SyntheticFuels!$B$4:$B$1000)*1,[1]OUT_SyntheticFuels!O$4:O$1000)</f>
        <v>0</v>
      </c>
      <c r="Q629" s="1" cm="1">
        <f t="array" ref="Q629">SUMPRODUCT(("SUP_WSTHTGBIO"=[1]OUT_SyntheticFuels!$C$4:$C$1000)*1,("elc35"=[1]OUT_SyntheticFuels!$A$4:$A$1000)*1,("Var_Fout"=[1]OUT_SyntheticFuels!$B$4:$B$1000)*1,[1]OUT_SyntheticFuels!P$4:P$1000)</f>
        <v>0</v>
      </c>
      <c r="S629" s="3"/>
    </row>
    <row r="630" spans="2:19" x14ac:dyDescent="0.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SUMPRODUCT(("SUP_WSTHTGBIOCCS"=[1]OUT_SyntheticFuels!$C$4:$C$1000)*1,("elc35"=[1]OUT_SyntheticFuels!$A$4:$A$1000)*1,("Var_Fout"=[1]OUT_SyntheticFuels!$B$4:$B$1000)*1,[1]OUT_SyntheticFuels!I$4:I$1000)</f>
        <v>0</v>
      </c>
      <c r="K630" s="1" cm="1">
        <f t="array" ref="K630">SUMPRODUCT(("SUP_WSTHTGBIOCCS"=[1]OUT_SyntheticFuels!$C$4:$C$1000)*1,("elc35"=[1]OUT_SyntheticFuels!$A$4:$A$1000)*1,("Var_Fout"=[1]OUT_SyntheticFuels!$B$4:$B$1000)*1,[1]OUT_SyntheticFuels!J$4:J$1000)</f>
        <v>0</v>
      </c>
      <c r="L630" s="1" cm="1">
        <f t="array" ref="L630">SUMPRODUCT(("SUP_WSTHTGBIOCCS"=[1]OUT_SyntheticFuels!$C$4:$C$1000)*1,("elc35"=[1]OUT_SyntheticFuels!$A$4:$A$1000)*1,("Var_Fout"=[1]OUT_SyntheticFuels!$B$4:$B$1000)*1,[1]OUT_SyntheticFuels!K$4:K$1000)</f>
        <v>0</v>
      </c>
      <c r="M630" s="1" cm="1">
        <f t="array" ref="M630">SUMPRODUCT(("SUP_WSTHTGBIOCCS"=[1]OUT_SyntheticFuels!$C$4:$C$1000)*1,("elc35"=[1]OUT_SyntheticFuels!$A$4:$A$1000)*1,("Var_Fout"=[1]OUT_SyntheticFuels!$B$4:$B$1000)*1,[1]OUT_SyntheticFuels!L$4:L$1000)</f>
        <v>0</v>
      </c>
      <c r="N630" s="1" cm="1">
        <f t="array" ref="N630">SUMPRODUCT(("SUP_WSTHTGBIOCCS"=[1]OUT_SyntheticFuels!$C$4:$C$1000)*1,("elc35"=[1]OUT_SyntheticFuels!$A$4:$A$1000)*1,("Var_Fout"=[1]OUT_SyntheticFuels!$B$4:$B$1000)*1,[1]OUT_SyntheticFuels!M$4:M$1000)</f>
        <v>0</v>
      </c>
      <c r="O630" s="1" cm="1">
        <f t="array" ref="O630">SUMPRODUCT(("SUP_WSTHTGBIOCCS"=[1]OUT_SyntheticFuels!$C$4:$C$1000)*1,("elc35"=[1]OUT_SyntheticFuels!$A$4:$A$1000)*1,("Var_Fout"=[1]OUT_SyntheticFuels!$B$4:$B$1000)*1,[1]OUT_SyntheticFuels!N$4:N$1000)</f>
        <v>0</v>
      </c>
      <c r="P630" s="1" cm="1">
        <f t="array" ref="P630">SUMPRODUCT(("SUP_WSTHTGBIOCCS"=[1]OUT_SyntheticFuels!$C$4:$C$1000)*1,("elc35"=[1]OUT_SyntheticFuels!$A$4:$A$1000)*1,("Var_Fout"=[1]OUT_SyntheticFuels!$B$4:$B$1000)*1,[1]OUT_SyntheticFuels!O$4:O$1000)</f>
        <v>0</v>
      </c>
      <c r="Q630" s="1" cm="1">
        <f t="array" ref="Q630">SUMPRODUCT(("SUP_WSTHTGBIOCCS"=[1]OUT_SyntheticFuels!$C$4:$C$1000)*1,("elc35"=[1]OUT_SyntheticFuels!$A$4:$A$1000)*1,("Var_Fout"=[1]OUT_SyntheticFuels!$B$4:$B$1000)*1,[1]OUT_SyntheticFuels!P$4:P$1000)</f>
        <v>0</v>
      </c>
      <c r="S630" s="3"/>
    </row>
    <row r="631" spans="2:19" x14ac:dyDescent="0.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701">SUM(G632:G633)</f>
        <v>0</v>
      </c>
      <c r="H631" s="1">
        <f t="shared" si="701"/>
        <v>0</v>
      </c>
      <c r="I631" s="1">
        <f t="shared" si="701"/>
        <v>1.807682220249852E-5</v>
      </c>
      <c r="J631" s="1">
        <f t="shared" si="701"/>
        <v>1.8127188868703691E-5</v>
      </c>
      <c r="K631" s="1">
        <f t="shared" si="701"/>
        <v>1.8410644768209674E-5</v>
      </c>
      <c r="L631" s="1">
        <f t="shared" ref="L631:O631" si="702">SUM(L632:L633)</f>
        <v>1.8431830059908828E-5</v>
      </c>
      <c r="M631" s="1">
        <f t="shared" si="702"/>
        <v>1.6880020490896348E-5</v>
      </c>
      <c r="N631" s="1">
        <f t="shared" si="702"/>
        <v>1.724655934359905E-5</v>
      </c>
      <c r="O631" s="1">
        <f t="shared" si="702"/>
        <v>1.8215135693501656E-5</v>
      </c>
      <c r="P631" s="1">
        <f>SUM(P632:P633)</f>
        <v>1.7353353491159631E-5</v>
      </c>
      <c r="Q631" s="1">
        <f>SUM(Q632:Q633)</f>
        <v>3.6069506056070946E-5</v>
      </c>
      <c r="S631" s="3"/>
    </row>
    <row r="632" spans="2:19" x14ac:dyDescent="0.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0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0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1.807682220249852E-5</v>
      </c>
      <c r="J632" s="1" cm="1">
        <f t="array" ref="J632">SUMPRODUCT(("SUP_WODBIO"=[1]OUT_SyntheticFuels!$C$4:$C$1000)*1,("elc35"=[1]OUT_SyntheticFuels!$A$4:$A$1000)*1,("Var_Fout"=[1]OUT_SyntheticFuels!$B$4:$B$1000)*1,[1]OUT_SyntheticFuels!I$4:I$1000)</f>
        <v>1.8127188868703691E-5</v>
      </c>
      <c r="K632" s="1" cm="1">
        <f t="array" ref="K632">SUMPRODUCT(("SUP_WODBIO"=[1]OUT_SyntheticFuels!$C$4:$C$1000)*1,("elc35"=[1]OUT_SyntheticFuels!$A$4:$A$1000)*1,("Var_Fout"=[1]OUT_SyntheticFuels!$B$4:$B$1000)*1,[1]OUT_SyntheticFuels!J$4:J$1000)</f>
        <v>1.2861970066760975E-5</v>
      </c>
      <c r="L632" s="1" cm="1">
        <f t="array" ref="L632">SUMPRODUCT(("SUP_WODBIO"=[1]OUT_SyntheticFuels!$C$4:$C$1000)*1,("elc35"=[1]OUT_SyntheticFuels!$A$4:$A$1000)*1,("Var_Fout"=[1]OUT_SyntheticFuels!$B$4:$B$1000)*1,[1]OUT_SyntheticFuels!K$4:K$1000)</f>
        <v>1.0718867992208656E-5</v>
      </c>
      <c r="M632" s="1" cm="1">
        <f t="array" ref="M632">SUMPRODUCT(("SUP_WODBIO"=[1]OUT_SyntheticFuels!$C$4:$C$1000)*1,("elc35"=[1]OUT_SyntheticFuels!$A$4:$A$1000)*1,("Var_Fout"=[1]OUT_SyntheticFuels!$B$4:$B$1000)*1,[1]OUT_SyntheticFuels!L$4:L$1000)</f>
        <v>1.819271068278457E-6</v>
      </c>
      <c r="N632" s="1" cm="1">
        <f t="array" ref="N632">SUMPRODUCT(("SUP_WODBIO"=[1]OUT_SyntheticFuels!$C$4:$C$1000)*1,("elc35"=[1]OUT_SyntheticFuels!$A$4:$A$1000)*1,("Var_Fout"=[1]OUT_SyntheticFuels!$B$4:$B$1000)*1,[1]OUT_SyntheticFuels!M$4:M$1000)</f>
        <v>1.2793756542283533E-6</v>
      </c>
      <c r="O632" s="1" cm="1">
        <f t="array" ref="O632">SUMPRODUCT(("SUP_WODBIO"=[1]OUT_SyntheticFuels!$C$4:$C$1000)*1,("elc35"=[1]OUT_SyntheticFuels!$A$4:$A$1000)*1,("Var_Fout"=[1]OUT_SyntheticFuels!$B$4:$B$1000)*1,[1]OUT_SyntheticFuels!N$4:N$1000)</f>
        <v>3.3819925646125913E-6</v>
      </c>
      <c r="P632" s="1" cm="1">
        <f t="array" ref="P632">SUMPRODUCT(("SUP_WODBIO"=[1]OUT_SyntheticFuels!$C$4:$C$1000)*1,("elc35"=[1]OUT_SyntheticFuels!$A$4:$A$1000)*1,("Var_Fout"=[1]OUT_SyntheticFuels!$B$4:$B$1000)*1,[1]OUT_SyntheticFuels!O$4:O$1000)</f>
        <v>2.4359894860486953E-6</v>
      </c>
      <c r="Q632" s="1" cm="1">
        <f t="array" ref="Q632">SUMPRODUCT(("SUP_WODBIO"=[1]OUT_SyntheticFuels!$C$4:$C$1000)*1,("elc35"=[1]OUT_SyntheticFuels!$A$4:$A$1000)*1,("Var_Fout"=[1]OUT_SyntheticFuels!$B$4:$B$1000)*1,[1]OUT_SyntheticFuels!P$4:P$1000)</f>
        <v>1.1526007449175895E-5</v>
      </c>
      <c r="S632" s="3"/>
    </row>
    <row r="633" spans="2:19" x14ac:dyDescent="0.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SUMPRODUCT(("SUP_WODBIOCCS"=[1]OUT_SyntheticFuels!$C$4:$C$1000)*1,("elc35"=[1]OUT_SyntheticFuels!$A$4:$A$1000)*1,("Var_Fout"=[1]OUT_SyntheticFuels!$B$4:$B$1000)*1,[1]OUT_SyntheticFuels!I$4:I$1000)</f>
        <v>0</v>
      </c>
      <c r="K633" s="1" cm="1">
        <f t="array" ref="K633">SUMPRODUCT(("SUP_WODBIOCCS"=[1]OUT_SyntheticFuels!$C$4:$C$1000)*1,("elc35"=[1]OUT_SyntheticFuels!$A$4:$A$1000)*1,("Var_Fout"=[1]OUT_SyntheticFuels!$B$4:$B$1000)*1,[1]OUT_SyntheticFuels!J$4:J$1000)</f>
        <v>5.5486747014486991E-6</v>
      </c>
      <c r="L633" s="1" cm="1">
        <f t="array" ref="L633">SUMPRODUCT(("SUP_WODBIOCCS"=[1]OUT_SyntheticFuels!$C$4:$C$1000)*1,("elc35"=[1]OUT_SyntheticFuels!$A$4:$A$1000)*1,("Var_Fout"=[1]OUT_SyntheticFuels!$B$4:$B$1000)*1,[1]OUT_SyntheticFuels!K$4:K$1000)</f>
        <v>7.7129620677001738E-6</v>
      </c>
      <c r="M633" s="1" cm="1">
        <f t="array" ref="M633">SUMPRODUCT(("SUP_WODBIOCCS"=[1]OUT_SyntheticFuels!$C$4:$C$1000)*1,("elc35"=[1]OUT_SyntheticFuels!$A$4:$A$1000)*1,("Var_Fout"=[1]OUT_SyntheticFuels!$B$4:$B$1000)*1,[1]OUT_SyntheticFuels!L$4:L$1000)</f>
        <v>1.5060749422617892E-5</v>
      </c>
      <c r="N633" s="1" cm="1">
        <f t="array" ref="N633">SUMPRODUCT(("SUP_WODBIOCCS"=[1]OUT_SyntheticFuels!$C$4:$C$1000)*1,("elc35"=[1]OUT_SyntheticFuels!$A$4:$A$1000)*1,("Var_Fout"=[1]OUT_SyntheticFuels!$B$4:$B$1000)*1,[1]OUT_SyntheticFuels!M$4:M$1000)</f>
        <v>1.5967183689370695E-5</v>
      </c>
      <c r="O633" s="1" cm="1">
        <f t="array" ref="O633">SUMPRODUCT(("SUP_WODBIOCCS"=[1]OUT_SyntheticFuels!$C$4:$C$1000)*1,("elc35"=[1]OUT_SyntheticFuels!$A$4:$A$1000)*1,("Var_Fout"=[1]OUT_SyntheticFuels!$B$4:$B$1000)*1,[1]OUT_SyntheticFuels!N$4:N$1000)</f>
        <v>1.4833143128889064E-5</v>
      </c>
      <c r="P633" s="1" cm="1">
        <f t="array" ref="P633">SUMPRODUCT(("SUP_WODBIOCCS"=[1]OUT_SyntheticFuels!$C$4:$C$1000)*1,("elc35"=[1]OUT_SyntheticFuels!$A$4:$A$1000)*1,("Var_Fout"=[1]OUT_SyntheticFuels!$B$4:$B$1000)*1,[1]OUT_SyntheticFuels!O$4:O$1000)</f>
        <v>1.4917364005110936E-5</v>
      </c>
      <c r="Q633" s="1" cm="1">
        <f t="array" ref="Q633">SUMPRODUCT(("SUP_WODBIOCCS"=[1]OUT_SyntheticFuels!$C$4:$C$1000)*1,("elc35"=[1]OUT_SyntheticFuels!$A$4:$A$1000)*1,("Var_Fout"=[1]OUT_SyntheticFuels!$B$4:$B$1000)*1,[1]OUT_SyntheticFuels!P$4:P$1000)</f>
        <v>2.4543498606895052E-5</v>
      </c>
      <c r="S633" s="3"/>
    </row>
    <row r="634" spans="2:19" x14ac:dyDescent="0.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703">G635+G636+G641</f>
        <v>0</v>
      </c>
      <c r="H634" s="3">
        <f t="shared" ref="H634" si="704">H635+H636+H641</f>
        <v>3.8327237967054887E-6</v>
      </c>
      <c r="I634" s="3">
        <f t="shared" ref="I634" si="705">I635+I636+I641</f>
        <v>5.4230466607495542E-5</v>
      </c>
      <c r="J634" s="3">
        <f t="shared" ref="J634" si="706">J635+J636+J641</f>
        <v>5.4381566606110988E-5</v>
      </c>
      <c r="K634" s="3">
        <f t="shared" ref="K634" si="707">K635+K636+K641</f>
        <v>5.4980028320872074E-5</v>
      </c>
      <c r="L634" s="3">
        <f t="shared" ref="L634:O634" si="708">L635+L636+L641</f>
        <v>5.5042954414742041E-5</v>
      </c>
      <c r="M634" s="3">
        <f t="shared" si="708"/>
        <v>5.5429673118883651E-5</v>
      </c>
      <c r="N634" s="3">
        <f t="shared" si="708"/>
        <v>5.5277633337997613E-5</v>
      </c>
      <c r="O634" s="3">
        <f t="shared" si="708"/>
        <v>5.5935844323629254E-5</v>
      </c>
      <c r="P634" s="3">
        <f>P635+P636+P641</f>
        <v>5.591992385102791E-5</v>
      </c>
      <c r="Q634" s="3">
        <f>Q635+Q636+Q641</f>
        <v>1.0671151437932391E-4</v>
      </c>
      <c r="S634" s="3"/>
    </row>
    <row r="635" spans="2:19" x14ac:dyDescent="0.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SUMPRODUCT(("SUP_MNRBIO"=[1]OUT_SyntheticFuels!$C$4:$C$1000)*1,("Var_Fout"=[1]OUT_SyntheticFuels!$B$4:$B$1000)*1,("LTH"=[1]OUT_SyntheticFuels!$A$4:$A$1000)*1,[1]OUT_SyntheticFuels!I$4:I$1000)</f>
        <v>0</v>
      </c>
      <c r="K635" s="1" cm="1">
        <f t="array" ref="K635">SUMPRODUCT(("SUP_MNRBIO"=[1]OUT_SyntheticFuels!$C$4:$C$1000)*1,("Var_Fout"=[1]OUT_SyntheticFuels!$B$4:$B$1000)*1,("LTH"=[1]OUT_SyntheticFuels!$A$4:$A$1000)*1,[1]OUT_SyntheticFuels!J$4:J$1000)</f>
        <v>0</v>
      </c>
      <c r="L635" s="1" cm="1">
        <f t="array" ref="L635">SUMPRODUCT(("SUP_MNRBIO"=[1]OUT_SyntheticFuels!$C$4:$C$1000)*1,("Var_Fout"=[1]OUT_SyntheticFuels!$B$4:$B$1000)*1,("LTH"=[1]OUT_SyntheticFuels!$A$4:$A$1000)*1,[1]OUT_SyntheticFuels!K$4:K$1000)</f>
        <v>0</v>
      </c>
      <c r="M635" s="1" cm="1">
        <f t="array" ref="M635">SUMPRODUCT(("SUP_MNRBIO"=[1]OUT_SyntheticFuels!$C$4:$C$1000)*1,("Var_Fout"=[1]OUT_SyntheticFuels!$B$4:$B$1000)*1,("LTH"=[1]OUT_SyntheticFuels!$A$4:$A$1000)*1,[1]OUT_SyntheticFuels!L$4:L$1000)</f>
        <v>0</v>
      </c>
      <c r="N635" s="1" cm="1">
        <f t="array" ref="N635">SUMPRODUCT(("SUP_MNRBIO"=[1]OUT_SyntheticFuels!$C$4:$C$1000)*1,("Var_Fout"=[1]OUT_SyntheticFuels!$B$4:$B$1000)*1,("LTH"=[1]OUT_SyntheticFuels!$A$4:$A$1000)*1,[1]OUT_SyntheticFuels!M$4:M$1000)</f>
        <v>0</v>
      </c>
      <c r="O635" s="1" cm="1">
        <f t="array" ref="O635">SUMPRODUCT(("SUP_MNRBIO"=[1]OUT_SyntheticFuels!$C$4:$C$1000)*1,("Var_Fout"=[1]OUT_SyntheticFuels!$B$4:$B$1000)*1,("LTH"=[1]OUT_SyntheticFuels!$A$4:$A$1000)*1,[1]OUT_SyntheticFuels!N$4:N$1000)</f>
        <v>0</v>
      </c>
      <c r="P635" s="1" cm="1">
        <f t="array" ref="P635">SUMPRODUCT(("SUP_MNRBIO"=[1]OUT_SyntheticFuels!$C$4:$C$1000)*1,("Var_Fout"=[1]OUT_SyntheticFuels!$B$4:$B$1000)*1,("LTH"=[1]OUT_SyntheticFuels!$A$4:$A$1000)*1,[1]OUT_SyntheticFuels!O$4:O$1000)</f>
        <v>0</v>
      </c>
      <c r="Q635" s="1" cm="1">
        <f t="array" ref="Q635">SUMPRODUCT(("SUP_MNRBIO"=[1]OUT_SyntheticFuels!$C$4:$C$1000)*1,("Var_Fout"=[1]OUT_SyntheticFuels!$B$4:$B$1000)*1,("LTH"=[1]OUT_SyntheticFuels!$A$4:$A$1000)*1,[1]OUT_SyntheticFuels!P$4:P$1000)</f>
        <v>0</v>
      </c>
      <c r="S635" s="3"/>
    </row>
    <row r="636" spans="2:19" x14ac:dyDescent="0.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709">SUM(G637:G640)</f>
        <v>0</v>
      </c>
      <c r="H636" s="1">
        <f t="shared" ref="H636" si="710">SUM(H637:H640)</f>
        <v>0</v>
      </c>
      <c r="I636" s="1">
        <f t="shared" ref="I636" si="711">SUM(I637:I640)</f>
        <v>0</v>
      </c>
      <c r="J636" s="1">
        <f t="shared" ref="J636" si="712">SUM(J637:J640)</f>
        <v>0</v>
      </c>
      <c r="K636" s="1">
        <f t="shared" ref="K636" si="713">SUM(K637:K640)</f>
        <v>0</v>
      </c>
      <c r="L636" s="1">
        <f t="shared" ref="L636:O636" si="714">SUM(L637:L640)</f>
        <v>0</v>
      </c>
      <c r="M636" s="1">
        <f t="shared" si="714"/>
        <v>0</v>
      </c>
      <c r="N636" s="1">
        <f t="shared" si="714"/>
        <v>0</v>
      </c>
      <c r="O636" s="1">
        <f t="shared" si="714"/>
        <v>0</v>
      </c>
      <c r="P636" s="1">
        <f>SUM(P637:P640)</f>
        <v>0</v>
      </c>
      <c r="Q636" s="1">
        <f>SUM(Q637:Q640)</f>
        <v>0</v>
      </c>
      <c r="S636" s="3"/>
    </row>
    <row r="637" spans="2:19" x14ac:dyDescent="0.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SUMPRODUCT(("SUP_WSTBIO"=[1]OUT_SyntheticFuels!$C$4:$C$1000)*1,("LTH"=[1]OUT_SyntheticFuels!$A$4:$A$1000)*1,("Var_Fout"=[1]OUT_SyntheticFuels!$B$4:$B$1000)*1,[1]OUT_SyntheticFuels!I$4:I$1000)</f>
        <v>0</v>
      </c>
      <c r="K637" s="1" cm="1">
        <f t="array" ref="K637">SUMPRODUCT(("SUP_WSTBIO"=[1]OUT_SyntheticFuels!$C$4:$C$1000)*1,("LTH"=[1]OUT_SyntheticFuels!$A$4:$A$1000)*1,("Var_Fout"=[1]OUT_SyntheticFuels!$B$4:$B$1000)*1,[1]OUT_SyntheticFuels!J$4:J$1000)</f>
        <v>0</v>
      </c>
      <c r="L637" s="1" cm="1">
        <f t="array" ref="L637">SUMPRODUCT(("SUP_WSTBIO"=[1]OUT_SyntheticFuels!$C$4:$C$1000)*1,("LTH"=[1]OUT_SyntheticFuels!$A$4:$A$1000)*1,("Var_Fout"=[1]OUT_SyntheticFuels!$B$4:$B$1000)*1,[1]OUT_SyntheticFuels!K$4:K$1000)</f>
        <v>0</v>
      </c>
      <c r="M637" s="1" cm="1">
        <f t="array" ref="M637">SUMPRODUCT(("SUP_WSTBIO"=[1]OUT_SyntheticFuels!$C$4:$C$1000)*1,("LTH"=[1]OUT_SyntheticFuels!$A$4:$A$1000)*1,("Var_Fout"=[1]OUT_SyntheticFuels!$B$4:$B$1000)*1,[1]OUT_SyntheticFuels!L$4:L$1000)</f>
        <v>0</v>
      </c>
      <c r="N637" s="1" cm="1">
        <f t="array" ref="N637">SUMPRODUCT(("SUP_WSTBIO"=[1]OUT_SyntheticFuels!$C$4:$C$1000)*1,("LTH"=[1]OUT_SyntheticFuels!$A$4:$A$1000)*1,("Var_Fout"=[1]OUT_SyntheticFuels!$B$4:$B$1000)*1,[1]OUT_SyntheticFuels!M$4:M$1000)</f>
        <v>0</v>
      </c>
      <c r="O637" s="1" cm="1">
        <f t="array" ref="O637">SUMPRODUCT(("SUP_WSTBIO"=[1]OUT_SyntheticFuels!$C$4:$C$1000)*1,("LTH"=[1]OUT_SyntheticFuels!$A$4:$A$1000)*1,("Var_Fout"=[1]OUT_SyntheticFuels!$B$4:$B$1000)*1,[1]OUT_SyntheticFuels!N$4:N$1000)</f>
        <v>0</v>
      </c>
      <c r="P637" s="1" cm="1">
        <f t="array" ref="P637">SUMPRODUCT(("SUP_WSTBIO"=[1]OUT_SyntheticFuels!$C$4:$C$1000)*1,("LTH"=[1]OUT_SyntheticFuels!$A$4:$A$1000)*1,("Var_Fout"=[1]OUT_SyntheticFuels!$B$4:$B$1000)*1,[1]OUT_SyntheticFuels!O$4:O$1000)</f>
        <v>0</v>
      </c>
      <c r="Q637" s="1" cm="1">
        <f t="array" ref="Q637">SUMPRODUCT(("SUP_WSTBIO"=[1]OUT_SyntheticFuels!$C$4:$C$1000)*1,("LTH"=[1]OUT_SyntheticFuels!$A$4:$A$1000)*1,("Var_Fout"=[1]OUT_SyntheticFuels!$B$4:$B$1000)*1,[1]OUT_SyntheticFuels!P$4:P$1000)</f>
        <v>0</v>
      </c>
      <c r="S637" s="3"/>
    </row>
    <row r="638" spans="2:19" x14ac:dyDescent="0.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SUMPRODUCT(("SUP_WSTBIOCCS"=[1]OUT_SyntheticFuels!$C$4:$C$1000)*1,("LTH"=[1]OUT_SyntheticFuels!$A$4:$A$1000)*1,("Var_Fout"=[1]OUT_SyntheticFuels!$B$4:$B$1000)*1,[1]OUT_SyntheticFuels!I$4:I$1000)</f>
        <v>0</v>
      </c>
      <c r="K638" s="1" cm="1">
        <f t="array" ref="K638">SUMPRODUCT(("SUP_WSTBIOCCS"=[1]OUT_SyntheticFuels!$C$4:$C$1000)*1,("LTH"=[1]OUT_SyntheticFuels!$A$4:$A$1000)*1,("Var_Fout"=[1]OUT_SyntheticFuels!$B$4:$B$1000)*1,[1]OUT_SyntheticFuels!J$4:J$1000)</f>
        <v>0</v>
      </c>
      <c r="L638" s="1" cm="1">
        <f t="array" ref="L638">SUMPRODUCT(("SUP_WSTBIOCCS"=[1]OUT_SyntheticFuels!$C$4:$C$1000)*1,("LTH"=[1]OUT_SyntheticFuels!$A$4:$A$1000)*1,("Var_Fout"=[1]OUT_SyntheticFuels!$B$4:$B$1000)*1,[1]OUT_SyntheticFuels!K$4:K$1000)</f>
        <v>0</v>
      </c>
      <c r="M638" s="1" cm="1">
        <f t="array" ref="M638">SUMPRODUCT(("SUP_WSTBIOCCS"=[1]OUT_SyntheticFuels!$C$4:$C$1000)*1,("LTH"=[1]OUT_SyntheticFuels!$A$4:$A$1000)*1,("Var_Fout"=[1]OUT_SyntheticFuels!$B$4:$B$1000)*1,[1]OUT_SyntheticFuels!L$4:L$1000)</f>
        <v>0</v>
      </c>
      <c r="N638" s="1" cm="1">
        <f t="array" ref="N638">SUMPRODUCT(("SUP_WSTBIOCCS"=[1]OUT_SyntheticFuels!$C$4:$C$1000)*1,("LTH"=[1]OUT_SyntheticFuels!$A$4:$A$1000)*1,("Var_Fout"=[1]OUT_SyntheticFuels!$B$4:$B$1000)*1,[1]OUT_SyntheticFuels!M$4:M$1000)</f>
        <v>0</v>
      </c>
      <c r="O638" s="1" cm="1">
        <f t="array" ref="O638">SUMPRODUCT(("SUP_WSTBIOCCS"=[1]OUT_SyntheticFuels!$C$4:$C$1000)*1,("LTH"=[1]OUT_SyntheticFuels!$A$4:$A$1000)*1,("Var_Fout"=[1]OUT_SyntheticFuels!$B$4:$B$1000)*1,[1]OUT_SyntheticFuels!N$4:N$1000)</f>
        <v>0</v>
      </c>
      <c r="P638" s="1" cm="1">
        <f t="array" ref="P638">SUMPRODUCT(("SUP_WSTBIOCCS"=[1]OUT_SyntheticFuels!$C$4:$C$1000)*1,("LTH"=[1]OUT_SyntheticFuels!$A$4:$A$1000)*1,("Var_Fout"=[1]OUT_SyntheticFuels!$B$4:$B$1000)*1,[1]OUT_SyntheticFuels!O$4:O$1000)</f>
        <v>0</v>
      </c>
      <c r="Q638" s="1" cm="1">
        <f t="array" ref="Q638">SUMPRODUCT(("SUP_WSTBIOCCS"=[1]OUT_SyntheticFuels!$C$4:$C$1000)*1,("LTH"=[1]OUT_SyntheticFuels!$A$4:$A$1000)*1,("Var_Fout"=[1]OUT_SyntheticFuels!$B$4:$B$1000)*1,[1]OUT_SyntheticFuels!P$4:P$1000)</f>
        <v>0</v>
      </c>
      <c r="S638" s="3"/>
    </row>
    <row r="639" spans="2:19" x14ac:dyDescent="0.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SUMPRODUCT(("SUP_WSTHTGBIO"=[1]OUT_SyntheticFuels!$C$4:$C$1000)*1,("LTH"=[1]OUT_SyntheticFuels!$A$4:$A$1000)*1,("Var_Fout"=[1]OUT_SyntheticFuels!$B$4:$B$1000)*1,[1]OUT_SyntheticFuels!I$4:I$1000)</f>
        <v>0</v>
      </c>
      <c r="K639" s="1" cm="1">
        <f t="array" ref="K639">SUMPRODUCT(("SUP_WSTHTGBIO"=[1]OUT_SyntheticFuels!$C$4:$C$1000)*1,("LTH"=[1]OUT_SyntheticFuels!$A$4:$A$1000)*1,("Var_Fout"=[1]OUT_SyntheticFuels!$B$4:$B$1000)*1,[1]OUT_SyntheticFuels!J$4:J$1000)</f>
        <v>0</v>
      </c>
      <c r="L639" s="1" cm="1">
        <f t="array" ref="L639">SUMPRODUCT(("SUP_WSTHTGBIO"=[1]OUT_SyntheticFuels!$C$4:$C$1000)*1,("LTH"=[1]OUT_SyntheticFuels!$A$4:$A$1000)*1,("Var_Fout"=[1]OUT_SyntheticFuels!$B$4:$B$1000)*1,[1]OUT_SyntheticFuels!K$4:K$1000)</f>
        <v>0</v>
      </c>
      <c r="M639" s="1" cm="1">
        <f t="array" ref="M639">SUMPRODUCT(("SUP_WSTHTGBIO"=[1]OUT_SyntheticFuels!$C$4:$C$1000)*1,("LTH"=[1]OUT_SyntheticFuels!$A$4:$A$1000)*1,("Var_Fout"=[1]OUT_SyntheticFuels!$B$4:$B$1000)*1,[1]OUT_SyntheticFuels!L$4:L$1000)</f>
        <v>0</v>
      </c>
      <c r="N639" s="1" cm="1">
        <f t="array" ref="N639">SUMPRODUCT(("SUP_WSTHTGBIO"=[1]OUT_SyntheticFuels!$C$4:$C$1000)*1,("LTH"=[1]OUT_SyntheticFuels!$A$4:$A$1000)*1,("Var_Fout"=[1]OUT_SyntheticFuels!$B$4:$B$1000)*1,[1]OUT_SyntheticFuels!M$4:M$1000)</f>
        <v>0</v>
      </c>
      <c r="O639" s="1" cm="1">
        <f t="array" ref="O639">SUMPRODUCT(("SUP_WSTHTGBIO"=[1]OUT_SyntheticFuels!$C$4:$C$1000)*1,("LTH"=[1]OUT_SyntheticFuels!$A$4:$A$1000)*1,("Var_Fout"=[1]OUT_SyntheticFuels!$B$4:$B$1000)*1,[1]OUT_SyntheticFuels!N$4:N$1000)</f>
        <v>0</v>
      </c>
      <c r="P639" s="1" cm="1">
        <f t="array" ref="P639">SUMPRODUCT(("SUP_WSTHTGBIO"=[1]OUT_SyntheticFuels!$C$4:$C$1000)*1,("LTH"=[1]OUT_SyntheticFuels!$A$4:$A$1000)*1,("Var_Fout"=[1]OUT_SyntheticFuels!$B$4:$B$1000)*1,[1]OUT_SyntheticFuels!O$4:O$1000)</f>
        <v>0</v>
      </c>
      <c r="Q639" s="1" cm="1">
        <f t="array" ref="Q639">SUMPRODUCT(("SUP_WSTHTGBIO"=[1]OUT_SyntheticFuels!$C$4:$C$1000)*1,("LTH"=[1]OUT_SyntheticFuels!$A$4:$A$1000)*1,("Var_Fout"=[1]OUT_SyntheticFuels!$B$4:$B$1000)*1,[1]OUT_SyntheticFuels!P$4:P$1000)</f>
        <v>0</v>
      </c>
      <c r="S639" s="3"/>
    </row>
    <row r="640" spans="2:19" x14ac:dyDescent="0.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SUMPRODUCT(("SUP_WSTHTGBIOCCS"=[1]OUT_SyntheticFuels!$C$4:$C$1000)*1,("LTH"=[1]OUT_SyntheticFuels!$A$4:$A$1000)*1,("Var_Fout"=[1]OUT_SyntheticFuels!$B$4:$B$1000)*1,[1]OUT_SyntheticFuels!I$4:I$1000)</f>
        <v>0</v>
      </c>
      <c r="K640" s="1" cm="1">
        <f t="array" ref="K640">SUMPRODUCT(("SUP_WSTHTGBIOCCS"=[1]OUT_SyntheticFuels!$C$4:$C$1000)*1,("LTH"=[1]OUT_SyntheticFuels!$A$4:$A$1000)*1,("Var_Fout"=[1]OUT_SyntheticFuels!$B$4:$B$1000)*1,[1]OUT_SyntheticFuels!J$4:J$1000)</f>
        <v>0</v>
      </c>
      <c r="L640" s="1" cm="1">
        <f t="array" ref="L640">SUMPRODUCT(("SUP_WSTHTGBIOCCS"=[1]OUT_SyntheticFuels!$C$4:$C$1000)*1,("LTH"=[1]OUT_SyntheticFuels!$A$4:$A$1000)*1,("Var_Fout"=[1]OUT_SyntheticFuels!$B$4:$B$1000)*1,[1]OUT_SyntheticFuels!K$4:K$1000)</f>
        <v>0</v>
      </c>
      <c r="M640" s="1" cm="1">
        <f t="array" ref="M640">SUMPRODUCT(("SUP_WSTHTGBIOCCS"=[1]OUT_SyntheticFuels!$C$4:$C$1000)*1,("LTH"=[1]OUT_SyntheticFuels!$A$4:$A$1000)*1,("Var_Fout"=[1]OUT_SyntheticFuels!$B$4:$B$1000)*1,[1]OUT_SyntheticFuels!L$4:L$1000)</f>
        <v>0</v>
      </c>
      <c r="N640" s="1" cm="1">
        <f t="array" ref="N640">SUMPRODUCT(("SUP_WSTHTGBIOCCS"=[1]OUT_SyntheticFuels!$C$4:$C$1000)*1,("LTH"=[1]OUT_SyntheticFuels!$A$4:$A$1000)*1,("Var_Fout"=[1]OUT_SyntheticFuels!$B$4:$B$1000)*1,[1]OUT_SyntheticFuels!M$4:M$1000)</f>
        <v>0</v>
      </c>
      <c r="O640" s="1" cm="1">
        <f t="array" ref="O640">SUMPRODUCT(("SUP_WSTHTGBIOCCS"=[1]OUT_SyntheticFuels!$C$4:$C$1000)*1,("LTH"=[1]OUT_SyntheticFuels!$A$4:$A$1000)*1,("Var_Fout"=[1]OUT_SyntheticFuels!$B$4:$B$1000)*1,[1]OUT_SyntheticFuels!N$4:N$1000)</f>
        <v>0</v>
      </c>
      <c r="P640" s="1" cm="1">
        <f t="array" ref="P640">SUMPRODUCT(("SUP_WSTHTGBIOCCS"=[1]OUT_SyntheticFuels!$C$4:$C$1000)*1,("LTH"=[1]OUT_SyntheticFuels!$A$4:$A$1000)*1,("Var_Fout"=[1]OUT_SyntheticFuels!$B$4:$B$1000)*1,[1]OUT_SyntheticFuels!O$4:O$1000)</f>
        <v>0</v>
      </c>
      <c r="Q640" s="1" cm="1">
        <f t="array" ref="Q640">SUMPRODUCT(("SUP_WSTHTGBIOCCS"=[1]OUT_SyntheticFuels!$C$4:$C$1000)*1,("LTH"=[1]OUT_SyntheticFuels!$A$4:$A$1000)*1,("Var_Fout"=[1]OUT_SyntheticFuels!$B$4:$B$1000)*1,[1]OUT_SyntheticFuels!P$4:P$1000)</f>
        <v>0</v>
      </c>
      <c r="S640" s="3"/>
    </row>
    <row r="641" spans="2:19" x14ac:dyDescent="0.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715">SUM(G642:G643)</f>
        <v>0</v>
      </c>
      <c r="H641" s="1">
        <f t="shared" ref="H641" si="716">SUM(H642:H643)</f>
        <v>3.8327237967054887E-6</v>
      </c>
      <c r="I641" s="1">
        <f t="shared" ref="I641" si="717">SUM(I642:I643)</f>
        <v>5.4230466607495542E-5</v>
      </c>
      <c r="J641" s="1">
        <f t="shared" ref="J641" si="718">SUM(J642:J643)</f>
        <v>5.4381566606110988E-5</v>
      </c>
      <c r="K641" s="1">
        <f t="shared" ref="K641" si="719">SUM(K642:K643)</f>
        <v>5.4980028320872074E-5</v>
      </c>
      <c r="L641" s="1">
        <f t="shared" ref="L641:O641" si="720">SUM(L642:L643)</f>
        <v>5.5042954414742041E-5</v>
      </c>
      <c r="M641" s="1">
        <f t="shared" si="720"/>
        <v>5.5429673118883651E-5</v>
      </c>
      <c r="N641" s="1">
        <f t="shared" si="720"/>
        <v>5.5277633337997613E-5</v>
      </c>
      <c r="O641" s="1">
        <f t="shared" si="720"/>
        <v>5.5935844323629254E-5</v>
      </c>
      <c r="P641" s="1">
        <f>SUM(P642:P643)</f>
        <v>5.591992385102791E-5</v>
      </c>
      <c r="Q641" s="1">
        <f>SUM(Q642:Q643)</f>
        <v>1.0671151437932391E-4</v>
      </c>
      <c r="S641" s="3"/>
    </row>
    <row r="642" spans="2:19" x14ac:dyDescent="0.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0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3.8327237967054887E-6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5.4230466607495542E-5</v>
      </c>
      <c r="J642" s="1" cm="1">
        <f t="array" ref="J642">SUMPRODUCT(("SUP_WODBIO"=[1]OUT_SyntheticFuels!$C$4:$C$1000)*1,("LTH"=[1]OUT_SyntheticFuels!$A$4:$A$1000)*1,("Var_Fout"=[1]OUT_SyntheticFuels!$B$4:$B$1000)*1,[1]OUT_SyntheticFuels!I$4:I$1000)</f>
        <v>5.4381566606110988E-5</v>
      </c>
      <c r="K642" s="1" cm="1">
        <f t="array" ref="K642">SUMPRODUCT(("SUP_WODBIO"=[1]OUT_SyntheticFuels!$C$4:$C$1000)*1,("LTH"=[1]OUT_SyntheticFuels!$A$4:$A$1000)*1,("Var_Fout"=[1]OUT_SyntheticFuels!$B$4:$B$1000)*1,[1]OUT_SyntheticFuels!J$4:J$1000)</f>
        <v>3.8585910200282899E-5</v>
      </c>
      <c r="L642" s="1" cm="1">
        <f t="array" ref="L642">SUMPRODUCT(("SUP_WODBIO"=[1]OUT_SyntheticFuels!$C$4:$C$1000)*1,("LTH"=[1]OUT_SyntheticFuels!$A$4:$A$1000)*1,("Var_Fout"=[1]OUT_SyntheticFuels!$B$4:$B$1000)*1,[1]OUT_SyntheticFuels!K$4:K$1000)</f>
        <v>3.2175654350379453E-5</v>
      </c>
      <c r="M642" s="1" cm="1">
        <f t="array" ref="M642">SUMPRODUCT(("SUP_WODBIO"=[1]OUT_SyntheticFuels!$C$4:$C$1000)*1,("LTH"=[1]OUT_SyntheticFuels!$A$4:$A$1000)*1,("Var_Fout"=[1]OUT_SyntheticFuels!$B$4:$B$1000)*1,[1]OUT_SyntheticFuels!L$4:L$1000)</f>
        <v>1.0499330834786887E-5</v>
      </c>
      <c r="N642" s="1" cm="1">
        <f t="array" ref="N642">SUMPRODUCT(("SUP_WODBIO"=[1]OUT_SyntheticFuels!$C$4:$C$1000)*1,("LTH"=[1]OUT_SyntheticFuels!$A$4:$A$1000)*1,("Var_Fout"=[1]OUT_SyntheticFuels!$B$4:$B$1000)*1,[1]OUT_SyntheticFuels!M$4:M$1000)</f>
        <v>7.7014608322382967E-6</v>
      </c>
      <c r="O642" s="1" cm="1">
        <f t="array" ref="O642">SUMPRODUCT(("SUP_WODBIO"=[1]OUT_SyntheticFuels!$C$4:$C$1000)*1,("LTH"=[1]OUT_SyntheticFuels!$A$4:$A$1000)*1,("Var_Fout"=[1]OUT_SyntheticFuels!$B$4:$B$1000)*1,[1]OUT_SyntheticFuels!N$4:N$1000)</f>
        <v>1.1688320920719011E-5</v>
      </c>
      <c r="P642" s="1" cm="1">
        <f t="array" ref="P642">SUMPRODUCT(("SUP_WODBIO"=[1]OUT_SyntheticFuels!$C$4:$C$1000)*1,("LTH"=[1]OUT_SyntheticFuels!$A$4:$A$1000)*1,("Var_Fout"=[1]OUT_SyntheticFuels!$B$4:$B$1000)*1,[1]OUT_SyntheticFuels!O$4:O$1000)</f>
        <v>1.1923549786965805E-5</v>
      </c>
      <c r="Q642" s="1" cm="1">
        <f t="array" ref="Q642">SUMPRODUCT(("SUP_WODBIO"=[1]OUT_SyntheticFuels!$C$4:$C$1000)*1,("LTH"=[1]OUT_SyntheticFuels!$A$4:$A$1000)*1,("Var_Fout"=[1]OUT_SyntheticFuels!$B$4:$B$1000)*1,[1]OUT_SyntheticFuels!P$4:P$1000)</f>
        <v>3.457802234752763E-5</v>
      </c>
      <c r="S642" s="3"/>
    </row>
    <row r="643" spans="2:19" x14ac:dyDescent="0.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SUMPRODUCT(("SUP_WODBIOCCS"=[1]OUT_SyntheticFuels!$C$4:$C$1000)*1,("LTH"=[1]OUT_SyntheticFuels!$A$4:$A$1000)*1,("Var_Fout"=[1]OUT_SyntheticFuels!$B$4:$B$1000)*1,[1]OUT_SyntheticFuels!I$4:I$1000)</f>
        <v>0</v>
      </c>
      <c r="K643" s="1" cm="1">
        <f t="array" ref="K643">SUMPRODUCT(("SUP_WODBIOCCS"=[1]OUT_SyntheticFuels!$C$4:$C$1000)*1,("LTH"=[1]OUT_SyntheticFuels!$A$4:$A$1000)*1,("Var_Fout"=[1]OUT_SyntheticFuels!$B$4:$B$1000)*1,[1]OUT_SyntheticFuels!J$4:J$1000)</f>
        <v>1.6394118120589172E-5</v>
      </c>
      <c r="L643" s="1" cm="1">
        <f t="array" ref="L643">SUMPRODUCT(("SUP_WODBIOCCS"=[1]OUT_SyntheticFuels!$C$4:$C$1000)*1,("LTH"=[1]OUT_SyntheticFuels!$A$4:$A$1000)*1,("Var_Fout"=[1]OUT_SyntheticFuels!$B$4:$B$1000)*1,[1]OUT_SyntheticFuels!K$4:K$1000)</f>
        <v>2.2867300064362585E-5</v>
      </c>
      <c r="M643" s="1" cm="1">
        <f t="array" ref="M643">SUMPRODUCT(("SUP_WODBIOCCS"=[1]OUT_SyntheticFuels!$C$4:$C$1000)*1,("LTH"=[1]OUT_SyntheticFuels!$A$4:$A$1000)*1,("Var_Fout"=[1]OUT_SyntheticFuels!$B$4:$B$1000)*1,[1]OUT_SyntheticFuels!L$4:L$1000)</f>
        <v>4.4930342284096762E-5</v>
      </c>
      <c r="N643" s="1" cm="1">
        <f t="array" ref="N643">SUMPRODUCT(("SUP_WODBIOCCS"=[1]OUT_SyntheticFuels!$C$4:$C$1000)*1,("LTH"=[1]OUT_SyntheticFuels!$A$4:$A$1000)*1,("Var_Fout"=[1]OUT_SyntheticFuels!$B$4:$B$1000)*1,[1]OUT_SyntheticFuels!M$4:M$1000)</f>
        <v>4.7576172505759318E-5</v>
      </c>
      <c r="O643" s="1" cm="1">
        <f t="array" ref="O643">SUMPRODUCT(("SUP_WODBIOCCS"=[1]OUT_SyntheticFuels!$C$4:$C$1000)*1,("LTH"=[1]OUT_SyntheticFuels!$A$4:$A$1000)*1,("Var_Fout"=[1]OUT_SyntheticFuels!$B$4:$B$1000)*1,[1]OUT_SyntheticFuels!N$4:N$1000)</f>
        <v>4.4247523402910245E-5</v>
      </c>
      <c r="P643" s="1" cm="1">
        <f t="array" ref="P643">SUMPRODUCT(("SUP_WODBIOCCS"=[1]OUT_SyntheticFuels!$C$4:$C$1000)*1,("LTH"=[1]OUT_SyntheticFuels!$A$4:$A$1000)*1,("Var_Fout"=[1]OUT_SyntheticFuels!$B$4:$B$1000)*1,[1]OUT_SyntheticFuels!O$4:O$1000)</f>
        <v>4.3996374064062105E-5</v>
      </c>
      <c r="Q643" s="1" cm="1">
        <f t="array" ref="Q643">SUMPRODUCT(("SUP_WODBIOCCS"=[1]OUT_SyntheticFuels!$C$4:$C$1000)*1,("LTH"=[1]OUT_SyntheticFuels!$A$4:$A$1000)*1,("Var_Fout"=[1]OUT_SyntheticFuels!$B$4:$B$1000)*1,[1]OUT_SyntheticFuels!P$4:P$1000)</f>
        <v>7.2133492031796283E-5</v>
      </c>
      <c r="S643" s="3"/>
    </row>
    <row r="644" spans="2:19" x14ac:dyDescent="0.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13.477453123383475</v>
      </c>
      <c r="G644" s="3">
        <f t="shared" ref="G644" si="721">G645+G646+G651</f>
        <v>20.356397598472501</v>
      </c>
      <c r="H644" s="3">
        <f t="shared" ref="H644" si="722">H645+H646+H651</f>
        <v>22.432460637881192</v>
      </c>
      <c r="I644" s="3">
        <f t="shared" ref="I644" si="723">I645+I646+I651</f>
        <v>22.759303236958935</v>
      </c>
      <c r="J644" s="3">
        <f t="shared" ref="J644" si="724">J645+J646+J651</f>
        <v>22.738378801125101</v>
      </c>
      <c r="K644" s="3">
        <f t="shared" ref="K644" si="725">K645+K646+K651</f>
        <v>22.4629865101248</v>
      </c>
      <c r="L644" s="3">
        <f t="shared" ref="L644:O644" si="726">L645+L646+L651</f>
        <v>28.393746442803906</v>
      </c>
      <c r="M644" s="3">
        <f t="shared" si="726"/>
        <v>35.741325998660329</v>
      </c>
      <c r="N644" s="3">
        <f t="shared" si="726"/>
        <v>36.536476373815198</v>
      </c>
      <c r="O644" s="3">
        <f t="shared" si="726"/>
        <v>36.82357511906239</v>
      </c>
      <c r="P644" s="3">
        <f>P645+P646+P651</f>
        <v>37.110624070432351</v>
      </c>
      <c r="Q644" s="3">
        <f>Q645+Q646+Q651</f>
        <v>37.398591415826964</v>
      </c>
      <c r="S644" s="3"/>
    </row>
    <row r="645" spans="2:19" x14ac:dyDescent="0.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3.7980812744427261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10.104624498381034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12.540343482730803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12.540426352787197</v>
      </c>
      <c r="J645" s="1" cm="1">
        <f t="array" ref="J645">SUMPRODUCT(("SUP_MNRBIO"=[1]OUT_SyntheticFuels!$C$4:$C$1000)*1,("VAR_FIN"=[1]OUT_SyntheticFuels!$B$4:$B$1000)*1,("MNR"=[1]OUT_SyntheticFuels!$A$4:$A$1000)*1,[1]OUT_SyntheticFuels!I$4:I$1000)</f>
        <v>12.540427040899422</v>
      </c>
      <c r="K645" s="1" cm="1">
        <f t="array" ref="K645">SUMPRODUCT(("SUP_MNRBIO"=[1]OUT_SyntheticFuels!$C$4:$C$1000)*1,("VAR_FIN"=[1]OUT_SyntheticFuels!$B$4:$B$1000)*1,("MNR"=[1]OUT_SyntheticFuels!$A$4:$A$1000)*1,[1]OUT_SyntheticFuels!J$4:J$1000)</f>
        <v>12.541358602022685</v>
      </c>
      <c r="L645" s="1" cm="1">
        <f t="array" ref="L645">SUMPRODUCT(("SUP_MNRBIO"=[1]OUT_SyntheticFuels!$C$4:$C$1000)*1,("VAR_FIN"=[1]OUT_SyntheticFuels!$B$4:$B$1000)*1,("MNR"=[1]OUT_SyntheticFuels!$A$4:$A$1000)*1,[1]OUT_SyntheticFuels!K$4:K$1000)</f>
        <v>12.544035058279354</v>
      </c>
      <c r="M645" s="1" cm="1">
        <f t="array" ref="M645">SUMPRODUCT(("SUP_MNRBIO"=[1]OUT_SyntheticFuels!$C$4:$C$1000)*1,("VAR_FIN"=[1]OUT_SyntheticFuels!$B$4:$B$1000)*1,("MNR"=[1]OUT_SyntheticFuels!$A$4:$A$1000)*1,[1]OUT_SyntheticFuels!L$4:L$1000)</f>
        <v>18.811868762304623</v>
      </c>
      <c r="N645" s="1" cm="1">
        <f t="array" ref="N645">SUMPRODUCT(("SUP_MNRBIO"=[1]OUT_SyntheticFuels!$C$4:$C$1000)*1,("VAR_FIN"=[1]OUT_SyntheticFuels!$B$4:$B$1000)*1,("MNR"=[1]OUT_SyntheticFuels!$A$4:$A$1000)*1,[1]OUT_SyntheticFuels!M$4:M$1000)</f>
        <v>18.811870497092492</v>
      </c>
      <c r="O645" s="1" cm="1">
        <f t="array" ref="O645">SUMPRODUCT(("SUP_MNRBIO"=[1]OUT_SyntheticFuels!$C$4:$C$1000)*1,("VAR_FIN"=[1]OUT_SyntheticFuels!$B$4:$B$1000)*1,("MNR"=[1]OUT_SyntheticFuels!$A$4:$A$1000)*1,[1]OUT_SyntheticFuels!N$4:N$1000)</f>
        <v>18.811915777362934</v>
      </c>
      <c r="P645" s="1" cm="1">
        <f t="array" ref="P645">SUMPRODUCT(("SUP_MNRBIO"=[1]OUT_SyntheticFuels!$C$4:$C$1000)*1,("VAR_FIN"=[1]OUT_SyntheticFuels!$B$4:$B$1000)*1,("MNR"=[1]OUT_SyntheticFuels!$A$4:$A$1000)*1,[1]OUT_SyntheticFuels!O$4:O$1000)</f>
        <v>18.811920036107502</v>
      </c>
      <c r="Q645" s="1" cm="1">
        <f t="array" ref="Q645">SUMPRODUCT(("SUP_MNRBIO"=[1]OUT_SyntheticFuels!$C$4:$C$1000)*1,("VAR_FIN"=[1]OUT_SyntheticFuels!$B$4:$B$1000)*1,("MNR"=[1]OUT_SyntheticFuels!$A$4:$A$1000)*1,[1]OUT_SyntheticFuels!P$4:P$1000)</f>
        <v>18.812258139220646</v>
      </c>
      <c r="S645" s="3"/>
    </row>
    <row r="646" spans="2:19" x14ac:dyDescent="0.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9.6793718489407485</v>
      </c>
      <c r="G646" s="1">
        <f t="shared" ref="G646" si="727">SUM(G647:G650)</f>
        <v>10.251749507345712</v>
      </c>
      <c r="H646" s="1">
        <f t="shared" ref="H646" si="728">SUM(H647:H650)</f>
        <v>9.8920740370076761</v>
      </c>
      <c r="I646" s="1">
        <f t="shared" ref="I646" si="729">SUM(I647:I650)</f>
        <v>10.218266791422403</v>
      </c>
      <c r="J646" s="1">
        <f t="shared" ref="J646" si="730">SUM(J647:J650)</f>
        <v>10.197339967601359</v>
      </c>
      <c r="K646" s="1">
        <f t="shared" ref="K646" si="731">SUM(K647:K650)</f>
        <v>9.9209942110323013</v>
      </c>
      <c r="L646" s="1">
        <f t="shared" ref="L646:O646" si="732">SUM(L647:L650)</f>
        <v>15.849068143315062</v>
      </c>
      <c r="M646" s="1">
        <f t="shared" si="732"/>
        <v>16.928784279067386</v>
      </c>
      <c r="N646" s="1">
        <f t="shared" si="732"/>
        <v>17.723930674419879</v>
      </c>
      <c r="O646" s="1">
        <f t="shared" si="732"/>
        <v>18.010981523584167</v>
      </c>
      <c r="P646" s="1">
        <f>SUM(P647:P650)</f>
        <v>18.298024088324372</v>
      </c>
      <c r="Q646" s="1">
        <f>SUM(Q647:Q650)</f>
        <v>18.585050803333594</v>
      </c>
      <c r="S646" s="3"/>
    </row>
    <row r="647" spans="2:19" x14ac:dyDescent="0.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9.6793718489407485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10.251749507345712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9.8920740370076761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10.218266791422403</v>
      </c>
      <c r="J647" s="1" cm="1">
        <f t="array" ref="J647">SUMPRODUCT(("SUP_WSTBIO"=[1]OUT_SyntheticFuels!$C$4:$C$1000)*1,("CWST"=[1]OUT_SyntheticFuels!$A$4:$A$1000)*1,("VAR_FIN"=[1]OUT_SyntheticFuels!$B$4:$B$1000)*1,[1]OUT_SyntheticFuels!I$4:I$1000)</f>
        <v>10.197339967601359</v>
      </c>
      <c r="K647" s="1" cm="1">
        <f t="array" ref="K647">SUMPRODUCT(("SUP_WSTBIO"=[1]OUT_SyntheticFuels!$C$4:$C$1000)*1,("CWST"=[1]OUT_SyntheticFuels!$A$4:$A$1000)*1,("VAR_FIN"=[1]OUT_SyntheticFuels!$B$4:$B$1000)*1,[1]OUT_SyntheticFuels!J$4:J$1000)</f>
        <v>9.9207097377365177</v>
      </c>
      <c r="L647" s="1" cm="1">
        <f t="array" ref="L647">SUMPRODUCT(("SUP_WSTBIO"=[1]OUT_SyntheticFuels!$C$4:$C$1000)*1,("CWST"=[1]OUT_SyntheticFuels!$A$4:$A$1000)*1,("VAR_FIN"=[1]OUT_SyntheticFuels!$B$4:$B$1000)*1,[1]OUT_SyntheticFuels!K$4:K$1000)</f>
        <v>15.848683296849375</v>
      </c>
      <c r="M647" s="1" cm="1">
        <f t="array" ref="M647">SUMPRODUCT(("SUP_WSTBIO"=[1]OUT_SyntheticFuels!$C$4:$C$1000)*1,("CWST"=[1]OUT_SyntheticFuels!$A$4:$A$1000)*1,("VAR_FIN"=[1]OUT_SyntheticFuels!$B$4:$B$1000)*1,[1]OUT_SyntheticFuels!L$4:L$1000)</f>
        <v>16.927248213094423</v>
      </c>
      <c r="N647" s="1" cm="1">
        <f t="array" ref="N647">SUMPRODUCT(("SUP_WSTBIO"=[1]OUT_SyntheticFuels!$C$4:$C$1000)*1,("CWST"=[1]OUT_SyntheticFuels!$A$4:$A$1000)*1,("VAR_FIN"=[1]OUT_SyntheticFuels!$B$4:$B$1000)*1,[1]OUT_SyntheticFuels!M$4:M$1000)</f>
        <v>17.722452145938988</v>
      </c>
      <c r="O647" s="1" cm="1">
        <f t="array" ref="O647">SUMPRODUCT(("SUP_WSTBIO"=[1]OUT_SyntheticFuels!$C$4:$C$1000)*1,("CWST"=[1]OUT_SyntheticFuels!$A$4:$A$1000)*1,("VAR_FIN"=[1]OUT_SyntheticFuels!$B$4:$B$1000)*1,[1]OUT_SyntheticFuels!N$4:N$1000)</f>
        <v>18.009945911208472</v>
      </c>
      <c r="P647" s="1" cm="1">
        <f t="array" ref="P647">SUMPRODUCT(("SUP_WSTBIO"=[1]OUT_SyntheticFuels!$C$4:$C$1000)*1,("CWST"=[1]OUT_SyntheticFuels!$A$4:$A$1000)*1,("VAR_FIN"=[1]OUT_SyntheticFuels!$B$4:$B$1000)*1,[1]OUT_SyntheticFuels!O$4:O$1000)</f>
        <v>18.297005541807497</v>
      </c>
      <c r="Q647" s="1" cm="1">
        <f t="array" ref="Q647">SUMPRODUCT(("SUP_WSTBIO"=[1]OUT_SyntheticFuels!$C$4:$C$1000)*1,("CWST"=[1]OUT_SyntheticFuels!$A$4:$A$1000)*1,("VAR_FIN"=[1]OUT_SyntheticFuels!$B$4:$B$1000)*1,[1]OUT_SyntheticFuels!P$4:P$1000)</f>
        <v>18.583539890203781</v>
      </c>
      <c r="S647" s="3"/>
    </row>
    <row r="648" spans="2:19" x14ac:dyDescent="0.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SUMPRODUCT(("SUP_WSTBIOCCS"=[1]OUT_SyntheticFuels!$C$4:$C$1000)*1,("CWST"=[1]OUT_SyntheticFuels!$A$4:$A$1000)*1,("VAR_FIN"=[1]OUT_SyntheticFuels!$B$4:$B$1000)*1,[1]OUT_SyntheticFuels!I$4:I$1000)</f>
        <v>0</v>
      </c>
      <c r="K648" s="1" cm="1">
        <f t="array" ref="K648">SUMPRODUCT(("SUP_WSTBIOCCS"=[1]OUT_SyntheticFuels!$C$4:$C$1000)*1,("CWST"=[1]OUT_SyntheticFuels!$A$4:$A$1000)*1,("VAR_FIN"=[1]OUT_SyntheticFuels!$B$4:$B$1000)*1,[1]OUT_SyntheticFuels!J$4:J$1000)</f>
        <v>0</v>
      </c>
      <c r="L648" s="1" cm="1">
        <f t="array" ref="L648">SUMPRODUCT(("SUP_WSTBIOCCS"=[1]OUT_SyntheticFuels!$C$4:$C$1000)*1,("CWST"=[1]OUT_SyntheticFuels!$A$4:$A$1000)*1,("VAR_FIN"=[1]OUT_SyntheticFuels!$B$4:$B$1000)*1,[1]OUT_SyntheticFuels!K$4:K$1000)</f>
        <v>0</v>
      </c>
      <c r="M648" s="1" cm="1">
        <f t="array" ref="M648">SUMPRODUCT(("SUP_WSTBIOCCS"=[1]OUT_SyntheticFuels!$C$4:$C$1000)*1,("CWST"=[1]OUT_SyntheticFuels!$A$4:$A$1000)*1,("VAR_FIN"=[1]OUT_SyntheticFuels!$B$4:$B$1000)*1,[1]OUT_SyntheticFuels!L$4:L$1000)</f>
        <v>0</v>
      </c>
      <c r="N648" s="1" cm="1">
        <f t="array" ref="N648">SUMPRODUCT(("SUP_WSTBIOCCS"=[1]OUT_SyntheticFuels!$C$4:$C$1000)*1,("CWST"=[1]OUT_SyntheticFuels!$A$4:$A$1000)*1,("VAR_FIN"=[1]OUT_SyntheticFuels!$B$4:$B$1000)*1,[1]OUT_SyntheticFuels!M$4:M$1000)</f>
        <v>0</v>
      </c>
      <c r="O648" s="1" cm="1">
        <f t="array" ref="O648">SUMPRODUCT(("SUP_WSTBIOCCS"=[1]OUT_SyntheticFuels!$C$4:$C$1000)*1,("CWST"=[1]OUT_SyntheticFuels!$A$4:$A$1000)*1,("VAR_FIN"=[1]OUT_SyntheticFuels!$B$4:$B$1000)*1,[1]OUT_SyntheticFuels!N$4:N$1000)</f>
        <v>0</v>
      </c>
      <c r="P648" s="1" cm="1">
        <f t="array" ref="P648">SUMPRODUCT(("SUP_WSTBIOCCS"=[1]OUT_SyntheticFuels!$C$4:$C$1000)*1,("CWST"=[1]OUT_SyntheticFuels!$A$4:$A$1000)*1,("VAR_FIN"=[1]OUT_SyntheticFuels!$B$4:$B$1000)*1,[1]OUT_SyntheticFuels!O$4:O$1000)</f>
        <v>0</v>
      </c>
      <c r="Q648" s="1" cm="1">
        <f t="array" ref="Q648">SUMPRODUCT(("SUP_WSTBIOCCS"=[1]OUT_SyntheticFuels!$C$4:$C$1000)*1,("CWST"=[1]OUT_SyntheticFuels!$A$4:$A$1000)*1,("VAR_FIN"=[1]OUT_SyntheticFuels!$B$4:$B$1000)*1,[1]OUT_SyntheticFuels!P$4:P$1000)</f>
        <v>0</v>
      </c>
      <c r="S648" s="3"/>
    </row>
    <row r="649" spans="2:19" x14ac:dyDescent="0.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SUMPRODUCT(("SUP_WSTHTGBIO"=[1]OUT_SyntheticFuels!$C$4:$C$1000)*1,("CWST"=[1]OUT_SyntheticFuels!$A$4:$A$1000)*1,("VAR_FIN"=[1]OUT_SyntheticFuels!$B$4:$B$1000)*1,[1]OUT_SyntheticFuels!I$4:I$1000)</f>
        <v>0</v>
      </c>
      <c r="K649" s="1" cm="1">
        <f t="array" ref="K649">SUMPRODUCT(("SUP_WSTHTGBIO"=[1]OUT_SyntheticFuels!$C$4:$C$1000)*1,("CWST"=[1]OUT_SyntheticFuels!$A$4:$A$1000)*1,("VAR_FIN"=[1]OUT_SyntheticFuels!$B$4:$B$1000)*1,[1]OUT_SyntheticFuels!J$4:J$1000)</f>
        <v>2.2522690108395057E-4</v>
      </c>
      <c r="L649" s="1" cm="1">
        <f t="array" ref="L649">SUMPRODUCT(("SUP_WSTHTGBIO"=[1]OUT_SyntheticFuels!$C$4:$C$1000)*1,("CWST"=[1]OUT_SyntheticFuels!$A$4:$A$1000)*1,("VAR_FIN"=[1]OUT_SyntheticFuels!$B$4:$B$1000)*1,[1]OUT_SyntheticFuels!K$4:K$1000)</f>
        <v>3.0284596087165307E-4</v>
      </c>
      <c r="M649" s="1" cm="1">
        <f t="array" ref="M649">SUMPRODUCT(("SUP_WSTHTGBIO"=[1]OUT_SyntheticFuels!$C$4:$C$1000)*1,("CWST"=[1]OUT_SyntheticFuels!$A$4:$A$1000)*1,("VAR_FIN"=[1]OUT_SyntheticFuels!$B$4:$B$1000)*1,[1]OUT_SyntheticFuels!L$4:L$1000)</f>
        <v>9.7123196758443025E-4</v>
      </c>
      <c r="N649" s="1" cm="1">
        <f t="array" ref="N649">SUMPRODUCT(("SUP_WSTHTGBIO"=[1]OUT_SyntheticFuels!$C$4:$C$1000)*1,("CWST"=[1]OUT_SyntheticFuels!$A$4:$A$1000)*1,("VAR_FIN"=[1]OUT_SyntheticFuels!$B$4:$B$1000)*1,[1]OUT_SyntheticFuels!M$4:M$1000)</f>
        <v>9.1978315921639449E-4</v>
      </c>
      <c r="O649" s="1" cm="1">
        <f t="array" ref="O649">SUMPRODUCT(("SUP_WSTHTGBIO"=[1]OUT_SyntheticFuels!$C$4:$C$1000)*1,("CWST"=[1]OUT_SyntheticFuels!$A$4:$A$1000)*1,("VAR_FIN"=[1]OUT_SyntheticFuels!$B$4:$B$1000)*1,[1]OUT_SyntheticFuels!N$4:N$1000)</f>
        <v>6.2505716747086556E-4</v>
      </c>
      <c r="P649" s="1" cm="1">
        <f t="array" ref="P649">SUMPRODUCT(("SUP_WSTHTGBIO"=[1]OUT_SyntheticFuels!$C$4:$C$1000)*1,("CWST"=[1]OUT_SyntheticFuels!$A$4:$A$1000)*1,("VAR_FIN"=[1]OUT_SyntheticFuels!$B$4:$B$1000)*1,[1]OUT_SyntheticFuels!O$4:O$1000)</f>
        <v>5.8835052687227093E-4</v>
      </c>
      <c r="Q649" s="1" cm="1">
        <f t="array" ref="Q649">SUMPRODUCT(("SUP_WSTHTGBIO"=[1]OUT_SyntheticFuels!$C$4:$C$1000)*1,("CWST"=[1]OUT_SyntheticFuels!$A$4:$A$1000)*1,("VAR_FIN"=[1]OUT_SyntheticFuels!$B$4:$B$1000)*1,[1]OUT_SyntheticFuels!P$4:P$1000)</f>
        <v>1.0300685231510738E-3</v>
      </c>
      <c r="S649" s="3"/>
    </row>
    <row r="650" spans="2:19" x14ac:dyDescent="0.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SUMPRODUCT(("SUP_WSTHTGBIOCCS"=[1]OUT_SyntheticFuels!$C$4:$C$1000)*1,("CWST"=[1]OUT_SyntheticFuels!$A$4:$A$1000)*1,("VAR_FIN"=[1]OUT_SyntheticFuels!$B$4:$B$1000)*1,[1]OUT_SyntheticFuels!I$4:I$1000)</f>
        <v>0</v>
      </c>
      <c r="K650" s="1" cm="1">
        <f t="array" ref="K650">SUMPRODUCT(("SUP_WSTHTGBIOCCS"=[1]OUT_SyntheticFuels!$C$4:$C$1000)*1,("CWST"=[1]OUT_SyntheticFuels!$A$4:$A$1000)*1,("VAR_FIN"=[1]OUT_SyntheticFuels!$B$4:$B$1000)*1,[1]OUT_SyntheticFuels!J$4:J$1000)</f>
        <v>5.9246394699630965E-5</v>
      </c>
      <c r="L650" s="1" cm="1">
        <f t="array" ref="L650">SUMPRODUCT(("SUP_WSTHTGBIOCCS"=[1]OUT_SyntheticFuels!$C$4:$C$1000)*1,("CWST"=[1]OUT_SyntheticFuels!$A$4:$A$1000)*1,("VAR_FIN"=[1]OUT_SyntheticFuels!$B$4:$B$1000)*1,[1]OUT_SyntheticFuels!K$4:K$1000)</f>
        <v>8.2000504814709743E-5</v>
      </c>
      <c r="M650" s="1" cm="1">
        <f t="array" ref="M650">SUMPRODUCT(("SUP_WSTHTGBIOCCS"=[1]OUT_SyntheticFuels!$C$4:$C$1000)*1,("CWST"=[1]OUT_SyntheticFuels!$A$4:$A$1000)*1,("VAR_FIN"=[1]OUT_SyntheticFuels!$B$4:$B$1000)*1,[1]OUT_SyntheticFuels!L$4:L$1000)</f>
        <v>5.6483400538206573E-4</v>
      </c>
      <c r="N650" s="1" cm="1">
        <f t="array" ref="N650">SUMPRODUCT(("SUP_WSTHTGBIOCCS"=[1]OUT_SyntheticFuels!$C$4:$C$1000)*1,("CWST"=[1]OUT_SyntheticFuels!$A$4:$A$1000)*1,("VAR_FIN"=[1]OUT_SyntheticFuels!$B$4:$B$1000)*1,[1]OUT_SyntheticFuels!M$4:M$1000)</f>
        <v>5.5874532167668651E-4</v>
      </c>
      <c r="O650" s="1" cm="1">
        <f t="array" ref="O650">SUMPRODUCT(("SUP_WSTHTGBIOCCS"=[1]OUT_SyntheticFuels!$C$4:$C$1000)*1,("CWST"=[1]OUT_SyntheticFuels!$A$4:$A$1000)*1,("VAR_FIN"=[1]OUT_SyntheticFuels!$B$4:$B$1000)*1,[1]OUT_SyntheticFuels!N$4:N$1000)</f>
        <v>4.1055520822226024E-4</v>
      </c>
      <c r="P650" s="1" cm="1">
        <f t="array" ref="P650">SUMPRODUCT(("SUP_WSTHTGBIOCCS"=[1]OUT_SyntheticFuels!$C$4:$C$1000)*1,("CWST"=[1]OUT_SyntheticFuels!$A$4:$A$1000)*1,("VAR_FIN"=[1]OUT_SyntheticFuels!$B$4:$B$1000)*1,[1]OUT_SyntheticFuels!O$4:O$1000)</f>
        <v>4.3019599000237231E-4</v>
      </c>
      <c r="Q650" s="1" cm="1">
        <f t="array" ref="Q650">SUMPRODUCT(("SUP_WSTHTGBIOCCS"=[1]OUT_SyntheticFuels!$C$4:$C$1000)*1,("CWST"=[1]OUT_SyntheticFuels!$A$4:$A$1000)*1,("VAR_FIN"=[1]OUT_SyntheticFuels!$B$4:$B$1000)*1,[1]OUT_SyntheticFuels!P$4:P$1000)</f>
        <v>4.8084460666412699E-4</v>
      </c>
      <c r="S650" s="3"/>
    </row>
    <row r="651" spans="2:19" x14ac:dyDescent="0.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733">SUM(G652:G653)</f>
        <v>2.3592745755493468E-5</v>
      </c>
      <c r="H651" s="1">
        <f t="shared" ref="H651" si="734">SUM(H652:H653)</f>
        <v>4.311814271293674E-5</v>
      </c>
      <c r="I651" s="1">
        <f t="shared" ref="I651" si="735">SUM(I652:I653)</f>
        <v>6.1009274933432464E-4</v>
      </c>
      <c r="J651" s="1">
        <f t="shared" ref="J651" si="736">SUM(J652:J653)</f>
        <v>6.1179262431874861E-4</v>
      </c>
      <c r="K651" s="1">
        <f t="shared" ref="K651" si="737">SUM(K652:K653)</f>
        <v>6.3369706981517687E-4</v>
      </c>
      <c r="L651" s="1">
        <f t="shared" ref="L651:O651" si="738">SUM(L652:L653)</f>
        <v>6.4324120949316285E-4</v>
      </c>
      <c r="M651" s="1">
        <f t="shared" si="738"/>
        <v>6.7295728831251456E-4</v>
      </c>
      <c r="N651" s="1">
        <f t="shared" si="738"/>
        <v>6.7520230282530234E-4</v>
      </c>
      <c r="O651" s="1">
        <f t="shared" si="738"/>
        <v>6.7781811528244869E-4</v>
      </c>
      <c r="P651" s="1">
        <f>SUM(P652:P653)</f>
        <v>6.7994600047704946E-4</v>
      </c>
      <c r="Q651" s="1">
        <f>SUM(Q652:Q653)</f>
        <v>1.2824732727205182E-3</v>
      </c>
      <c r="S651" s="3"/>
    </row>
    <row r="652" spans="2:19" x14ac:dyDescent="0.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2.3592745755493468E-5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4.311814271293674E-5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6.1009274933432464E-4</v>
      </c>
      <c r="J652" s="1" cm="1">
        <f t="array" ref="J652">SUMPRODUCT(("SUP_WODBIO"=[1]OUT_SyntheticFuels!$C$4:$C$1000)*1,("CWOD"=[1]OUT_SyntheticFuels!$A$4:$A$1000)*1,("VAR_FIN"=[1]OUT_SyntheticFuels!$B$4:$B$1000)*1,[1]OUT_SyntheticFuels!I$4:I$1000)</f>
        <v>6.1179262431874861E-4</v>
      </c>
      <c r="K652" s="1" cm="1">
        <f t="array" ref="K652">SUMPRODUCT(("SUP_WODBIO"=[1]OUT_SyntheticFuels!$C$4:$C$1000)*1,("CWOD"=[1]OUT_SyntheticFuels!$A$4:$A$1000)*1,("VAR_FIN"=[1]OUT_SyntheticFuels!$B$4:$B$1000)*1,[1]OUT_SyntheticFuels!J$4:J$1000)</f>
        <v>4.3409148975318218E-4</v>
      </c>
      <c r="L652" s="1" cm="1">
        <f t="array" ref="L652">SUMPRODUCT(("SUP_WODBIO"=[1]OUT_SyntheticFuels!$C$4:$C$1000)*1,("CWOD"=[1]OUT_SyntheticFuels!$A$4:$A$1000)*1,("VAR_FIN"=[1]OUT_SyntheticFuels!$B$4:$B$1000)*1,[1]OUT_SyntheticFuels!K$4:K$1000)</f>
        <v>3.619761114417687E-4</v>
      </c>
      <c r="M652" s="1" cm="1">
        <f t="array" ref="M652">SUMPRODUCT(("SUP_WODBIO"=[1]OUT_SyntheticFuels!$C$4:$C$1000)*1,("CWOD"=[1]OUT_SyntheticFuels!$A$4:$A$1000)*1,("VAR_FIN"=[1]OUT_SyntheticFuels!$B$4:$B$1000)*1,[1]OUT_SyntheticFuels!L$4:L$1000)</f>
        <v>1.1811747189135246E-4</v>
      </c>
      <c r="N652" s="1" cm="1">
        <f t="array" ref="N652">SUMPRODUCT(("SUP_WODBIO"=[1]OUT_SyntheticFuels!$C$4:$C$1000)*1,("CWOD"=[1]OUT_SyntheticFuels!$A$4:$A$1000)*1,("VAR_FIN"=[1]OUT_SyntheticFuels!$B$4:$B$1000)*1,[1]OUT_SyntheticFuels!M$4:M$1000)</f>
        <v>8.664143436268086E-5</v>
      </c>
      <c r="O652" s="1" cm="1">
        <f t="array" ref="O652">SUMPRODUCT(("SUP_WODBIO"=[1]OUT_SyntheticFuels!$C$4:$C$1000)*1,("CWOD"=[1]OUT_SyntheticFuels!$A$4:$A$1000)*1,("VAR_FIN"=[1]OUT_SyntheticFuels!$B$4:$B$1000)*1,[1]OUT_SyntheticFuels!N$4:N$1000)</f>
        <v>1.3149361035808886E-4</v>
      </c>
      <c r="P652" s="1" cm="1">
        <f t="array" ref="P652">SUMPRODUCT(("SUP_WODBIO"=[1]OUT_SyntheticFuels!$C$4:$C$1000)*1,("CWOD"=[1]OUT_SyntheticFuels!$A$4:$A$1000)*1,("VAR_FIN"=[1]OUT_SyntheticFuels!$B$4:$B$1000)*1,[1]OUT_SyntheticFuels!O$4:O$1000)</f>
        <v>1.3413993510336529E-4</v>
      </c>
      <c r="Q652" s="1" cm="1">
        <f t="array" ref="Q652">SUMPRODUCT(("SUP_WODBIO"=[1]OUT_SyntheticFuels!$C$4:$C$1000)*1,("CWOD"=[1]OUT_SyntheticFuels!$A$4:$A$1000)*1,("VAR_FIN"=[1]OUT_SyntheticFuels!$B$4:$B$1000)*1,[1]OUT_SyntheticFuels!P$4:P$1000)</f>
        <v>3.890027514096861E-4</v>
      </c>
      <c r="S652" s="3"/>
    </row>
    <row r="653" spans="2:19" x14ac:dyDescent="0.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SUMPRODUCT(("SUP_WODBIOCCS"=[1]OUT_SyntheticFuels!$C$4:$C$1000)*1,("CWOD"=[1]OUT_SyntheticFuels!$A$4:$A$1000)*1,("VAR_FIN"=[1]OUT_SyntheticFuels!$B$4:$B$1000)*1,[1]OUT_SyntheticFuels!I$4:I$1000)</f>
        <v>0</v>
      </c>
      <c r="K653" s="1" cm="1">
        <f t="array" ref="K653">SUMPRODUCT(("SUP_WODBIOCCS"=[1]OUT_SyntheticFuels!$C$4:$C$1000)*1,("CWOD"=[1]OUT_SyntheticFuels!$A$4:$A$1000)*1,("VAR_FIN"=[1]OUT_SyntheticFuels!$B$4:$B$1000)*1,[1]OUT_SyntheticFuels!J$4:J$1000)</f>
        <v>1.9960558006199469E-4</v>
      </c>
      <c r="L653" s="1" cm="1">
        <f t="array" ref="L653">SUMPRODUCT(("SUP_WODBIOCCS"=[1]OUT_SyntheticFuels!$C$4:$C$1000)*1,("CWOD"=[1]OUT_SyntheticFuels!$A$4:$A$1000)*1,("VAR_FIN"=[1]OUT_SyntheticFuels!$B$4:$B$1000)*1,[1]OUT_SyntheticFuels!K$4:K$1000)</f>
        <v>2.8126509805139415E-4</v>
      </c>
      <c r="M653" s="1" cm="1">
        <f t="array" ref="M653">SUMPRODUCT(("SUP_WODBIOCCS"=[1]OUT_SyntheticFuels!$C$4:$C$1000)*1,("CWOD"=[1]OUT_SyntheticFuels!$A$4:$A$1000)*1,("VAR_FIN"=[1]OUT_SyntheticFuels!$B$4:$B$1000)*1,[1]OUT_SyntheticFuels!L$4:L$1000)</f>
        <v>5.5483981642116213E-4</v>
      </c>
      <c r="N653" s="1" cm="1">
        <f t="array" ref="N653">SUMPRODUCT(("SUP_WODBIOCCS"=[1]OUT_SyntheticFuels!$C$4:$C$1000)*1,("CWOD"=[1]OUT_SyntheticFuels!$A$4:$A$1000)*1,("VAR_FIN"=[1]OUT_SyntheticFuels!$B$4:$B$1000)*1,[1]OUT_SyntheticFuels!M$4:M$1000)</f>
        <v>5.8856086846262149E-4</v>
      </c>
      <c r="O653" s="1" cm="1">
        <f t="array" ref="O653">SUMPRODUCT(("SUP_WODBIOCCS"=[1]OUT_SyntheticFuels!$C$4:$C$1000)*1,("CWOD"=[1]OUT_SyntheticFuels!$A$4:$A$1000)*1,("VAR_FIN"=[1]OUT_SyntheticFuels!$B$4:$B$1000)*1,[1]OUT_SyntheticFuels!N$4:N$1000)</f>
        <v>5.4632450492435986E-4</v>
      </c>
      <c r="P653" s="1" cm="1">
        <f t="array" ref="P653">SUMPRODUCT(("SUP_WODBIOCCS"=[1]OUT_SyntheticFuels!$C$4:$C$1000)*1,("CWOD"=[1]OUT_SyntheticFuels!$A$4:$A$1000)*1,("VAR_FIN"=[1]OUT_SyntheticFuels!$B$4:$B$1000)*1,[1]OUT_SyntheticFuels!O$4:O$1000)</f>
        <v>5.4580606537368414E-4</v>
      </c>
      <c r="Q653" s="1" cm="1">
        <f t="array" ref="Q653">SUMPRODUCT(("SUP_WODBIOCCS"=[1]OUT_SyntheticFuels!$C$4:$C$1000)*1,("CWOD"=[1]OUT_SyntheticFuels!$A$4:$A$1000)*1,("VAR_FIN"=[1]OUT_SyntheticFuels!$B$4:$B$1000)*1,[1]OUT_SyntheticFuels!P$4:P$1000)</f>
        <v>8.9347052131083201E-4</v>
      </c>
      <c r="S653" s="3"/>
    </row>
    <row r="654" spans="2:19" x14ac:dyDescent="0.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M654" s="14" t="s">
        <v>292</v>
      </c>
      <c r="N654" s="14" t="s">
        <v>292</v>
      </c>
      <c r="O654" s="14" t="s">
        <v>292</v>
      </c>
      <c r="P654" s="14" t="s">
        <v>292</v>
      </c>
      <c r="Q654" s="14" t="s">
        <v>292</v>
      </c>
      <c r="S654" s="3"/>
    </row>
    <row r="655" spans="2:19" x14ac:dyDescent="0.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739">IFERROR(SUM(F635,F625,F615)/F645,"-")</f>
        <v>0.34965034965034991</v>
      </c>
      <c r="G655" s="4">
        <f t="shared" si="739"/>
        <v>0.34965034965034991</v>
      </c>
      <c r="H655" s="4">
        <f t="shared" si="739"/>
        <v>0.34965034965035025</v>
      </c>
      <c r="I655" s="4">
        <f t="shared" si="739"/>
        <v>0.34965034965035019</v>
      </c>
      <c r="J655" s="4">
        <f t="shared" si="739"/>
        <v>0.34965034965034986</v>
      </c>
      <c r="K655" s="4">
        <f t="shared" si="739"/>
        <v>0.34965034965035013</v>
      </c>
      <c r="L655" s="4">
        <f t="shared" ref="L655:O655" si="740">IFERROR(SUM(L635,L625,L615)/L645,"-")</f>
        <v>0.34965034965035019</v>
      </c>
      <c r="M655" s="4">
        <f t="shared" si="740"/>
        <v>0.3496503496503498</v>
      </c>
      <c r="N655" s="4">
        <f t="shared" si="740"/>
        <v>0.34965034965034986</v>
      </c>
      <c r="O655" s="4">
        <f t="shared" si="740"/>
        <v>0.34965034965034997</v>
      </c>
      <c r="P655" s="4">
        <f>IFERROR(SUM(P635,P625,P615)/P645,"-")</f>
        <v>0.34965034965035041</v>
      </c>
      <c r="Q655" s="4">
        <f>IFERROR(SUM(Q635,Q625,Q615)/Q645,"-")</f>
        <v>0.34965034965034997</v>
      </c>
      <c r="S655" s="3"/>
    </row>
    <row r="656" spans="2:19" x14ac:dyDescent="0.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741">IFERROR(SUM(F637,F627,F617)/F647,"-")</f>
        <v>0.59322033898305038</v>
      </c>
      <c r="G656" s="4">
        <f t="shared" si="741"/>
        <v>0.59322033898305093</v>
      </c>
      <c r="H656" s="4">
        <f t="shared" si="741"/>
        <v>0.59322033898305127</v>
      </c>
      <c r="I656" s="4">
        <f t="shared" si="741"/>
        <v>0.59322033898305182</v>
      </c>
      <c r="J656" s="4">
        <f t="shared" si="741"/>
        <v>0.59322033898305104</v>
      </c>
      <c r="K656" s="4">
        <f t="shared" si="741"/>
        <v>0.59322033898305082</v>
      </c>
      <c r="L656" s="4">
        <f t="shared" ref="L656:O656" si="742">IFERROR(SUM(L637,L627,L617)/L647,"-")</f>
        <v>0.59322033898305104</v>
      </c>
      <c r="M656" s="4">
        <f t="shared" si="742"/>
        <v>0.59322033898305071</v>
      </c>
      <c r="N656" s="4">
        <f t="shared" si="742"/>
        <v>0.59322033898305149</v>
      </c>
      <c r="O656" s="4">
        <f t="shared" si="742"/>
        <v>0.59322033898305027</v>
      </c>
      <c r="P656" s="4">
        <f t="shared" ref="P656:Q659" si="743">IFERROR(SUM(P637,P627,P617)/P647,"-")</f>
        <v>0.59322033898305093</v>
      </c>
      <c r="Q656" s="4">
        <f t="shared" si="743"/>
        <v>0.5932203389830516</v>
      </c>
      <c r="S656" s="3"/>
    </row>
    <row r="657" spans="2:19" x14ac:dyDescent="0.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741"/>
        <v>-</v>
      </c>
      <c r="G657" s="4" t="str">
        <f t="shared" si="741"/>
        <v>-</v>
      </c>
      <c r="H657" s="4" t="str">
        <f t="shared" si="741"/>
        <v>-</v>
      </c>
      <c r="I657" s="4" t="str">
        <f t="shared" si="741"/>
        <v>-</v>
      </c>
      <c r="J657" s="4" t="str">
        <f t="shared" si="741"/>
        <v>-</v>
      </c>
      <c r="K657" s="4" t="str">
        <f t="shared" si="741"/>
        <v>-</v>
      </c>
      <c r="L657" s="4" t="str">
        <f t="shared" ref="L657:O657" si="744">IFERROR(SUM(L638,L628,L618)/L648,"-")</f>
        <v>-</v>
      </c>
      <c r="M657" s="4" t="str">
        <f t="shared" si="744"/>
        <v>-</v>
      </c>
      <c r="N657" s="4" t="str">
        <f t="shared" si="744"/>
        <v>-</v>
      </c>
      <c r="O657" s="4" t="str">
        <f t="shared" si="744"/>
        <v>-</v>
      </c>
      <c r="P657" s="4" t="str">
        <f t="shared" si="743"/>
        <v>-</v>
      </c>
      <c r="Q657" s="4" t="str">
        <f t="shared" si="743"/>
        <v>-</v>
      </c>
      <c r="S657" s="3"/>
    </row>
    <row r="658" spans="2:19" x14ac:dyDescent="0.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741"/>
        <v>-</v>
      </c>
      <c r="G658" s="4" t="str">
        <f t="shared" si="741"/>
        <v>-</v>
      </c>
      <c r="H658" s="4" t="str">
        <f t="shared" si="741"/>
        <v>-</v>
      </c>
      <c r="I658" s="4" t="str">
        <f t="shared" si="741"/>
        <v>-</v>
      </c>
      <c r="J658" s="4" t="str">
        <f t="shared" si="741"/>
        <v>-</v>
      </c>
      <c r="K658" s="4">
        <f t="shared" si="741"/>
        <v>0.69999999999999973</v>
      </c>
      <c r="L658" s="4">
        <f t="shared" ref="L658:O658" si="745">IFERROR(SUM(L639,L629,L619)/L649,"-")</f>
        <v>0.70000000000000129</v>
      </c>
      <c r="M658" s="4">
        <f t="shared" si="745"/>
        <v>0.70000000000000051</v>
      </c>
      <c r="N658" s="4">
        <f t="shared" si="745"/>
        <v>0.70000000000000062</v>
      </c>
      <c r="O658" s="4">
        <f t="shared" si="745"/>
        <v>0.70000000000000007</v>
      </c>
      <c r="P658" s="4">
        <f t="shared" si="743"/>
        <v>0.70000000000000018</v>
      </c>
      <c r="Q658" s="4">
        <f t="shared" si="743"/>
        <v>0.69999999999999907</v>
      </c>
      <c r="S658" s="3"/>
    </row>
    <row r="659" spans="2:19" x14ac:dyDescent="0.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741"/>
        <v>-</v>
      </c>
      <c r="G659" s="4" t="str">
        <f t="shared" si="741"/>
        <v>-</v>
      </c>
      <c r="H659" s="4" t="str">
        <f t="shared" si="741"/>
        <v>-</v>
      </c>
      <c r="I659" s="4" t="str">
        <f t="shared" si="741"/>
        <v>-</v>
      </c>
      <c r="J659" s="4" t="str">
        <f t="shared" si="741"/>
        <v>-</v>
      </c>
      <c r="K659" s="4">
        <f t="shared" si="741"/>
        <v>0.63000000000000034</v>
      </c>
      <c r="L659" s="4">
        <f t="shared" ref="L659:O659" si="746">IFERROR(SUM(L640,L630,L620)/L650,"-")</f>
        <v>0.63000000000000078</v>
      </c>
      <c r="M659" s="4">
        <f t="shared" si="746"/>
        <v>0.63000000000000023</v>
      </c>
      <c r="N659" s="4">
        <f t="shared" si="746"/>
        <v>0.63000000000000023</v>
      </c>
      <c r="O659" s="4">
        <f t="shared" si="746"/>
        <v>0.62999999999999934</v>
      </c>
      <c r="P659" s="4">
        <f t="shared" si="743"/>
        <v>0.62999999999999967</v>
      </c>
      <c r="Q659" s="4">
        <f t="shared" si="743"/>
        <v>0.63000000000000045</v>
      </c>
      <c r="S659" s="3"/>
    </row>
    <row r="660" spans="2:19" x14ac:dyDescent="0.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47">IFERROR(SUM(F642,F632,F622)/F652,"-")</f>
        <v>-</v>
      </c>
      <c r="G660" s="4">
        <f t="shared" si="747"/>
        <v>0.74074074074074103</v>
      </c>
      <c r="H660" s="4">
        <f t="shared" si="747"/>
        <v>0.82962962962962994</v>
      </c>
      <c r="I660" s="4">
        <f t="shared" si="747"/>
        <v>0.85925925925925883</v>
      </c>
      <c r="J660" s="4">
        <f t="shared" si="747"/>
        <v>0.85925925925925895</v>
      </c>
      <c r="K660" s="4">
        <f t="shared" si="747"/>
        <v>0.85925925925925972</v>
      </c>
      <c r="L660" s="4">
        <f t="shared" ref="L660:O660" si="748">IFERROR(SUM(L642,L632,L622)/L652,"-")</f>
        <v>0.85924171632097146</v>
      </c>
      <c r="M660" s="4">
        <f t="shared" si="748"/>
        <v>0.84503184777015883</v>
      </c>
      <c r="N660" s="4">
        <f t="shared" si="748"/>
        <v>0.84439595550637803</v>
      </c>
      <c r="O660" s="4">
        <f t="shared" si="748"/>
        <v>0.85534945400286333</v>
      </c>
      <c r="P660" s="4">
        <f>IFERROR(SUM(P642,P632,P622)/P652,"-")</f>
        <v>0.8477896912411963</v>
      </c>
      <c r="Q660" s="4">
        <f>IFERROR(SUM(Q642,Q632,Q622)/Q652,"-")</f>
        <v>0.85925925925925795</v>
      </c>
      <c r="S660" s="3"/>
    </row>
    <row r="661" spans="2:19" x14ac:dyDescent="0.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47"/>
        <v>-</v>
      </c>
      <c r="G661" s="4" t="str">
        <f t="shared" si="747"/>
        <v>-</v>
      </c>
      <c r="H661" s="4" t="str">
        <f t="shared" si="747"/>
        <v>-</v>
      </c>
      <c r="I661" s="4" t="str">
        <f t="shared" si="747"/>
        <v>-</v>
      </c>
      <c r="J661" s="4" t="str">
        <f t="shared" si="747"/>
        <v>-</v>
      </c>
      <c r="K661" s="4">
        <f t="shared" si="747"/>
        <v>0.77897278029229766</v>
      </c>
      <c r="L661" s="4">
        <f t="shared" ref="L661:O661" si="749">IFERROR(SUM(L643,L633,L623)/L653,"-")</f>
        <v>0.77677341344185113</v>
      </c>
      <c r="M661" s="4">
        <f t="shared" si="749"/>
        <v>0.77712126008517435</v>
      </c>
      <c r="N661" s="4">
        <f t="shared" si="749"/>
        <v>0.77678645315939432</v>
      </c>
      <c r="O661" s="4">
        <f t="shared" si="749"/>
        <v>0.77714969569771741</v>
      </c>
      <c r="P661" s="4">
        <f>IFERROR(SUM(P643,P633,P623)/P653,"-")</f>
        <v>0.77474195506982435</v>
      </c>
      <c r="Q661" s="4">
        <f>IFERROR(SUM(Q643,Q633,Q623)/Q653,"-")</f>
        <v>0.77474195506982391</v>
      </c>
      <c r="S661" s="3"/>
    </row>
    <row r="662" spans="2:19" x14ac:dyDescent="0.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3.3783454752897733E-3</v>
      </c>
      <c r="G662" s="3">
        <f t="shared" ref="G662:K662" si="750">SUM(G663,G667,G676)</f>
        <v>4.7410420229986672E-3</v>
      </c>
      <c r="H662" s="3">
        <f t="shared" si="750"/>
        <v>4.7457173590093093E-3</v>
      </c>
      <c r="I662" s="3">
        <f t="shared" si="750"/>
        <v>3.0413008457113415E-2</v>
      </c>
      <c r="J662" s="3">
        <f t="shared" si="750"/>
        <v>11.462159639535711</v>
      </c>
      <c r="K662" s="3">
        <f t="shared" si="750"/>
        <v>11.462161185228684</v>
      </c>
      <c r="L662" s="3">
        <f t="shared" ref="L662:O662" si="751">SUM(L663,L667,L676)</f>
        <v>11.462164927503974</v>
      </c>
      <c r="M662" s="3">
        <f t="shared" si="751"/>
        <v>19.065602718510839</v>
      </c>
      <c r="N662" s="3">
        <f t="shared" si="751"/>
        <v>22.883121431760372</v>
      </c>
      <c r="O662" s="3">
        <f t="shared" si="751"/>
        <v>29.083709530801173</v>
      </c>
      <c r="P662" s="3">
        <f>SUM(P663,P667,P676)</f>
        <v>31.813878046804184</v>
      </c>
      <c r="Q662" s="3">
        <f>SUM(Q663,Q667,Q676)</f>
        <v>31.942284489314552</v>
      </c>
      <c r="S662" s="3"/>
    </row>
    <row r="663" spans="2:19" x14ac:dyDescent="0.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3.3783454752897733E-3</v>
      </c>
      <c r="G663" s="1">
        <f>[1]Other_transformation!C$28</f>
        <v>4.7410420229986672E-3</v>
      </c>
      <c r="H663" s="1">
        <f>[1]Other_transformation!D$28</f>
        <v>4.7457173590093093E-3</v>
      </c>
      <c r="I663" s="1">
        <f>[1]Other_transformation!E$28</f>
        <v>3.0413008457113415E-2</v>
      </c>
      <c r="J663" s="1">
        <f>[1]Other_transformation!F$28</f>
        <v>11.462159639535711</v>
      </c>
      <c r="K663" s="1">
        <f>[1]Other_transformation!G$28</f>
        <v>11.462161185228684</v>
      </c>
      <c r="L663" s="1">
        <f>[1]Other_transformation!H$28</f>
        <v>11.462164927503974</v>
      </c>
      <c r="M663" s="1">
        <f>[1]Other_transformation!I$28</f>
        <v>16.86069123267033</v>
      </c>
      <c r="N663" s="1">
        <f>[1]Other_transformation!J$28</f>
        <v>17.338060740939476</v>
      </c>
      <c r="O663" s="1">
        <f>[1]Other_transformation!K$28</f>
        <v>23.538654503021473</v>
      </c>
      <c r="P663" s="1">
        <f>[1]Other_transformation!L$28</f>
        <v>25.723640692880789</v>
      </c>
      <c r="Q663" s="1">
        <f>[1]Other_transformation!M$28</f>
        <v>25.830358517105942</v>
      </c>
      <c r="S663" s="3"/>
    </row>
    <row r="664" spans="2:19" x14ac:dyDescent="0.5">
      <c r="B664" t="str">
        <f t="shared" ref="B664:B675" si="752">B663</f>
        <v>SPS1</v>
      </c>
      <c r="C664" t="str">
        <f t="shared" ref="C664:C675" si="753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3.3783454752897733E-3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4.7410420229986672E-3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4.7457173590093093E-3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3.0412400769226397E-2</v>
      </c>
      <c r="J664" s="1" cm="1">
        <f t="array" ref="J664">SUMPRODUCT(("SUP_ELCH2"=[1]OUT_SyntheticFuels!$C$4:$C$1000)*1,ISNUMBER(SEARCH("h2",[1]OUT_SyntheticFuels!$A$4:$A$1000))*1,("Var_Fout"=[1]OUT_SyntheticFuels!$B$4:$B$1000)*1,[1]OUT_SyntheticFuels!I$4:I$1000)</f>
        <v>11.462043696483491</v>
      </c>
      <c r="K664" s="1" cm="1">
        <f t="array" ref="K664">SUMPRODUCT(("SUP_ELCH2"=[1]OUT_SyntheticFuels!$C$4:$C$1000)*1,ISNUMBER(SEARCH("h2",[1]OUT_SyntheticFuels!$A$4:$A$1000))*1,("Var_Fout"=[1]OUT_SyntheticFuels!$B$4:$B$1000)*1,[1]OUT_SyntheticFuels!J$4:J$1000)</f>
        <v>11.459049516678011</v>
      </c>
      <c r="L664" s="1" cm="1">
        <f t="array" ref="L664">SUMPRODUCT(("SUP_ELCH2"=[1]OUT_SyntheticFuels!$C$4:$C$1000)*1,ISNUMBER(SEARCH("h2",[1]OUT_SyntheticFuels!$A$4:$A$1000))*1,("Var_Fout"=[1]OUT_SyntheticFuels!$B$4:$B$1000)*1,[1]OUT_SyntheticFuels!K$4:K$1000)</f>
        <v>11.457456216240415</v>
      </c>
      <c r="M664" s="1" cm="1">
        <f t="array" ref="M664">SUMPRODUCT(("SUP_ELCH2"=[1]OUT_SyntheticFuels!$C$4:$C$1000)*1,ISNUMBER(SEARCH("h2",[1]OUT_SyntheticFuels!$A$4:$A$1000))*1,("Var_Fout"=[1]OUT_SyntheticFuels!$B$4:$B$1000)*1,[1]OUT_SyntheticFuels!L$4:L$1000)</f>
        <v>16.857360410930525</v>
      </c>
      <c r="N664" s="1" cm="1">
        <f t="array" ref="N664">SUMPRODUCT(("SUP_ELCH2"=[1]OUT_SyntheticFuels!$C$4:$C$1000)*1,ISNUMBER(SEARCH("h2",[1]OUT_SyntheticFuels!$A$4:$A$1000))*1,("Var_Fout"=[1]OUT_SyntheticFuels!$B$4:$B$1000)*1,[1]OUT_SyntheticFuels!M$4:M$1000)</f>
        <v>17.335835189813483</v>
      </c>
      <c r="O664" s="1" cm="1">
        <f t="array" ref="O664">SUMPRODUCT(("SUP_ELCH2"=[1]OUT_SyntheticFuels!$C$4:$C$1000)*1,ISNUMBER(SEARCH("h2",[1]OUT_SyntheticFuels!$A$4:$A$1000))*1,("Var_Fout"=[1]OUT_SyntheticFuels!$B$4:$B$1000)*1,[1]OUT_SyntheticFuels!N$4:N$1000)</f>
        <v>23.535832145440317</v>
      </c>
      <c r="P664" s="1" cm="1">
        <f t="array" ref="P664">SUMPRODUCT(("SUP_ELCH2"=[1]OUT_SyntheticFuels!$C$4:$C$1000)*1,ISNUMBER(SEARCH("h2",[1]OUT_SyntheticFuels!$A$4:$A$1000))*1,("Var_Fout"=[1]OUT_SyntheticFuels!$B$4:$B$1000)*1,[1]OUT_SyntheticFuels!O$4:O$1000)</f>
        <v>25.72072377057674</v>
      </c>
      <c r="Q664" s="1" cm="1">
        <f t="array" ref="Q664">SUMPRODUCT(("SUP_ELCH2"=[1]OUT_SyntheticFuels!$C$4:$C$1000)*1,ISNUMBER(SEARCH("h2",[1]OUT_SyntheticFuels!$A$4:$A$1000))*1,("Var_Fout"=[1]OUT_SyntheticFuels!$B$4:$B$1000)*1,[1]OUT_SyntheticFuels!P$4:P$1000)</f>
        <v>25.825227381265755</v>
      </c>
      <c r="S664" s="3"/>
    </row>
    <row r="665" spans="2:19" x14ac:dyDescent="0.5">
      <c r="B665" t="str">
        <f t="shared" ref="B665" si="754">B664</f>
        <v>SPS1</v>
      </c>
      <c r="C665" t="str">
        <f t="shared" ref="C665" si="755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6.0768788701806967E-7</v>
      </c>
      <c r="J665" s="1" cm="1">
        <f t="array" ref="J665">SUMPRODUCT(("SUP_ELCH2_D"=[1]OUT_SyntheticFuels!$C$4:$C$1000)*1,ISNUMBER(SEARCH("h2",[1]OUT_SyntheticFuels!$A$4:$A$1000))*1,("Var_Fout"=[1]OUT_SyntheticFuels!$B$4:$B$1000)*1,[1]OUT_SyntheticFuels!I$4:I$1000)</f>
        <v>1.1594305222038685E-4</v>
      </c>
      <c r="K665" s="1" cm="1">
        <f t="array" ref="K665">SUMPRODUCT(("SUP_ELCH2_D"=[1]OUT_SyntheticFuels!$C$4:$C$1000)*1,ISNUMBER(SEARCH("h2",[1]OUT_SyntheticFuels!$A$4:$A$1000))*1,("Var_Fout"=[1]OUT_SyntheticFuels!$B$4:$B$1000)*1,[1]OUT_SyntheticFuels!J$4:J$1000)</f>
        <v>4.1864380473759439E-4</v>
      </c>
      <c r="L665" s="1" cm="1">
        <f t="array" ref="L665">SUMPRODUCT(("SUP_ELCH2_D"=[1]OUT_SyntheticFuels!$C$4:$C$1000)*1,ISNUMBER(SEARCH("h2",[1]OUT_SyntheticFuels!$A$4:$A$1000))*1,("Var_Fout"=[1]OUT_SyntheticFuels!$B$4:$B$1000)*1,[1]OUT_SyntheticFuels!K$4:K$1000)</f>
        <v>5.8899327361740315E-4</v>
      </c>
      <c r="M665" s="1" cm="1">
        <f t="array" ref="M665">SUMPRODUCT(("SUP_ELCH2_D"=[1]OUT_SyntheticFuels!$C$4:$C$1000)*1,ISNUMBER(SEARCH("h2",[1]OUT_SyntheticFuels!$A$4:$A$1000))*1,("Var_Fout"=[1]OUT_SyntheticFuels!$B$4:$B$1000)*1,[1]OUT_SyntheticFuels!L$4:L$1000)</f>
        <v>6.124129313845848E-4</v>
      </c>
      <c r="N665" s="1" cm="1">
        <f t="array" ref="N665">SUMPRODUCT(("SUP_ELCH2_D"=[1]OUT_SyntheticFuels!$C$4:$C$1000)*1,ISNUMBER(SEARCH("h2",[1]OUT_SyntheticFuels!$A$4:$A$1000))*1,("Var_Fout"=[1]OUT_SyntheticFuels!$B$4:$B$1000)*1,[1]OUT_SyntheticFuels!M$4:M$1000)</f>
        <v>6.1354274304232181E-4</v>
      </c>
      <c r="O665" s="1" cm="1">
        <f t="array" ref="O665">SUMPRODUCT(("SUP_ELCH2_D"=[1]OUT_SyntheticFuels!$C$4:$C$1000)*1,ISNUMBER(SEARCH("h2",[1]OUT_SyntheticFuels!$A$4:$A$1000))*1,("Var_Fout"=[1]OUT_SyntheticFuels!$B$4:$B$1000)*1,[1]OUT_SyntheticFuels!N$4:N$1000)</f>
        <v>6.2056259726280417E-4</v>
      </c>
      <c r="P665" s="1" cm="1">
        <f t="array" ref="P665">SUMPRODUCT(("SUP_ELCH2_D"=[1]OUT_SyntheticFuels!$C$4:$C$1000)*1,ISNUMBER(SEARCH("h2",[1]OUT_SyntheticFuels!$A$4:$A$1000))*1,("Var_Fout"=[1]OUT_SyntheticFuels!$B$4:$B$1000)*1,[1]OUT_SyntheticFuels!O$4:O$1000)</f>
        <v>4.7834154501412229E-4</v>
      </c>
      <c r="Q665" s="1" cm="1">
        <f t="array" ref="Q665">SUMPRODUCT(("SUP_ELCH2_D"=[1]OUT_SyntheticFuels!$C$4:$C$1000)*1,ISNUMBER(SEARCH("h2",[1]OUT_SyntheticFuels!$A$4:$A$1000))*1,("Var_Fout"=[1]OUT_SyntheticFuels!$B$4:$B$1000)*1,[1]OUT_SyntheticFuels!P$4:P$1000)</f>
        <v>6.1460520543669267E-4</v>
      </c>
      <c r="S665" s="3"/>
    </row>
    <row r="666" spans="2:19" x14ac:dyDescent="0.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SUMPRODUCT(("SUP_ELCH2_SOEC"=[1]OUT_SyntheticFuels!$C$4:$C$1000)*1,ISNUMBER(SEARCH("H2",[1]OUT_SyntheticFuels!$A$4:$A$1000))*1,("Var_Fout"=[1]OUT_SyntheticFuels!$B$4:$B$1000)*1,[1]OUT_SyntheticFuels!I$4:I$1000)</f>
        <v>0</v>
      </c>
      <c r="K666" s="1" cm="1">
        <f t="array" ref="K666">SUMPRODUCT(("SUP_ELCH2_SOEC"=[1]OUT_SyntheticFuels!$C$4:$C$1000)*1,ISNUMBER(SEARCH("H2",[1]OUT_SyntheticFuels!$A$4:$A$1000))*1,("Var_Fout"=[1]OUT_SyntheticFuels!$B$4:$B$1000)*1,[1]OUT_SyntheticFuels!J$4:J$1000)</f>
        <v>2.6930247459350568E-3</v>
      </c>
      <c r="L666" s="1" cm="1">
        <f t="array" ref="L666">SUMPRODUCT(("SUP_ELCH2_SOEC"=[1]OUT_SyntheticFuels!$C$4:$C$1000)*1,ISNUMBER(SEARCH("H2",[1]OUT_SyntheticFuels!$A$4:$A$1000))*1,("Var_Fout"=[1]OUT_SyntheticFuels!$B$4:$B$1000)*1,[1]OUT_SyntheticFuels!K$4:K$1000)</f>
        <v>4.1197179899411848E-3</v>
      </c>
      <c r="M666" s="1" cm="1">
        <f t="array" ref="M666">SUMPRODUCT(("SUP_ELCH2_SOEC"=[1]OUT_SyntheticFuels!$C$4:$C$1000)*1,ISNUMBER(SEARCH("H2",[1]OUT_SyntheticFuels!$A$4:$A$1000))*1,("Var_Fout"=[1]OUT_SyntheticFuels!$B$4:$B$1000)*1,[1]OUT_SyntheticFuels!L$4:L$1000)</f>
        <v>2.7184088084202451E-3</v>
      </c>
      <c r="N666" s="1" cm="1">
        <f t="array" ref="N666">SUMPRODUCT(("SUP_ELCH2_SOEC"=[1]OUT_SyntheticFuels!$C$4:$C$1000)*1,ISNUMBER(SEARCH("H2",[1]OUT_SyntheticFuels!$A$4:$A$1000))*1,("Var_Fout"=[1]OUT_SyntheticFuels!$B$4:$B$1000)*1,[1]OUT_SyntheticFuels!M$4:M$1000)</f>
        <v>1.6120083829511841E-3</v>
      </c>
      <c r="O666" s="1" cm="1">
        <f t="array" ref="O666">SUMPRODUCT(("SUP_ELCH2_SOEC"=[1]OUT_SyntheticFuels!$C$4:$C$1000)*1,ISNUMBER(SEARCH("H2",[1]OUT_SyntheticFuels!$A$4:$A$1000))*1,("Var_Fout"=[1]OUT_SyntheticFuels!$B$4:$B$1000)*1,[1]OUT_SyntheticFuels!N$4:N$1000)</f>
        <v>2.2017949838918941E-3</v>
      </c>
      <c r="P666" s="1" cm="1">
        <f t="array" ref="P666">SUMPRODUCT(("SUP_ELCH2_SOEC"=[1]OUT_SyntheticFuels!$C$4:$C$1000)*1,ISNUMBER(SEARCH("H2",[1]OUT_SyntheticFuels!$A$4:$A$1000))*1,("Var_Fout"=[1]OUT_SyntheticFuels!$B$4:$B$1000)*1,[1]OUT_SyntheticFuels!O$4:O$1000)</f>
        <v>2.4385807590360715E-3</v>
      </c>
      <c r="Q666" s="1" cm="1">
        <f t="array" ref="Q666">SUMPRODUCT(("SUP_ELCH2_SOEC"=[1]OUT_SyntheticFuels!$C$4:$C$1000)*1,ISNUMBER(SEARCH("H2",[1]OUT_SyntheticFuels!$A$4:$A$1000))*1,("Var_Fout"=[1]OUT_SyntheticFuels!$B$4:$B$1000)*1,[1]OUT_SyntheticFuels!P$4:P$1000)</f>
        <v>4.5165306347512207E-3</v>
      </c>
      <c r="S666" s="3"/>
    </row>
    <row r="667" spans="2:19" x14ac:dyDescent="0.5">
      <c r="B667" t="str">
        <f t="shared" si="752"/>
        <v>SPS1</v>
      </c>
      <c r="C667" t="str">
        <f t="shared" si="753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SUM([1]Other_transformation!F$29:F$30)</f>
        <v>0</v>
      </c>
      <c r="K667" s="1">
        <f>SUM([1]Other_transformation!G$29:G$30)</f>
        <v>0</v>
      </c>
      <c r="L667" s="1">
        <f>SUM([1]Other_transformation!H$29:H$30)</f>
        <v>0</v>
      </c>
      <c r="M667" s="1">
        <f>SUM([1]Other_transformation!I$29:I$30)</f>
        <v>8.4783343777376308E-5</v>
      </c>
      <c r="N667" s="1">
        <f>SUM([1]Other_transformation!J$29:J$30)</f>
        <v>8.2301417400736083E-5</v>
      </c>
      <c r="O667" s="1">
        <f>SUM([1]Other_transformation!K$29:K$30)</f>
        <v>9.2163348348709787E-5</v>
      </c>
      <c r="P667" s="1">
        <f>SUM([1]Other_transformation!L$29:L$30)</f>
        <v>9.7856296808318299E-5</v>
      </c>
      <c r="Q667" s="1">
        <f>SUM([1]Other_transformation!M$29:M$30)</f>
        <v>1.671566942900687E-4</v>
      </c>
      <c r="S667" s="3"/>
    </row>
    <row r="668" spans="2:19" x14ac:dyDescent="0.5">
      <c r="B668" t="str">
        <f t="shared" si="752"/>
        <v>SPS1</v>
      </c>
      <c r="C668" t="str">
        <f t="shared" si="753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[1]Other_transformation!F$29</f>
        <v>0</v>
      </c>
      <c r="K668" s="1">
        <f>[1]Other_transformation!G$29</f>
        <v>0</v>
      </c>
      <c r="L668" s="1">
        <f>[1]Other_transformation!H$29</f>
        <v>0</v>
      </c>
      <c r="M668" s="1">
        <f>[1]Other_transformation!I$29</f>
        <v>3.5470236155387628E-5</v>
      </c>
      <c r="N668" s="1">
        <f>[1]Other_transformation!J$29</f>
        <v>2.4723690506031368E-5</v>
      </c>
      <c r="O668" s="1">
        <f>[1]Other_transformation!K$29</f>
        <v>3.9783900265529844E-5</v>
      </c>
      <c r="P668" s="1">
        <f>[1]Other_transformation!L$29</f>
        <v>3.5226643208650273E-5</v>
      </c>
      <c r="Q668" s="1">
        <f>[1]Other_transformation!M$29</f>
        <v>7.6202497930124324E-5</v>
      </c>
      <c r="S668" s="3"/>
    </row>
    <row r="669" spans="2:19" x14ac:dyDescent="0.5">
      <c r="B669" t="str">
        <f t="shared" si="752"/>
        <v>SPS1</v>
      </c>
      <c r="C669" t="str">
        <f t="shared" si="753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[1]Other_transformation!F$30</f>
        <v>0</v>
      </c>
      <c r="K669" s="1">
        <f>[1]Other_transformation!G$30</f>
        <v>0</v>
      </c>
      <c r="L669" s="1">
        <f>[1]Other_transformation!H$30</f>
        <v>0</v>
      </c>
      <c r="M669" s="1">
        <f>[1]Other_transformation!I$30</f>
        <v>4.931310762198868E-5</v>
      </c>
      <c r="N669" s="1">
        <f>[1]Other_transformation!J$30</f>
        <v>5.7577726894704714E-5</v>
      </c>
      <c r="O669" s="1">
        <f>[1]Other_transformation!K$30</f>
        <v>5.2379448083179943E-5</v>
      </c>
      <c r="P669" s="1">
        <f>[1]Other_transformation!L$30</f>
        <v>6.2629653599668026E-5</v>
      </c>
      <c r="Q669" s="1">
        <f>[1]Other_transformation!M$30</f>
        <v>9.0954196359944374E-5</v>
      </c>
      <c r="S669" s="3"/>
    </row>
    <row r="670" spans="2:19" x14ac:dyDescent="0.5">
      <c r="B670" t="str">
        <f t="shared" si="752"/>
        <v>SPS1</v>
      </c>
      <c r="C670" t="str">
        <f t="shared" si="753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56">G667-G673</f>
        <v>0</v>
      </c>
      <c r="H670" s="1">
        <f t="shared" si="756"/>
        <v>0</v>
      </c>
      <c r="I670" s="1">
        <f t="shared" si="756"/>
        <v>0</v>
      </c>
      <c r="J670" s="1">
        <f t="shared" si="756"/>
        <v>0</v>
      </c>
      <c r="K670" s="1">
        <f t="shared" si="756"/>
        <v>0</v>
      </c>
      <c r="L670" s="1">
        <f t="shared" ref="L670:O670" si="757">L667-L673</f>
        <v>0</v>
      </c>
      <c r="M670" s="1">
        <f t="shared" si="757"/>
        <v>0</v>
      </c>
      <c r="N670" s="1">
        <f t="shared" si="757"/>
        <v>0</v>
      </c>
      <c r="O670" s="1">
        <f t="shared" si="757"/>
        <v>0</v>
      </c>
      <c r="P670" s="1">
        <f t="shared" ref="P670:Q672" si="758">P667-P673</f>
        <v>0</v>
      </c>
      <c r="Q670" s="1">
        <f t="shared" si="758"/>
        <v>0</v>
      </c>
      <c r="S670" s="3"/>
    </row>
    <row r="671" spans="2:19" x14ac:dyDescent="0.5">
      <c r="B671" t="str">
        <f t="shared" si="752"/>
        <v>SPS1</v>
      </c>
      <c r="C671" t="str">
        <f t="shared" si="753"/>
        <v>CH</v>
      </c>
      <c r="D671" t="s">
        <v>607</v>
      </c>
      <c r="E671" s="5" t="s">
        <v>8</v>
      </c>
      <c r="F671" s="1">
        <f t="shared" ref="F671:K671" si="759">F668-F674</f>
        <v>0</v>
      </c>
      <c r="G671" s="1">
        <f t="shared" si="759"/>
        <v>0</v>
      </c>
      <c r="H671" s="1">
        <f t="shared" si="759"/>
        <v>0</v>
      </c>
      <c r="I671" s="1">
        <f t="shared" si="759"/>
        <v>0</v>
      </c>
      <c r="J671" s="1">
        <f t="shared" si="759"/>
        <v>0</v>
      </c>
      <c r="K671" s="1">
        <f t="shared" si="759"/>
        <v>0</v>
      </c>
      <c r="L671" s="1">
        <f t="shared" ref="L671:O671" si="760">L668-L674</f>
        <v>0</v>
      </c>
      <c r="M671" s="1">
        <f t="shared" si="760"/>
        <v>0</v>
      </c>
      <c r="N671" s="1">
        <f t="shared" si="760"/>
        <v>0</v>
      </c>
      <c r="O671" s="1">
        <f t="shared" si="760"/>
        <v>0</v>
      </c>
      <c r="P671" s="1">
        <f t="shared" si="758"/>
        <v>0</v>
      </c>
      <c r="Q671" s="1">
        <f t="shared" si="758"/>
        <v>0</v>
      </c>
      <c r="S671" s="3"/>
    </row>
    <row r="672" spans="2:19" x14ac:dyDescent="0.5">
      <c r="B672" t="str">
        <f t="shared" si="752"/>
        <v>SPS1</v>
      </c>
      <c r="C672" t="str">
        <f t="shared" si="753"/>
        <v>CH</v>
      </c>
      <c r="D672" t="s">
        <v>608</v>
      </c>
      <c r="E672" s="5" t="s">
        <v>8</v>
      </c>
      <c r="F672" s="1">
        <f t="shared" ref="F672:K672" si="761">F669-F675</f>
        <v>0</v>
      </c>
      <c r="G672" s="1">
        <f t="shared" si="761"/>
        <v>0</v>
      </c>
      <c r="H672" s="1">
        <f t="shared" si="761"/>
        <v>0</v>
      </c>
      <c r="I672" s="1">
        <f t="shared" si="761"/>
        <v>0</v>
      </c>
      <c r="J672" s="1">
        <f t="shared" si="761"/>
        <v>0</v>
      </c>
      <c r="K672" s="1">
        <f t="shared" si="761"/>
        <v>0</v>
      </c>
      <c r="L672" s="1">
        <f t="shared" ref="L672:O672" si="762">L669-L675</f>
        <v>0</v>
      </c>
      <c r="M672" s="1">
        <f t="shared" si="762"/>
        <v>0</v>
      </c>
      <c r="N672" s="1">
        <f t="shared" si="762"/>
        <v>0</v>
      </c>
      <c r="O672" s="1">
        <f t="shared" si="762"/>
        <v>0</v>
      </c>
      <c r="P672" s="1">
        <f t="shared" si="758"/>
        <v>0</v>
      </c>
      <c r="Q672" s="1">
        <f t="shared" si="758"/>
        <v>0</v>
      </c>
      <c r="S672" s="3"/>
    </row>
    <row r="673" spans="2:19" x14ac:dyDescent="0.5">
      <c r="B673" t="str">
        <f t="shared" si="752"/>
        <v>SPS1</v>
      </c>
      <c r="C673" t="str">
        <f t="shared" si="753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63">SUM(G674:G675)</f>
        <v>0</v>
      </c>
      <c r="H673" s="1">
        <f t="shared" si="763"/>
        <v>0</v>
      </c>
      <c r="I673" s="1">
        <f t="shared" si="763"/>
        <v>0</v>
      </c>
      <c r="J673" s="1">
        <f t="shared" si="763"/>
        <v>0</v>
      </c>
      <c r="K673" s="1">
        <f t="shared" si="763"/>
        <v>0</v>
      </c>
      <c r="L673" s="1">
        <f t="shared" ref="L673:O673" si="764">SUM(L674:L675)</f>
        <v>0</v>
      </c>
      <c r="M673" s="1">
        <f t="shared" si="764"/>
        <v>8.4783343777376308E-5</v>
      </c>
      <c r="N673" s="1">
        <f t="shared" si="764"/>
        <v>8.2301417400736083E-5</v>
      </c>
      <c r="O673" s="1">
        <f t="shared" si="764"/>
        <v>9.2163348348709787E-5</v>
      </c>
      <c r="P673" s="1">
        <f>SUM(P674:P675)</f>
        <v>9.7856296808318299E-5</v>
      </c>
      <c r="Q673" s="1">
        <f>SUM(Q674:Q675)</f>
        <v>1.671566942900687E-4</v>
      </c>
      <c r="S673" s="3"/>
    </row>
    <row r="674" spans="2:19" x14ac:dyDescent="0.5">
      <c r="B674" t="str">
        <f t="shared" si="752"/>
        <v>SPS1</v>
      </c>
      <c r="C674" t="str">
        <f t="shared" si="753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IFERROR([1]Energy_Balances!F$157/([1]Energy_Balances!F$157+[1]Energy_Balances!F$72),0)*J668</f>
        <v>0</v>
      </c>
      <c r="K674" s="1">
        <f>IFERROR([1]Energy_Balances!G$157/([1]Energy_Balances!G$157+[1]Energy_Balances!G$72),0)*K668</f>
        <v>0</v>
      </c>
      <c r="L674" s="1">
        <f>IFERROR([1]Energy_Balances!H$157/([1]Energy_Balances!H$157+[1]Energy_Balances!H$72),0)*L668</f>
        <v>0</v>
      </c>
      <c r="M674" s="1">
        <f>IFERROR([1]Energy_Balances!I$157/([1]Energy_Balances!I$157+[1]Energy_Balances!I$72),0)*M668</f>
        <v>3.5470236155387628E-5</v>
      </c>
      <c r="N674" s="1">
        <f>IFERROR([1]Energy_Balances!J$157/([1]Energy_Balances!J$157+[1]Energy_Balances!J$72),0)*N668</f>
        <v>2.4723690506031368E-5</v>
      </c>
      <c r="O674" s="1">
        <f>IFERROR([1]Energy_Balances!K$157/([1]Energy_Balances!K$157+[1]Energy_Balances!K$72),0)*O668</f>
        <v>3.9783900265529844E-5</v>
      </c>
      <c r="P674" s="1">
        <f>IFERROR([1]Energy_Balances!L$157/([1]Energy_Balances!L$157+[1]Energy_Balances!L$72),0)*P668</f>
        <v>3.5226643208650273E-5</v>
      </c>
      <c r="Q674" s="1">
        <f>IFERROR([1]Energy_Balances!M$157/([1]Energy_Balances!M$157+[1]Energy_Balances!M$72),0)*Q668</f>
        <v>7.6202497930124324E-5</v>
      </c>
      <c r="S674" s="3"/>
    </row>
    <row r="675" spans="2:19" x14ac:dyDescent="0.5">
      <c r="B675" t="str">
        <f t="shared" si="752"/>
        <v>SPS1</v>
      </c>
      <c r="C675" t="str">
        <f t="shared" si="753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IFERROR([1]Energy_Balances!F$157/([1]Energy_Balances!F$157+[1]Energy_Balances!F$72),0)*J669</f>
        <v>0</v>
      </c>
      <c r="K675" s="1">
        <f>IFERROR([1]Energy_Balances!G$157/([1]Energy_Balances!G$157+[1]Energy_Balances!G$72),0)*K669</f>
        <v>0</v>
      </c>
      <c r="L675" s="1">
        <f>IFERROR([1]Energy_Balances!H$157/([1]Energy_Balances!H$157+[1]Energy_Balances!H$72),0)*L669</f>
        <v>0</v>
      </c>
      <c r="M675" s="1">
        <f>IFERROR([1]Energy_Balances!I$157/([1]Energy_Balances!I$157+[1]Energy_Balances!I$72),0)*M669</f>
        <v>4.931310762198868E-5</v>
      </c>
      <c r="N675" s="1">
        <f>IFERROR([1]Energy_Balances!J$157/([1]Energy_Balances!J$157+[1]Energy_Balances!J$72),0)*N669</f>
        <v>5.7577726894704714E-5</v>
      </c>
      <c r="O675" s="1">
        <f>IFERROR([1]Energy_Balances!K$157/([1]Energy_Balances!K$157+[1]Energy_Balances!K$72),0)*O669</f>
        <v>5.2379448083179943E-5</v>
      </c>
      <c r="P675" s="1">
        <f>IFERROR([1]Energy_Balances!L$157/([1]Energy_Balances!L$157+[1]Energy_Balances!L$72),0)*P669</f>
        <v>6.2629653599668026E-5</v>
      </c>
      <c r="Q675" s="1">
        <f>IFERROR([1]Energy_Balances!M$157/([1]Energy_Balances!M$157+[1]Energy_Balances!M$72),0)*Q669</f>
        <v>9.0954196359944374E-5</v>
      </c>
      <c r="S675" s="3"/>
    </row>
    <row r="676" spans="2:19" x14ac:dyDescent="0.5">
      <c r="B676" t="str">
        <f t="shared" ref="B676:B678" si="765">B675</f>
        <v>SPS1</v>
      </c>
      <c r="C676" t="str">
        <f t="shared" ref="C676:C678" si="766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67">SUM(G677:G678)</f>
        <v>0</v>
      </c>
      <c r="H676" s="1">
        <f t="shared" si="767"/>
        <v>0</v>
      </c>
      <c r="I676" s="1">
        <f t="shared" si="767"/>
        <v>0</v>
      </c>
      <c r="J676" s="1">
        <f t="shared" si="767"/>
        <v>0</v>
      </c>
      <c r="K676" s="1">
        <f t="shared" si="767"/>
        <v>0</v>
      </c>
      <c r="L676" s="1">
        <f t="shared" ref="L676:O676" si="768">SUM(L677:L678)</f>
        <v>0</v>
      </c>
      <c r="M676" s="1">
        <f t="shared" si="768"/>
        <v>2.2048267024967303</v>
      </c>
      <c r="N676" s="1">
        <f t="shared" si="768"/>
        <v>5.5449783894034956</v>
      </c>
      <c r="O676" s="1">
        <f t="shared" si="768"/>
        <v>5.5449628644313522</v>
      </c>
      <c r="P676" s="1">
        <f>SUM(P677:P678)</f>
        <v>6.0901394976265895</v>
      </c>
      <c r="Q676" s="1">
        <f>SUM(Q677:Q678)</f>
        <v>6.111758815514321</v>
      </c>
      <c r="S676" s="3"/>
    </row>
    <row r="677" spans="2:19" x14ac:dyDescent="0.5">
      <c r="B677" t="str">
        <f t="shared" si="765"/>
        <v>SPS1</v>
      </c>
      <c r="C677" t="str">
        <f t="shared" si="766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0</v>
      </c>
      <c r="J677" s="1">
        <f>[1]Other_transformation!F31</f>
        <v>0</v>
      </c>
      <c r="K677" s="1">
        <f>[1]Other_transformation!G31</f>
        <v>0</v>
      </c>
      <c r="L677" s="1">
        <f>[1]Other_transformation!H31</f>
        <v>0</v>
      </c>
      <c r="M677" s="1">
        <f>[1]Other_transformation!I31</f>
        <v>3.9912989837631585E-5</v>
      </c>
      <c r="N677" s="1">
        <f>[1]Other_transformation!J31</f>
        <v>1.7662867257683956E-5</v>
      </c>
      <c r="O677" s="1">
        <f>[1]Other_transformation!K31</f>
        <v>4.8373638002807695E-5</v>
      </c>
      <c r="P677" s="1">
        <f>[1]Other_transformation!L31</f>
        <v>2.9968715861805606E-5</v>
      </c>
      <c r="Q677" s="1">
        <f>[1]Other_transformation!M31</f>
        <v>1.2453310588611544E-4</v>
      </c>
      <c r="S677" s="3"/>
    </row>
    <row r="678" spans="2:19" x14ac:dyDescent="0.5">
      <c r="B678" t="str">
        <f t="shared" si="765"/>
        <v>SPS1</v>
      </c>
      <c r="C678" t="str">
        <f t="shared" si="766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[1]Other_transformation!F32</f>
        <v>0</v>
      </c>
      <c r="K678" s="1">
        <f>[1]Other_transformation!G32</f>
        <v>0</v>
      </c>
      <c r="L678" s="1">
        <f>[1]Other_transformation!H32</f>
        <v>0</v>
      </c>
      <c r="M678" s="1">
        <f>[1]Other_transformation!I32</f>
        <v>2.2047867895068927</v>
      </c>
      <c r="N678" s="1">
        <f>[1]Other_transformation!J32</f>
        <v>5.5449607265362379</v>
      </c>
      <c r="O678" s="1">
        <f>[1]Other_transformation!K32</f>
        <v>5.5449144907933494</v>
      </c>
      <c r="P678" s="1">
        <f>[1]Other_transformation!L32</f>
        <v>6.0901095289107277</v>
      </c>
      <c r="Q678" s="1">
        <f>[1]Other_transformation!M32</f>
        <v>6.1116342824084349</v>
      </c>
      <c r="S678" s="3"/>
    </row>
    <row r="679" spans="2:19" x14ac:dyDescent="0.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4.931891204802588E-3</v>
      </c>
      <c r="G679" s="3">
        <f t="shared" ref="G679:K679" si="769">SUM(G680,G684,G686,G695)</f>
        <v>6.831472655617672E-3</v>
      </c>
      <c r="H679" s="3">
        <f t="shared" si="769"/>
        <v>6.7077277159142178E-3</v>
      </c>
      <c r="I679" s="3">
        <f t="shared" si="769"/>
        <v>4.1661655420703325E-2</v>
      </c>
      <c r="J679" s="3">
        <f t="shared" si="769"/>
        <v>15.232105833270049</v>
      </c>
      <c r="K679" s="3">
        <f t="shared" si="769"/>
        <v>14.789505960397625</v>
      </c>
      <c r="L679" s="3">
        <f t="shared" ref="L679:O679" si="770">SUM(L680,L684,L686,L695)</f>
        <v>14.372111194401896</v>
      </c>
      <c r="M679" s="3">
        <f t="shared" si="770"/>
        <v>24.363065092883161</v>
      </c>
      <c r="N679" s="3">
        <f t="shared" si="770"/>
        <v>30.704224299867136</v>
      </c>
      <c r="O679" s="3">
        <f t="shared" si="770"/>
        <v>38.265843826364268</v>
      </c>
      <c r="P679" s="3">
        <f>SUM(P680,P684,P686,P695)</f>
        <v>41.870405092375194</v>
      </c>
      <c r="Q679" s="3">
        <f>SUM(Q680,Q684,Q686,Q695)</f>
        <v>42.037687745374171</v>
      </c>
      <c r="S679" s="3"/>
    </row>
    <row r="680" spans="2:19" x14ac:dyDescent="0.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4.931891204802588E-3</v>
      </c>
      <c r="G680" s="1">
        <f t="shared" ref="G680:K680" si="771">SUM(G681:G683)</f>
        <v>6.831472655617672E-3</v>
      </c>
      <c r="H680" s="1">
        <f t="shared" si="771"/>
        <v>6.7077277159142178E-3</v>
      </c>
      <c r="I680" s="1">
        <f t="shared" si="771"/>
        <v>4.1661655420703325E-2</v>
      </c>
      <c r="J680" s="1">
        <f t="shared" si="771"/>
        <v>15.232105833270049</v>
      </c>
      <c r="K680" s="1">
        <f t="shared" si="771"/>
        <v>14.789103554401105</v>
      </c>
      <c r="L680" s="1">
        <f t="shared" ref="L680:O680" si="772">SUM(L681:L683)</f>
        <v>14.371574526157996</v>
      </c>
      <c r="M680" s="1">
        <f t="shared" si="772"/>
        <v>20.561221852542428</v>
      </c>
      <c r="N680" s="1">
        <f t="shared" si="772"/>
        <v>21.143622657842112</v>
      </c>
      <c r="O680" s="1">
        <f t="shared" si="772"/>
        <v>28.705192902346813</v>
      </c>
      <c r="P680" s="1">
        <f>SUM(P681:P683)</f>
        <v>31.369758229687982</v>
      </c>
      <c r="Q680" s="1">
        <f>SUM(Q681:Q683)</f>
        <v>31.499445782428868</v>
      </c>
      <c r="S680" s="3"/>
    </row>
    <row r="681" spans="2:19" x14ac:dyDescent="0.5">
      <c r="B681" t="str">
        <f t="shared" ref="B681:B697" si="773">B680</f>
        <v>SPS1</v>
      </c>
      <c r="C681" t="str">
        <f t="shared" ref="C681:C697" si="774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4.931891204802588E-3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6.831472655617672E-3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6.7077277159142178E-3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4.1660822971543027E-2</v>
      </c>
      <c r="J681" s="1" cm="1">
        <f t="array" ref="J681">SUMPRODUCT(("SUP_ELCH2"=[1]OUT_SyntheticFuels!$C$4:$C$1000)*1,ISNUMBER(SEARCH("ELC",[1]OUT_SyntheticFuels!$A$4:$A$1000))*1,("Var_Fin"=[1]OUT_SyntheticFuels!$B$4:$B$1000)*1,[1]OUT_SyntheticFuels!I$4:I$1000)</f>
        <v>15.231951756124241</v>
      </c>
      <c r="K681" s="1" cm="1">
        <f t="array" ref="K681">SUMPRODUCT(("SUP_ELCH2"=[1]OUT_SyntheticFuels!$C$4:$C$1000)*1,ISNUMBER(SEARCH("ELC",[1]OUT_SyntheticFuels!$A$4:$A$1000))*1,("Var_Fin"=[1]OUT_SyntheticFuels!$B$4:$B$1000)*1,[1]OUT_SyntheticFuels!J$4:J$1000)</f>
        <v>14.785870344100669</v>
      </c>
      <c r="L681" s="1" cm="1">
        <f t="array" ref="L681">SUMPRODUCT(("SUP_ELCH2"=[1]OUT_SyntheticFuels!$C$4:$C$1000)*1,ISNUMBER(SEARCH("ELC",[1]OUT_SyntheticFuels!$A$4:$A$1000))*1,("Var_Fin"=[1]OUT_SyntheticFuels!$B$4:$B$1000)*1,[1]OUT_SyntheticFuels!K$4:K$1000)</f>
        <v>14.36671625860866</v>
      </c>
      <c r="M681" s="1" cm="1">
        <f t="array" ref="M681">SUMPRODUCT(("SUP_ELCH2"=[1]OUT_SyntheticFuels!$C$4:$C$1000)*1,ISNUMBER(SEARCH("ELC",[1]OUT_SyntheticFuels!$A$4:$A$1000))*1,("Var_Fin"=[1]OUT_SyntheticFuels!$B$4:$B$1000)*1,[1]OUT_SyntheticFuels!L$4:L$1000)</f>
        <v>20.557756598695732</v>
      </c>
      <c r="N681" s="1" cm="1">
        <f t="array" ref="N681">SUMPRODUCT(("SUP_ELCH2"=[1]OUT_SyntheticFuels!$C$4:$C$1000)*1,ISNUMBER(SEARCH("ELC",[1]OUT_SyntheticFuels!$A$4:$A$1000))*1,("Var_Fin"=[1]OUT_SyntheticFuels!$B$4:$B$1000)*1,[1]OUT_SyntheticFuels!M$4:M$1000)</f>
        <v>21.141262426601791</v>
      </c>
      <c r="O681" s="1" cm="1">
        <f t="array" ref="O681">SUMPRODUCT(("SUP_ELCH2"=[1]OUT_SyntheticFuels!$C$4:$C$1000)*1,ISNUMBER(SEARCH("ELC",[1]OUT_SyntheticFuels!$A$4:$A$1000))*1,("Var_Fin"=[1]OUT_SyntheticFuels!$B$4:$B$1000)*1,[1]OUT_SyntheticFuels!N$4:N$1000)</f>
        <v>28.702234323707721</v>
      </c>
      <c r="P681" s="1" cm="1">
        <f t="array" ref="P681">SUMPRODUCT(("SUP_ELCH2"=[1]OUT_SyntheticFuels!$C$4:$C$1000)*1,ISNUMBER(SEARCH("ELC",[1]OUT_SyntheticFuels!$A$4:$A$1000))*1,("Var_Fin"=[1]OUT_SyntheticFuels!$B$4:$B$1000)*1,[1]OUT_SyntheticFuels!O$4:O$1000)</f>
        <v>31.366736305581366</v>
      </c>
      <c r="Q681" s="1" cm="1">
        <f t="array" ref="Q681">SUMPRODUCT(("SUP_ELCH2"=[1]OUT_SyntheticFuels!$C$4:$C$1000)*1,ISNUMBER(SEARCH("ELC",[1]OUT_SyntheticFuels!$A$4:$A$1000))*1,("Var_Fin"=[1]OUT_SyntheticFuels!$B$4:$B$1000)*1,[1]OUT_SyntheticFuels!P$4:P$1000)</f>
        <v>31.494179733250899</v>
      </c>
      <c r="S681" s="3"/>
    </row>
    <row r="682" spans="2:19" x14ac:dyDescent="0.5">
      <c r="B682" t="str">
        <f t="shared" ref="B682" si="775">B681</f>
        <v>SPS1</v>
      </c>
      <c r="C682" t="str">
        <f t="shared" ref="C682" si="776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8.3244916029872617E-7</v>
      </c>
      <c r="J682" s="1" cm="1">
        <f t="array" ref="J682">SUMPRODUCT(("SUP_ELCH2_D"=[1]OUT_SyntheticFuels!$C$4:$C$1000)*1,ISNUMBER(SEARCH("ELC",[1]OUT_SyntheticFuels!$A$4:$A$1000))*1,("Var_Fin"=[1]OUT_SyntheticFuels!$B$4:$B$1000)*1,[1]OUT_SyntheticFuels!I$4:I$1000)</f>
        <v>1.5407714580782295E-4</v>
      </c>
      <c r="K682" s="1" cm="1">
        <f t="array" ref="K682">SUMPRODUCT(("SUP_ELCH2_D"=[1]OUT_SyntheticFuels!$C$4:$C$1000)*1,ISNUMBER(SEARCH("ELC",[1]OUT_SyntheticFuels!$A$4:$A$1000))*1,("Var_Fin"=[1]OUT_SyntheticFuels!$B$4:$B$1000)*1,[1]OUT_SyntheticFuels!J$4:J$1000)</f>
        <v>5.4018555450012159E-4</v>
      </c>
      <c r="L682" s="1" cm="1">
        <f t="array" ref="L682">SUMPRODUCT(("SUP_ELCH2_D"=[1]OUT_SyntheticFuels!$C$4:$C$1000)*1,ISNUMBER(SEARCH("ELC",[1]OUT_SyntheticFuels!$A$4:$A$1000))*1,("Var_Fin"=[1]OUT_SyntheticFuels!$B$4:$B$1000)*1,[1]OUT_SyntheticFuels!K$4:K$1000)</f>
        <v>7.3854955939486346E-4</v>
      </c>
      <c r="M682" s="1" cm="1">
        <f t="array" ref="M682">SUMPRODUCT(("SUP_ELCH2_D"=[1]OUT_SyntheticFuels!$C$4:$C$1000)*1,ISNUMBER(SEARCH("ELC",[1]OUT_SyntheticFuels!$A$4:$A$1000))*1,("Var_Fin"=[1]OUT_SyntheticFuels!$B$4:$B$1000)*1,[1]OUT_SyntheticFuels!L$4:L$1000)</f>
        <v>7.4684503827388417E-4</v>
      </c>
      <c r="N682" s="1" cm="1">
        <f t="array" ref="N682">SUMPRODUCT(("SUP_ELCH2_D"=[1]OUT_SyntheticFuels!$C$4:$C$1000)*1,ISNUMBER(SEARCH("ELC",[1]OUT_SyntheticFuels!$A$4:$A$1000))*1,("Var_Fin"=[1]OUT_SyntheticFuels!$B$4:$B$1000)*1,[1]OUT_SyntheticFuels!M$4:M$1000)</f>
        <v>7.4822285736868505E-4</v>
      </c>
      <c r="O682" s="1" cm="1">
        <f t="array" ref="O682">SUMPRODUCT(("SUP_ELCH2_D"=[1]OUT_SyntheticFuels!$C$4:$C$1000)*1,ISNUMBER(SEARCH("ELC",[1]OUT_SyntheticFuels!$A$4:$A$1000))*1,("Var_Fin"=[1]OUT_SyntheticFuels!$B$4:$B$1000)*1,[1]OUT_SyntheticFuels!N$4:N$1000)</f>
        <v>7.5678365519854084E-4</v>
      </c>
      <c r="P682" s="1" cm="1">
        <f t="array" ref="P682">SUMPRODUCT(("SUP_ELCH2_D"=[1]OUT_SyntheticFuels!$C$4:$C$1000)*1,ISNUMBER(SEARCH("ELC",[1]OUT_SyntheticFuels!$A$4:$A$1000))*1,("Var_Fin"=[1]OUT_SyntheticFuels!$B$4:$B$1000)*1,[1]OUT_SyntheticFuels!O$4:O$1000)</f>
        <v>5.8334334757819772E-4</v>
      </c>
      <c r="Q682" s="1" cm="1">
        <f t="array" ref="Q682">SUMPRODUCT(("SUP_ELCH2_D"=[1]OUT_SyntheticFuels!$C$4:$C$1000)*1,ISNUMBER(SEARCH("ELC",[1]OUT_SyntheticFuels!$A$4:$A$1000))*1,("Var_Fin"=[1]OUT_SyntheticFuels!$B$4:$B$1000)*1,[1]OUT_SyntheticFuels!P$4:P$1000)</f>
        <v>7.4951854321547934E-4</v>
      </c>
      <c r="S682" s="3"/>
    </row>
    <row r="683" spans="2:19" x14ac:dyDescent="0.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SUMPRODUCT(("SUP_ELCH2_SOEC"=[1]OUT_SyntheticFuels!$C$4:$C$1000)*1,ISNUMBER(SEARCH("ELC",[1]OUT_SyntheticFuels!$A$4:$A$1000))*1,("Var_Fin"=[1]OUT_SyntheticFuels!$B$4:$B$1000)*1,[1]OUT_SyntheticFuels!I$4:I$1000)</f>
        <v>0</v>
      </c>
      <c r="K683" s="1" cm="1">
        <f t="array" ref="K683">SUMPRODUCT(("SUP_ELCH2_SOEC"=[1]OUT_SyntheticFuels!$C$4:$C$1000)*1,ISNUMBER(SEARCH("ELC",[1]OUT_SyntheticFuels!$A$4:$A$1000))*1,("Var_Fin"=[1]OUT_SyntheticFuels!$B$4:$B$1000)*1,[1]OUT_SyntheticFuels!J$4:J$1000)</f>
        <v>2.6930247459350568E-3</v>
      </c>
      <c r="L683" s="1" cm="1">
        <f t="array" ref="L683">SUMPRODUCT(("SUP_ELCH2_SOEC"=[1]OUT_SyntheticFuels!$C$4:$C$1000)*1,ISNUMBER(SEARCH("ELC",[1]OUT_SyntheticFuels!$A$4:$A$1000))*1,("Var_Fin"=[1]OUT_SyntheticFuels!$B$4:$B$1000)*1,[1]OUT_SyntheticFuels!K$4:K$1000)</f>
        <v>4.1197179899411848E-3</v>
      </c>
      <c r="M683" s="1" cm="1">
        <f t="array" ref="M683">SUMPRODUCT(("SUP_ELCH2_SOEC"=[1]OUT_SyntheticFuels!$C$4:$C$1000)*1,ISNUMBER(SEARCH("ELC",[1]OUT_SyntheticFuels!$A$4:$A$1000))*1,("Var_Fin"=[1]OUT_SyntheticFuels!$B$4:$B$1000)*1,[1]OUT_SyntheticFuels!L$4:L$1000)</f>
        <v>2.7184088084202451E-3</v>
      </c>
      <c r="N683" s="1" cm="1">
        <f t="array" ref="N683">SUMPRODUCT(("SUP_ELCH2_SOEC"=[1]OUT_SyntheticFuels!$C$4:$C$1000)*1,ISNUMBER(SEARCH("ELC",[1]OUT_SyntheticFuels!$A$4:$A$1000))*1,("Var_Fin"=[1]OUT_SyntheticFuels!$B$4:$B$1000)*1,[1]OUT_SyntheticFuels!M$4:M$1000)</f>
        <v>1.6120083829511841E-3</v>
      </c>
      <c r="O683" s="1" cm="1">
        <f t="array" ref="O683">SUMPRODUCT(("SUP_ELCH2_SOEC"=[1]OUT_SyntheticFuels!$C$4:$C$1000)*1,ISNUMBER(SEARCH("ELC",[1]OUT_SyntheticFuels!$A$4:$A$1000))*1,("Var_Fin"=[1]OUT_SyntheticFuels!$B$4:$B$1000)*1,[1]OUT_SyntheticFuels!N$4:N$1000)</f>
        <v>2.2017949838918941E-3</v>
      </c>
      <c r="P683" s="1" cm="1">
        <f t="array" ref="P683">SUMPRODUCT(("SUP_ELCH2_SOEC"=[1]OUT_SyntheticFuels!$C$4:$C$1000)*1,ISNUMBER(SEARCH("ELC",[1]OUT_SyntheticFuels!$A$4:$A$1000))*1,("Var_Fin"=[1]OUT_SyntheticFuels!$B$4:$B$1000)*1,[1]OUT_SyntheticFuels!O$4:O$1000)</f>
        <v>2.4385807590360715E-3</v>
      </c>
      <c r="Q683" s="1" cm="1">
        <f t="array" ref="Q683">SUMPRODUCT(("SUP_ELCH2_SOEC"=[1]OUT_SyntheticFuels!$C$4:$C$1000)*1,ISNUMBER(SEARCH("ELC",[1]OUT_SyntheticFuels!$A$4:$A$1000))*1,("Var_Fin"=[1]OUT_SyntheticFuels!$B$4:$B$1000)*1,[1]OUT_SyntheticFuels!P$4:P$1000)</f>
        <v>4.5165306347512207E-3</v>
      </c>
      <c r="S683" s="3"/>
    </row>
    <row r="684" spans="2:19" x14ac:dyDescent="0.5">
      <c r="B684" t="str">
        <f t="shared" ref="B684:B685" si="777">B683</f>
        <v>SPS1</v>
      </c>
      <c r="C684" t="str">
        <f t="shared" ref="C684:C685" si="778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O684" si="779">G685</f>
        <v>0</v>
      </c>
      <c r="H684" s="1">
        <f t="shared" si="779"/>
        <v>0</v>
      </c>
      <c r="I684" s="1">
        <f t="shared" si="779"/>
        <v>0</v>
      </c>
      <c r="J684" s="1">
        <f t="shared" si="779"/>
        <v>0</v>
      </c>
      <c r="K684" s="1">
        <f t="shared" si="779"/>
        <v>4.0240599651903205E-4</v>
      </c>
      <c r="L684" s="1">
        <f t="shared" si="779"/>
        <v>5.3666824390038407E-4</v>
      </c>
      <c r="M684" s="1">
        <f t="shared" si="779"/>
        <v>3.0204542315780515E-4</v>
      </c>
      <c r="N684" s="1">
        <f t="shared" si="779"/>
        <v>1.7911204255013146E-4</v>
      </c>
      <c r="O684" s="1">
        <f t="shared" si="779"/>
        <v>2.4464388709909916E-4</v>
      </c>
      <c r="P684" s="1">
        <f>P685</f>
        <v>2.7095341767067419E-4</v>
      </c>
      <c r="Q684" s="1">
        <f>Q685</f>
        <v>5.0183673719457944E-4</v>
      </c>
      <c r="S684" s="3"/>
    </row>
    <row r="685" spans="2:19" x14ac:dyDescent="0.5">
      <c r="B685" t="str">
        <f t="shared" si="777"/>
        <v>SPS1</v>
      </c>
      <c r="C685" t="str">
        <f t="shared" si="778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SUMPRODUCT(("SUP_ELCH2_SOEC"=[1]OUT_SyntheticFuels!$C$4:$C$1000)*1,ISNUMBER(SEARCH("CHEAT",[1]OUT_SyntheticFuels!$A$4:$A$1000))*1,("Var_Fin"=[1]OUT_SyntheticFuels!$B$4:$B$1000)*1,[1]OUT_SyntheticFuels!I$4:I$1000)</f>
        <v>0</v>
      </c>
      <c r="K685" s="1" cm="1">
        <f t="array" ref="K685">SUMPRODUCT(("SUP_ELCH2_SOEC"=[1]OUT_SyntheticFuels!$C$4:$C$1000)*1,ISNUMBER(SEARCH("CHEAT",[1]OUT_SyntheticFuels!$A$4:$A$1000))*1,("Var_Fin"=[1]OUT_SyntheticFuels!$B$4:$B$1000)*1,[1]OUT_SyntheticFuels!J$4:J$1000)</f>
        <v>4.0240599651903205E-4</v>
      </c>
      <c r="L685" s="1" cm="1">
        <f t="array" ref="L685">SUMPRODUCT(("SUP_ELCH2_SOEC"=[1]OUT_SyntheticFuels!$C$4:$C$1000)*1,ISNUMBER(SEARCH("CHEAT",[1]OUT_SyntheticFuels!$A$4:$A$1000))*1,("Var_Fin"=[1]OUT_SyntheticFuels!$B$4:$B$1000)*1,[1]OUT_SyntheticFuels!K$4:K$1000)</f>
        <v>5.3666824390038407E-4</v>
      </c>
      <c r="M685" s="1" cm="1">
        <f t="array" ref="M685">SUMPRODUCT(("SUP_ELCH2_SOEC"=[1]OUT_SyntheticFuels!$C$4:$C$1000)*1,ISNUMBER(SEARCH("CHEAT",[1]OUT_SyntheticFuels!$A$4:$A$1000))*1,("Var_Fin"=[1]OUT_SyntheticFuels!$B$4:$B$1000)*1,[1]OUT_SyntheticFuels!L$4:L$1000)</f>
        <v>3.0204542315780515E-4</v>
      </c>
      <c r="N685" s="1" cm="1">
        <f t="array" ref="N685">SUMPRODUCT(("SUP_ELCH2_SOEC"=[1]OUT_SyntheticFuels!$C$4:$C$1000)*1,ISNUMBER(SEARCH("CHEAT",[1]OUT_SyntheticFuels!$A$4:$A$1000))*1,("Var_Fin"=[1]OUT_SyntheticFuels!$B$4:$B$1000)*1,[1]OUT_SyntheticFuels!M$4:M$1000)</f>
        <v>1.7911204255013146E-4</v>
      </c>
      <c r="O685" s="1" cm="1">
        <f t="array" ref="O685">SUMPRODUCT(("SUP_ELCH2_SOEC"=[1]OUT_SyntheticFuels!$C$4:$C$1000)*1,ISNUMBER(SEARCH("CHEAT",[1]OUT_SyntheticFuels!$A$4:$A$1000))*1,("Var_Fin"=[1]OUT_SyntheticFuels!$B$4:$B$1000)*1,[1]OUT_SyntheticFuels!N$4:N$1000)</f>
        <v>2.4464388709909916E-4</v>
      </c>
      <c r="P685" s="1" cm="1">
        <f t="array" ref="P685">SUMPRODUCT(("SUP_ELCH2_SOEC"=[1]OUT_SyntheticFuels!$C$4:$C$1000)*1,ISNUMBER(SEARCH("CHEAT",[1]OUT_SyntheticFuels!$A$4:$A$1000))*1,("Var_Fin"=[1]OUT_SyntheticFuels!$B$4:$B$1000)*1,[1]OUT_SyntheticFuels!O$4:O$1000)</f>
        <v>2.7095341767067419E-4</v>
      </c>
      <c r="Q685" s="1" cm="1">
        <f t="array" ref="Q685">SUMPRODUCT(("SUP_ELCH2_SOEC"=[1]OUT_SyntheticFuels!$C$4:$C$1000)*1,ISNUMBER(SEARCH("CHEAT",[1]OUT_SyntheticFuels!$A$4:$A$1000))*1,("Var_Fin"=[1]OUT_SyntheticFuels!$B$4:$B$1000)*1,[1]OUT_SyntheticFuels!P$4:P$1000)</f>
        <v>5.0183673719457944E-4</v>
      </c>
      <c r="S685" s="3"/>
    </row>
    <row r="686" spans="2:19" x14ac:dyDescent="0.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80">SUM(G687:G688)</f>
        <v>0</v>
      </c>
      <c r="H686" s="1">
        <f t="shared" si="780"/>
        <v>0</v>
      </c>
      <c r="I686" s="1">
        <f t="shared" si="780"/>
        <v>0</v>
      </c>
      <c r="J686" s="1">
        <f t="shared" si="780"/>
        <v>0</v>
      </c>
      <c r="K686" s="1">
        <f t="shared" si="780"/>
        <v>0</v>
      </c>
      <c r="L686" s="1">
        <f t="shared" ref="L686:O686" si="781">SUM(L687:L688)</f>
        <v>0</v>
      </c>
      <c r="M686" s="1">
        <f t="shared" si="781"/>
        <v>1.1813963527827773E-4</v>
      </c>
      <c r="N686" s="1">
        <f t="shared" si="781"/>
        <v>1.159771527252807E-4</v>
      </c>
      <c r="O686" s="1">
        <f t="shared" si="781"/>
        <v>1.2825948079029815E-4</v>
      </c>
      <c r="P686" s="1">
        <f>SUM(P687:P688)</f>
        <v>1.3711846023973379E-4</v>
      </c>
      <c r="Q686" s="1">
        <f>SUM(Q687:Q688)</f>
        <v>2.3208412052887792E-4</v>
      </c>
      <c r="S686" s="3"/>
    </row>
    <row r="687" spans="2:19" x14ac:dyDescent="0.5">
      <c r="B687" t="str">
        <f t="shared" si="773"/>
        <v>SPS1</v>
      </c>
      <c r="C687" t="str">
        <f t="shared" si="774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SUMPRODUCT(("SUP_ngaH2"=[1]OUT_SyntheticFuels!$C$4:$C$1000)*1,ISNUMBER(SEARCH("nga",[1]OUT_SyntheticFuels!$A$4:$A$1000))*1,("Var_Fin"=[1]OUT_SyntheticFuels!$B$4:$B$1000)*1,[1]OUT_SyntheticFuels!I$4:I$1000)</f>
        <v>0</v>
      </c>
      <c r="K687" s="1" cm="1">
        <f t="array" ref="K687">SUMPRODUCT(("SUP_ngaH2"=[1]OUT_SyntheticFuels!$C$4:$C$1000)*1,ISNUMBER(SEARCH("nga",[1]OUT_SyntheticFuels!$A$4:$A$1000))*1,("Var_Fin"=[1]OUT_SyntheticFuels!$B$4:$B$1000)*1,[1]OUT_SyntheticFuels!J$4:J$1000)</f>
        <v>0</v>
      </c>
      <c r="L687" s="1" cm="1">
        <f t="array" ref="L687">SUMPRODUCT(("SUP_ngaH2"=[1]OUT_SyntheticFuels!$C$4:$C$1000)*1,ISNUMBER(SEARCH("nga",[1]OUT_SyntheticFuels!$A$4:$A$1000))*1,("Var_Fin"=[1]OUT_SyntheticFuels!$B$4:$B$1000)*1,[1]OUT_SyntheticFuels!K$4:K$1000)</f>
        <v>0</v>
      </c>
      <c r="M687" s="1" cm="1">
        <f t="array" ref="M687">SUMPRODUCT(("SUP_ngaH2"=[1]OUT_SyntheticFuels!$C$4:$C$1000)*1,ISNUMBER(SEARCH("nga",[1]OUT_SyntheticFuels!$A$4:$A$1000))*1,("Var_Fin"=[1]OUT_SyntheticFuels!$B$4:$B$1000)*1,[1]OUT_SyntheticFuels!L$4:L$1000)</f>
        <v>4.6671363362352123E-5</v>
      </c>
      <c r="N687" s="1" cm="1">
        <f t="array" ref="N687">SUMPRODUCT(("SUP_ngaH2"=[1]OUT_SyntheticFuels!$C$4:$C$1000)*1,ISNUMBER(SEARCH("nga",[1]OUT_SyntheticFuels!$A$4:$A$1000))*1,("Var_Fin"=[1]OUT_SyntheticFuels!$B$4:$B$1000)*1,[1]OUT_SyntheticFuels!M$4:M$1000)</f>
        <v>3.253117171846233E-5</v>
      </c>
      <c r="O687" s="1" cm="1">
        <f t="array" ref="O687">SUMPRODUCT(("SUP_ngaH2"=[1]OUT_SyntheticFuels!$C$4:$C$1000)*1,ISNUMBER(SEARCH("nga",[1]OUT_SyntheticFuels!$A$4:$A$1000))*1,("Var_Fin"=[1]OUT_SyntheticFuels!$B$4:$B$1000)*1,[1]OUT_SyntheticFuels!N$4:N$1000)</f>
        <v>5.2347237191486658E-5</v>
      </c>
      <c r="P687" s="1" cm="1">
        <f t="array" ref="P687">SUMPRODUCT(("SUP_ngaH2"=[1]OUT_SyntheticFuels!$C$4:$C$1000)*1,ISNUMBER(SEARCH("nga",[1]OUT_SyntheticFuels!$A$4:$A$1000))*1,("Var_Fin"=[1]OUT_SyntheticFuels!$B$4:$B$1000)*1,[1]OUT_SyntheticFuels!O$4:O$1000)</f>
        <v>4.6350846327171446E-5</v>
      </c>
      <c r="Q687" s="1" cm="1">
        <f t="array" ref="Q687">SUMPRODUCT(("SUP_ngaH2"=[1]OUT_SyntheticFuels!$C$4:$C$1000)*1,ISNUMBER(SEARCH("nga",[1]OUT_SyntheticFuels!$A$4:$A$1000))*1,("Var_Fin"=[1]OUT_SyntheticFuels!$B$4:$B$1000)*1,[1]OUT_SyntheticFuels!P$4:P$1000)</f>
        <v>1.0026644464490053E-4</v>
      </c>
      <c r="S687" s="3"/>
    </row>
    <row r="688" spans="2:19" x14ac:dyDescent="0.5">
      <c r="B688" t="str">
        <f t="shared" si="773"/>
        <v>SPS1</v>
      </c>
      <c r="C688" t="str">
        <f t="shared" si="774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SUMPRODUCT(("SUP_ngaH2ccs"=[1]OUT_SyntheticFuels!$C$4:$C$1000)*1,ISNUMBER(SEARCH("nga",[1]OUT_SyntheticFuels!$A$4:$A$1000))*1,("Var_Fin"=[1]OUT_SyntheticFuels!$B$4:$B$1000)*1,[1]OUT_SyntheticFuels!I$4:I$1000)</f>
        <v>0</v>
      </c>
      <c r="K688" s="1" cm="1">
        <f t="array" ref="K688">SUMPRODUCT(("SUP_ngaH2ccs"=[1]OUT_SyntheticFuels!$C$4:$C$1000)*1,ISNUMBER(SEARCH("nga",[1]OUT_SyntheticFuels!$A$4:$A$1000))*1,("Var_Fin"=[1]OUT_SyntheticFuels!$B$4:$B$1000)*1,[1]OUT_SyntheticFuels!J$4:J$1000)</f>
        <v>0</v>
      </c>
      <c r="L688" s="1" cm="1">
        <f t="array" ref="L688">SUMPRODUCT(("SUP_ngaH2ccs"=[1]OUT_SyntheticFuels!$C$4:$C$1000)*1,ISNUMBER(SEARCH("nga",[1]OUT_SyntheticFuels!$A$4:$A$1000))*1,("Var_Fin"=[1]OUT_SyntheticFuels!$B$4:$B$1000)*1,[1]OUT_SyntheticFuels!K$4:K$1000)</f>
        <v>0</v>
      </c>
      <c r="M688" s="1" cm="1">
        <f t="array" ref="M688">SUMPRODUCT(("SUP_ngaH2ccs"=[1]OUT_SyntheticFuels!$C$4:$C$1000)*1,ISNUMBER(SEARCH("nga",[1]OUT_SyntheticFuels!$A$4:$A$1000))*1,("Var_Fin"=[1]OUT_SyntheticFuels!$B$4:$B$1000)*1,[1]OUT_SyntheticFuels!L$4:L$1000)</f>
        <v>7.1468271915925608E-5</v>
      </c>
      <c r="N688" s="1" cm="1">
        <f t="array" ref="N688">SUMPRODUCT(("SUP_ngaH2ccs"=[1]OUT_SyntheticFuels!$C$4:$C$1000)*1,ISNUMBER(SEARCH("nga",[1]OUT_SyntheticFuels!$A$4:$A$1000))*1,("Var_Fin"=[1]OUT_SyntheticFuels!$B$4:$B$1000)*1,[1]OUT_SyntheticFuels!M$4:M$1000)</f>
        <v>8.3445981006818366E-5</v>
      </c>
      <c r="O688" s="1" cm="1">
        <f t="array" ref="O688">SUMPRODUCT(("SUP_ngaH2ccs"=[1]OUT_SyntheticFuels!$C$4:$C$1000)*1,ISNUMBER(SEARCH("nga",[1]OUT_SyntheticFuels!$A$4:$A$1000))*1,("Var_Fin"=[1]OUT_SyntheticFuels!$B$4:$B$1000)*1,[1]OUT_SyntheticFuels!N$4:N$1000)</f>
        <v>7.5912243598811493E-5</v>
      </c>
      <c r="P688" s="1" cm="1">
        <f t="array" ref="P688">SUMPRODUCT(("SUP_ngaH2ccs"=[1]OUT_SyntheticFuels!$C$4:$C$1000)*1,ISNUMBER(SEARCH("nga",[1]OUT_SyntheticFuels!$A$4:$A$1000))*1,("Var_Fin"=[1]OUT_SyntheticFuels!$B$4:$B$1000)*1,[1]OUT_SyntheticFuels!O$4:O$1000)</f>
        <v>9.0767613912562354E-5</v>
      </c>
      <c r="Q688" s="1" cm="1">
        <f t="array" ref="Q688">SUMPRODUCT(("SUP_ngaH2ccs"=[1]OUT_SyntheticFuels!$C$4:$C$1000)*1,ISNUMBER(SEARCH("nga",[1]OUT_SyntheticFuels!$A$4:$A$1000))*1,("Var_Fin"=[1]OUT_SyntheticFuels!$B$4:$B$1000)*1,[1]OUT_SyntheticFuels!P$4:P$1000)</f>
        <v>1.318176758839774E-4</v>
      </c>
      <c r="S688" s="3"/>
    </row>
    <row r="689" spans="2:19" x14ac:dyDescent="0.5">
      <c r="B689" t="str">
        <f t="shared" si="773"/>
        <v>SPS1</v>
      </c>
      <c r="C689" t="str">
        <f t="shared" si="774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82">G686-G692</f>
        <v>0</v>
      </c>
      <c r="H689" s="1">
        <f t="shared" si="782"/>
        <v>0</v>
      </c>
      <c r="I689" s="1">
        <f t="shared" si="782"/>
        <v>0</v>
      </c>
      <c r="J689" s="1">
        <f t="shared" si="782"/>
        <v>0</v>
      </c>
      <c r="K689" s="1">
        <f t="shared" si="782"/>
        <v>0</v>
      </c>
      <c r="L689" s="1">
        <f t="shared" ref="L689:O689" si="783">L686-L692</f>
        <v>0</v>
      </c>
      <c r="M689" s="1">
        <f t="shared" si="783"/>
        <v>0</v>
      </c>
      <c r="N689" s="1">
        <f t="shared" si="783"/>
        <v>0</v>
      </c>
      <c r="O689" s="1">
        <f t="shared" si="783"/>
        <v>0</v>
      </c>
      <c r="P689" s="1">
        <f t="shared" ref="P689:Q691" si="784">P686-P692</f>
        <v>0</v>
      </c>
      <c r="Q689" s="1">
        <f t="shared" si="784"/>
        <v>0</v>
      </c>
      <c r="S689" s="3"/>
    </row>
    <row r="690" spans="2:19" x14ac:dyDescent="0.5">
      <c r="B690" t="str">
        <f t="shared" si="773"/>
        <v>SPS1</v>
      </c>
      <c r="C690" t="str">
        <f t="shared" si="774"/>
        <v>CH</v>
      </c>
      <c r="D690" t="s">
        <v>609</v>
      </c>
      <c r="E690" s="5" t="s">
        <v>8</v>
      </c>
      <c r="F690" s="1">
        <f t="shared" ref="F690:K690" si="785">F687-F693</f>
        <v>0</v>
      </c>
      <c r="G690" s="1">
        <f t="shared" si="785"/>
        <v>0</v>
      </c>
      <c r="H690" s="1">
        <f t="shared" si="785"/>
        <v>0</v>
      </c>
      <c r="I690" s="1">
        <f t="shared" si="785"/>
        <v>0</v>
      </c>
      <c r="J690" s="1">
        <f t="shared" si="785"/>
        <v>0</v>
      </c>
      <c r="K690" s="1">
        <f t="shared" si="785"/>
        <v>0</v>
      </c>
      <c r="L690" s="1">
        <f t="shared" ref="L690:O690" si="786">L687-L693</f>
        <v>0</v>
      </c>
      <c r="M690" s="1">
        <f t="shared" si="786"/>
        <v>0</v>
      </c>
      <c r="N690" s="1">
        <f t="shared" si="786"/>
        <v>0</v>
      </c>
      <c r="O690" s="1">
        <f t="shared" si="786"/>
        <v>0</v>
      </c>
      <c r="P690" s="1">
        <f t="shared" si="784"/>
        <v>0</v>
      </c>
      <c r="Q690" s="1">
        <f t="shared" si="784"/>
        <v>0</v>
      </c>
      <c r="S690" s="3"/>
    </row>
    <row r="691" spans="2:19" x14ac:dyDescent="0.5">
      <c r="B691" t="str">
        <f t="shared" si="773"/>
        <v>SPS1</v>
      </c>
      <c r="C691" t="str">
        <f t="shared" si="774"/>
        <v>CH</v>
      </c>
      <c r="D691" t="s">
        <v>610</v>
      </c>
      <c r="E691" s="5" t="s">
        <v>8</v>
      </c>
      <c r="F691" s="1">
        <f t="shared" ref="F691:K691" si="787">F688-F694</f>
        <v>0</v>
      </c>
      <c r="G691" s="1">
        <f t="shared" si="787"/>
        <v>0</v>
      </c>
      <c r="H691" s="1">
        <f t="shared" si="787"/>
        <v>0</v>
      </c>
      <c r="I691" s="1">
        <f t="shared" si="787"/>
        <v>0</v>
      </c>
      <c r="J691" s="1">
        <f t="shared" si="787"/>
        <v>0</v>
      </c>
      <c r="K691" s="1">
        <f t="shared" si="787"/>
        <v>0</v>
      </c>
      <c r="L691" s="1">
        <f t="shared" ref="L691:O691" si="788">L688-L694</f>
        <v>0</v>
      </c>
      <c r="M691" s="1">
        <f t="shared" si="788"/>
        <v>0</v>
      </c>
      <c r="N691" s="1">
        <f t="shared" si="788"/>
        <v>0</v>
      </c>
      <c r="O691" s="1">
        <f t="shared" si="788"/>
        <v>0</v>
      </c>
      <c r="P691" s="1">
        <f t="shared" si="784"/>
        <v>0</v>
      </c>
      <c r="Q691" s="1">
        <f t="shared" si="784"/>
        <v>0</v>
      </c>
      <c r="S691" s="3"/>
    </row>
    <row r="692" spans="2:19" x14ac:dyDescent="0.5">
      <c r="B692" t="str">
        <f t="shared" si="773"/>
        <v>SPS1</v>
      </c>
      <c r="C692" t="str">
        <f t="shared" si="774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89">SUM(G693:G694)</f>
        <v>0</v>
      </c>
      <c r="H692" s="1">
        <f t="shared" si="789"/>
        <v>0</v>
      </c>
      <c r="I692" s="1">
        <f t="shared" si="789"/>
        <v>0</v>
      </c>
      <c r="J692" s="1">
        <f t="shared" si="789"/>
        <v>0</v>
      </c>
      <c r="K692" s="1">
        <f t="shared" si="789"/>
        <v>0</v>
      </c>
      <c r="L692" s="1">
        <f t="shared" ref="L692:O692" si="790">SUM(L693:L694)</f>
        <v>0</v>
      </c>
      <c r="M692" s="1">
        <f t="shared" si="790"/>
        <v>1.1813963527827773E-4</v>
      </c>
      <c r="N692" s="1">
        <f t="shared" si="790"/>
        <v>1.159771527252807E-4</v>
      </c>
      <c r="O692" s="1">
        <f t="shared" si="790"/>
        <v>1.2825948079029815E-4</v>
      </c>
      <c r="P692" s="1">
        <f>SUM(P693:P694)</f>
        <v>1.3711846023973379E-4</v>
      </c>
      <c r="Q692" s="1">
        <f>SUM(Q693:Q694)</f>
        <v>2.3208412052887792E-4</v>
      </c>
      <c r="S692" s="3"/>
    </row>
    <row r="693" spans="2:19" x14ac:dyDescent="0.5">
      <c r="B693" t="str">
        <f t="shared" si="773"/>
        <v>SPS1</v>
      </c>
      <c r="C693" t="str">
        <f t="shared" si="774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91">IFERROR(G674/G668,0)*G687</f>
        <v>0</v>
      </c>
      <c r="H693" s="1">
        <f t="shared" si="791"/>
        <v>0</v>
      </c>
      <c r="I693" s="1">
        <f t="shared" si="791"/>
        <v>0</v>
      </c>
      <c r="J693" s="1">
        <f t="shared" si="791"/>
        <v>0</v>
      </c>
      <c r="K693" s="1">
        <f t="shared" si="791"/>
        <v>0</v>
      </c>
      <c r="L693" s="1">
        <f t="shared" ref="L693:O693" si="792">IFERROR(L674/L668,0)*L687</f>
        <v>0</v>
      </c>
      <c r="M693" s="1">
        <f t="shared" si="792"/>
        <v>4.6671363362352123E-5</v>
      </c>
      <c r="N693" s="1">
        <f t="shared" si="792"/>
        <v>3.253117171846233E-5</v>
      </c>
      <c r="O693" s="1">
        <f t="shared" si="792"/>
        <v>5.2347237191486658E-5</v>
      </c>
      <c r="P693" s="1">
        <f>IFERROR(P674/P668,0)*P687</f>
        <v>4.6350846327171446E-5</v>
      </c>
      <c r="Q693" s="1">
        <f>IFERROR(Q674/Q668,0)*Q687</f>
        <v>1.0026644464490053E-4</v>
      </c>
      <c r="S693" s="3"/>
    </row>
    <row r="694" spans="2:19" x14ac:dyDescent="0.5">
      <c r="B694" t="str">
        <f t="shared" si="773"/>
        <v>SPS1</v>
      </c>
      <c r="C694" t="str">
        <f t="shared" si="774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91"/>
        <v>0</v>
      </c>
      <c r="H694" s="1">
        <f t="shared" si="791"/>
        <v>0</v>
      </c>
      <c r="I694" s="1">
        <f t="shared" si="791"/>
        <v>0</v>
      </c>
      <c r="J694" s="1">
        <f t="shared" si="791"/>
        <v>0</v>
      </c>
      <c r="K694" s="1">
        <f t="shared" si="791"/>
        <v>0</v>
      </c>
      <c r="L694" s="1">
        <f t="shared" ref="L694:O694" si="793">IFERROR(L675/L669,0)*L688</f>
        <v>0</v>
      </c>
      <c r="M694" s="1">
        <f t="shared" si="793"/>
        <v>7.1468271915925608E-5</v>
      </c>
      <c r="N694" s="1">
        <f t="shared" si="793"/>
        <v>8.3445981006818366E-5</v>
      </c>
      <c r="O694" s="1">
        <f t="shared" si="793"/>
        <v>7.5912243598811493E-5</v>
      </c>
      <c r="P694" s="1">
        <f>IFERROR(P675/P669,0)*P688</f>
        <v>9.0767613912562354E-5</v>
      </c>
      <c r="Q694" s="1">
        <f>IFERROR(Q675/Q669,0)*Q688</f>
        <v>1.318176758839774E-4</v>
      </c>
      <c r="S694" s="3"/>
    </row>
    <row r="695" spans="2:19" x14ac:dyDescent="0.5">
      <c r="B695" t="str">
        <f t="shared" si="773"/>
        <v>SPS1</v>
      </c>
      <c r="C695" t="str">
        <f t="shared" si="774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94">SUM(G696:G697)</f>
        <v>0</v>
      </c>
      <c r="H695" s="1">
        <f t="shared" si="794"/>
        <v>0</v>
      </c>
      <c r="I695" s="1">
        <f t="shared" si="794"/>
        <v>0</v>
      </c>
      <c r="J695" s="1">
        <f t="shared" si="794"/>
        <v>0</v>
      </c>
      <c r="K695" s="1">
        <f t="shared" si="794"/>
        <v>0</v>
      </c>
      <c r="L695" s="1">
        <f t="shared" ref="L695:O695" si="795">SUM(L696:L697)</f>
        <v>0</v>
      </c>
      <c r="M695" s="1">
        <f t="shared" si="795"/>
        <v>3.8014230552822972</v>
      </c>
      <c r="N695" s="1">
        <f t="shared" si="795"/>
        <v>9.5603065528297488</v>
      </c>
      <c r="O695" s="1">
        <f t="shared" si="795"/>
        <v>9.5602780206495659</v>
      </c>
      <c r="P695" s="1">
        <f>SUM(P696:P697)</f>
        <v>10.500238790809298</v>
      </c>
      <c r="Q695" s="1">
        <f>SUM(Q696:Q697)</f>
        <v>10.537508042087579</v>
      </c>
      <c r="S695" s="3"/>
    </row>
    <row r="696" spans="2:19" x14ac:dyDescent="0.5">
      <c r="B696" t="str">
        <f t="shared" si="773"/>
        <v>SPS1</v>
      </c>
      <c r="C696" t="str">
        <f t="shared" si="774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0</v>
      </c>
      <c r="J696" s="1" cm="1">
        <f t="array" ref="J696">SUMPRODUCT(("SUP_wodH2"=[1]OUT_SyntheticFuels!$C$4:$C$1000)*1,ISNUMBER(SEARCH("wod",[1]OUT_SyntheticFuels!$A$4:$A$1000))*1,("Var_Fin"=[1]OUT_SyntheticFuels!$B$4:$B$1000)*1,[1]OUT_SyntheticFuels!I$4:I$1000)</f>
        <v>0</v>
      </c>
      <c r="K696" s="1" cm="1">
        <f t="array" ref="K696">SUMPRODUCT(("SUP_wodH2"=[1]OUT_SyntheticFuels!$C$4:$C$1000)*1,ISNUMBER(SEARCH("wod",[1]OUT_SyntheticFuels!$A$4:$A$1000))*1,("Var_Fin"=[1]OUT_SyntheticFuels!$B$4:$B$1000)*1,[1]OUT_SyntheticFuels!J$4:J$1000)</f>
        <v>0</v>
      </c>
      <c r="L696" s="1" cm="1">
        <f t="array" ref="L696">SUMPRODUCT(("SUP_wodH2"=[1]OUT_SyntheticFuels!$C$4:$C$1000)*1,ISNUMBER(SEARCH("wod",[1]OUT_SyntheticFuels!$A$4:$A$1000))*1,("Var_Fin"=[1]OUT_SyntheticFuels!$B$4:$B$1000)*1,[1]OUT_SyntheticFuels!K$4:K$1000)</f>
        <v>0</v>
      </c>
      <c r="M696" s="1" cm="1">
        <f t="array" ref="M696">SUMPRODUCT(("SUP_wodH2"=[1]OUT_SyntheticFuels!$C$4:$C$1000)*1,ISNUMBER(SEARCH("wod",[1]OUT_SyntheticFuels!$A$4:$A$1000))*1,("Var_Fin"=[1]OUT_SyntheticFuels!$B$4:$B$1000)*1,[1]OUT_SyntheticFuels!L$4:L$1000)</f>
        <v>6.6521649729597742E-5</v>
      </c>
      <c r="N696" s="1" cm="1">
        <f t="array" ref="N696">SUMPRODUCT(("SUP_wodH2"=[1]OUT_SyntheticFuels!$C$4:$C$1000)*1,ISNUMBER(SEARCH("wod",[1]OUT_SyntheticFuels!$A$4:$A$1000))*1,("Var_Fin"=[1]OUT_SyntheticFuels!$B$4:$B$1000)*1,[1]OUT_SyntheticFuels!M$4:M$1000)</f>
        <v>2.9438112096045904E-5</v>
      </c>
      <c r="O696" s="1" cm="1">
        <f t="array" ref="O696">SUMPRODUCT(("SUP_wodH2"=[1]OUT_SyntheticFuels!$C$4:$C$1000)*1,ISNUMBER(SEARCH("wod",[1]OUT_SyntheticFuels!$A$4:$A$1000))*1,("Var_Fin"=[1]OUT_SyntheticFuels!$B$4:$B$1000)*1,[1]OUT_SyntheticFuels!N$4:N$1000)</f>
        <v>8.0622730005085449E-5</v>
      </c>
      <c r="P696" s="1" cm="1">
        <f t="array" ref="P696">SUMPRODUCT(("SUP_wodH2"=[1]OUT_SyntheticFuels!$C$4:$C$1000)*1,ISNUMBER(SEARCH("wod",[1]OUT_SyntheticFuels!$A$4:$A$1000))*1,("Var_Fin"=[1]OUT_SyntheticFuels!$B$4:$B$1000)*1,[1]OUT_SyntheticFuels!O$4:O$1000)</f>
        <v>4.9947859769818235E-5</v>
      </c>
      <c r="Q696" s="1" cm="1">
        <f t="array" ref="Q696">SUMPRODUCT(("SUP_wodH2"=[1]OUT_SyntheticFuels!$C$4:$C$1000)*1,ISNUMBER(SEARCH("wod",[1]OUT_SyntheticFuels!$A$4:$A$1000))*1,("Var_Fin"=[1]OUT_SyntheticFuels!$B$4:$B$1000)*1,[1]OUT_SyntheticFuels!P$4:P$1000)</f>
        <v>2.0755517647688926E-4</v>
      </c>
      <c r="S696" s="3"/>
    </row>
    <row r="697" spans="2:19" x14ac:dyDescent="0.5">
      <c r="B697" t="str">
        <f t="shared" si="773"/>
        <v>SPS1</v>
      </c>
      <c r="C697" t="str">
        <f t="shared" si="774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SUMPRODUCT(("SUP_wodH2ccs"=[1]OUT_SyntheticFuels!$C$4:$C$1000)*1,ISNUMBER(SEARCH("wod",[1]OUT_SyntheticFuels!$A$4:$A$1000))*1,("Var_Fin"=[1]OUT_SyntheticFuels!$B$4:$B$1000)*1,[1]OUT_SyntheticFuels!I$4:I$1000)</f>
        <v>0</v>
      </c>
      <c r="K697" s="1" cm="1">
        <f t="array" ref="K697">SUMPRODUCT(("SUP_wodH2ccs"=[1]OUT_SyntheticFuels!$C$4:$C$1000)*1,ISNUMBER(SEARCH("wod",[1]OUT_SyntheticFuels!$A$4:$A$1000))*1,("Var_Fin"=[1]OUT_SyntheticFuels!$B$4:$B$1000)*1,[1]OUT_SyntheticFuels!J$4:J$1000)</f>
        <v>0</v>
      </c>
      <c r="L697" s="1" cm="1">
        <f t="array" ref="L697">SUMPRODUCT(("SUP_wodH2ccs"=[1]OUT_SyntheticFuels!$C$4:$C$1000)*1,ISNUMBER(SEARCH("wod",[1]OUT_SyntheticFuels!$A$4:$A$1000))*1,("Var_Fin"=[1]OUT_SyntheticFuels!$B$4:$B$1000)*1,[1]OUT_SyntheticFuels!K$4:K$1000)</f>
        <v>0</v>
      </c>
      <c r="M697" s="1" cm="1">
        <f t="array" ref="M697">SUMPRODUCT(("SUP_wodH2ccs"=[1]OUT_SyntheticFuels!$C$4:$C$1000)*1,ISNUMBER(SEARCH("wod",[1]OUT_SyntheticFuels!$A$4:$A$1000))*1,("Var_Fin"=[1]OUT_SyntheticFuels!$B$4:$B$1000)*1,[1]OUT_SyntheticFuels!L$4:L$1000)</f>
        <v>3.8013565336325676</v>
      </c>
      <c r="N697" s="1" cm="1">
        <f t="array" ref="N697">SUMPRODUCT(("SUP_wodH2ccs"=[1]OUT_SyntheticFuels!$C$4:$C$1000)*1,ISNUMBER(SEARCH("wod",[1]OUT_SyntheticFuels!$A$4:$A$1000))*1,("Var_Fin"=[1]OUT_SyntheticFuels!$B$4:$B$1000)*1,[1]OUT_SyntheticFuels!M$4:M$1000)</f>
        <v>9.5602771147176533</v>
      </c>
      <c r="O697" s="1" cm="1">
        <f t="array" ref="O697">SUMPRODUCT(("SUP_wodH2ccs"=[1]OUT_SyntheticFuels!$C$4:$C$1000)*1,ISNUMBER(SEARCH("wod",[1]OUT_SyntheticFuels!$A$4:$A$1000))*1,("Var_Fin"=[1]OUT_SyntheticFuels!$B$4:$B$1000)*1,[1]OUT_SyntheticFuels!N$4:N$1000)</f>
        <v>9.5601973979195609</v>
      </c>
      <c r="P697" s="1" cm="1">
        <f t="array" ref="P697">SUMPRODUCT(("SUP_wodH2ccs"=[1]OUT_SyntheticFuels!$C$4:$C$1000)*1,ISNUMBER(SEARCH("wod",[1]OUT_SyntheticFuels!$A$4:$A$1000))*1,("Var_Fin"=[1]OUT_SyntheticFuels!$B$4:$B$1000)*1,[1]OUT_SyntheticFuels!O$4:O$1000)</f>
        <v>10.500188842949528</v>
      </c>
      <c r="Q697" s="1" cm="1">
        <f t="array" ref="Q697">SUMPRODUCT(("SUP_wodH2ccs"=[1]OUT_SyntheticFuels!$C$4:$C$1000)*1,ISNUMBER(SEARCH("wod",[1]OUT_SyntheticFuels!$A$4:$A$1000))*1,("Var_Fin"=[1]OUT_SyntheticFuels!$B$4:$B$1000)*1,[1]OUT_SyntheticFuels!P$4:P$1000)</f>
        <v>10.537300486911102</v>
      </c>
      <c r="S697" s="3"/>
    </row>
    <row r="698" spans="2:19" x14ac:dyDescent="0.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M698" s="4" t="s">
        <v>292</v>
      </c>
      <c r="N698" s="4" t="s">
        <v>292</v>
      </c>
      <c r="O698" s="4" t="s">
        <v>292</v>
      </c>
      <c r="P698" s="4" t="s">
        <v>292</v>
      </c>
      <c r="Q698" s="4" t="s">
        <v>292</v>
      </c>
      <c r="S698" s="3"/>
    </row>
    <row r="699" spans="2:19" x14ac:dyDescent="0.5">
      <c r="B699" t="str">
        <f>B698</f>
        <v>SPS1</v>
      </c>
      <c r="C699" t="str">
        <f t="shared" ref="C699:C705" si="796">C698</f>
        <v>CH</v>
      </c>
      <c r="D699" t="s">
        <v>409</v>
      </c>
      <c r="E699" s="5" t="s">
        <v>240</v>
      </c>
      <c r="F699" s="4">
        <f>IFERROR(F664/F681,"-")</f>
        <v>0.68500000000000016</v>
      </c>
      <c r="G699" s="4">
        <f t="shared" ref="G699:K699" si="797">IFERROR(G664/G681,"-")</f>
        <v>0.69400000000000039</v>
      </c>
      <c r="H699" s="4">
        <f t="shared" si="797"/>
        <v>0.70750000000000002</v>
      </c>
      <c r="I699" s="4">
        <f t="shared" si="797"/>
        <v>0.72999999999999965</v>
      </c>
      <c r="J699" s="4">
        <f t="shared" si="797"/>
        <v>0.75249999999999995</v>
      </c>
      <c r="K699" s="4">
        <f t="shared" si="797"/>
        <v>0.77499999999999947</v>
      </c>
      <c r="L699" s="4">
        <f t="shared" ref="L699:O699" si="798">IFERROR(L664/L681,"-")</f>
        <v>0.79750000000000054</v>
      </c>
      <c r="M699" s="4">
        <f t="shared" si="798"/>
        <v>0.82000000000000117</v>
      </c>
      <c r="N699" s="4">
        <f t="shared" si="798"/>
        <v>0.82000000000000073</v>
      </c>
      <c r="O699" s="4">
        <f t="shared" si="798"/>
        <v>0.81999999999999951</v>
      </c>
      <c r="P699" s="4">
        <f>IFERROR(P664/P681,"-")</f>
        <v>0.82000000000000062</v>
      </c>
      <c r="Q699" s="4">
        <f>IFERROR(Q664/Q681,"-")</f>
        <v>0.82000000000000051</v>
      </c>
      <c r="S699" s="3"/>
    </row>
    <row r="700" spans="2:19" x14ac:dyDescent="0.5">
      <c r="B700" t="str">
        <f t="shared" ref="B700:B705" si="799">B699</f>
        <v>SPS1</v>
      </c>
      <c r="C700" t="str">
        <f t="shared" si="796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800">IFERROR(G665/G682,"-")</f>
        <v>-</v>
      </c>
      <c r="H700" s="4" t="str">
        <f t="shared" si="800"/>
        <v>-</v>
      </c>
      <c r="I700" s="4">
        <f t="shared" si="800"/>
        <v>0.72999999999999943</v>
      </c>
      <c r="J700" s="4">
        <f t="shared" si="800"/>
        <v>0.7525000000000005</v>
      </c>
      <c r="K700" s="4">
        <f t="shared" si="800"/>
        <v>0.77500000000000024</v>
      </c>
      <c r="L700" s="4">
        <f t="shared" ref="L700:O700" si="801">IFERROR(L665/L682,"-")</f>
        <v>0.79749999999999943</v>
      </c>
      <c r="M700" s="4">
        <f t="shared" si="801"/>
        <v>0.81999999999999973</v>
      </c>
      <c r="N700" s="4">
        <f t="shared" si="801"/>
        <v>0.82000000000000006</v>
      </c>
      <c r="O700" s="4">
        <f t="shared" si="801"/>
        <v>0.82000000000000084</v>
      </c>
      <c r="P700" s="4">
        <f>IFERROR(P665/P682,"-")</f>
        <v>0.82000000000000028</v>
      </c>
      <c r="Q700" s="4">
        <f>IFERROR(Q665/Q682,"-")</f>
        <v>0.81999999999999951</v>
      </c>
      <c r="S700" s="3"/>
    </row>
    <row r="701" spans="2:19" x14ac:dyDescent="0.5">
      <c r="B701" t="str">
        <f t="shared" si="799"/>
        <v>SPS1</v>
      </c>
      <c r="C701" t="str">
        <f t="shared" si="796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802">IFERROR(G666/SUM(G683,G685),"-")</f>
        <v>-</v>
      </c>
      <c r="H701" s="4" t="str">
        <f t="shared" si="802"/>
        <v>-</v>
      </c>
      <c r="I701" s="4" t="str">
        <f t="shared" si="802"/>
        <v>-</v>
      </c>
      <c r="J701" s="4" t="str">
        <f t="shared" si="802"/>
        <v>-</v>
      </c>
      <c r="K701" s="4">
        <f t="shared" si="802"/>
        <v>0.86999999999999988</v>
      </c>
      <c r="L701" s="4">
        <f t="shared" ref="L701:O701" si="803">IFERROR(L666/SUM(L683,L685),"-")</f>
        <v>0.88474576271186445</v>
      </c>
      <c r="M701" s="4">
        <f t="shared" si="803"/>
        <v>0.89999999999999991</v>
      </c>
      <c r="N701" s="4">
        <f t="shared" si="803"/>
        <v>0.9</v>
      </c>
      <c r="O701" s="4">
        <f t="shared" si="803"/>
        <v>0.9</v>
      </c>
      <c r="P701" s="4">
        <f>IFERROR(P666/SUM(P683,P685),"-")</f>
        <v>0.90000000000000013</v>
      </c>
      <c r="Q701" s="4">
        <f>IFERROR(Q666/SUM(Q683,Q685),"-")</f>
        <v>0.90000000000000013</v>
      </c>
      <c r="S701" s="3"/>
    </row>
    <row r="702" spans="2:19" x14ac:dyDescent="0.5">
      <c r="B702" t="str">
        <f t="shared" si="799"/>
        <v>SPS1</v>
      </c>
      <c r="C702" t="str">
        <f t="shared" si="796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804">IFERROR(G668/G687,"-")</f>
        <v>-</v>
      </c>
      <c r="H702" s="4" t="str">
        <f t="shared" si="804"/>
        <v>-</v>
      </c>
      <c r="I702" s="4" t="str">
        <f t="shared" si="804"/>
        <v>-</v>
      </c>
      <c r="J702" s="4" t="str">
        <f t="shared" si="804"/>
        <v>-</v>
      </c>
      <c r="K702" s="4" t="str">
        <f t="shared" si="804"/>
        <v>-</v>
      </c>
      <c r="L702" s="4" t="str">
        <f t="shared" ref="L702:O702" si="805">IFERROR(L668/L687,"-")</f>
        <v>-</v>
      </c>
      <c r="M702" s="4">
        <f t="shared" si="805"/>
        <v>0.76000000000000034</v>
      </c>
      <c r="N702" s="4">
        <f t="shared" si="805"/>
        <v>0.7599999999999999</v>
      </c>
      <c r="O702" s="4">
        <f t="shared" si="805"/>
        <v>0.75999999999999968</v>
      </c>
      <c r="P702" s="4">
        <f>IFERROR(P668/P687,"-")</f>
        <v>0.75999999999999945</v>
      </c>
      <c r="Q702" s="4">
        <f>IFERROR(Q668/Q687,"-")</f>
        <v>0.75999999999999923</v>
      </c>
      <c r="S702" s="3"/>
    </row>
    <row r="703" spans="2:19" x14ac:dyDescent="0.5">
      <c r="B703" t="str">
        <f t="shared" si="799"/>
        <v>SPS1</v>
      </c>
      <c r="C703" t="str">
        <f t="shared" si="796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804"/>
        <v>-</v>
      </c>
      <c r="H703" s="4" t="str">
        <f t="shared" si="804"/>
        <v>-</v>
      </c>
      <c r="I703" s="4" t="str">
        <f t="shared" si="804"/>
        <v>-</v>
      </c>
      <c r="J703" s="4" t="str">
        <f t="shared" si="804"/>
        <v>-</v>
      </c>
      <c r="K703" s="4" t="str">
        <f t="shared" si="804"/>
        <v>-</v>
      </c>
      <c r="L703" s="4" t="str">
        <f t="shared" ref="L703:O703" si="806">IFERROR(L669/L688,"-")</f>
        <v>-</v>
      </c>
      <c r="M703" s="4">
        <f t="shared" si="806"/>
        <v>0.69000000000000017</v>
      </c>
      <c r="N703" s="4">
        <f t="shared" si="806"/>
        <v>0.6900000000000005</v>
      </c>
      <c r="O703" s="4">
        <f t="shared" si="806"/>
        <v>0.69000000000000017</v>
      </c>
      <c r="P703" s="4">
        <f>IFERROR(P669/P688,"-")</f>
        <v>0.69000000000000006</v>
      </c>
      <c r="Q703" s="4">
        <f>IFERROR(Q669/Q688,"-")</f>
        <v>0.68999999999999972</v>
      </c>
      <c r="S703" s="3"/>
    </row>
    <row r="704" spans="2:19" x14ac:dyDescent="0.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807">IFERROR(G677/G696,"-")</f>
        <v>-</v>
      </c>
      <c r="H704" s="4" t="str">
        <f t="shared" si="807"/>
        <v>-</v>
      </c>
      <c r="I704" s="4" t="str">
        <f t="shared" si="807"/>
        <v>-</v>
      </c>
      <c r="J704" s="4" t="str">
        <f t="shared" si="807"/>
        <v>-</v>
      </c>
      <c r="K704" s="4" t="str">
        <f t="shared" si="807"/>
        <v>-</v>
      </c>
      <c r="L704" s="4" t="str">
        <f t="shared" ref="L704:O704" si="808">IFERROR(L677/L696,"-")</f>
        <v>-</v>
      </c>
      <c r="M704" s="4">
        <f t="shared" si="808"/>
        <v>0.59999999999808995</v>
      </c>
      <c r="N704" s="4">
        <f t="shared" si="808"/>
        <v>0.60000000000191633</v>
      </c>
      <c r="O704" s="4">
        <f t="shared" si="808"/>
        <v>0.59999999999697884</v>
      </c>
      <c r="P704" s="4">
        <f>IFERROR(P677/P696,"-")</f>
        <v>0.59999999999829157</v>
      </c>
      <c r="Q704" s="4">
        <f>IFERROR(Q677/Q696,"-")</f>
        <v>0.59999999999991271</v>
      </c>
      <c r="S704" s="3"/>
    </row>
    <row r="705" spans="2:19" x14ac:dyDescent="0.5">
      <c r="B705" t="str">
        <f t="shared" si="799"/>
        <v>SPS1</v>
      </c>
      <c r="C705" t="str">
        <f t="shared" si="796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807"/>
        <v>-</v>
      </c>
      <c r="H705" s="4" t="str">
        <f t="shared" si="807"/>
        <v>-</v>
      </c>
      <c r="I705" s="4" t="str">
        <f t="shared" si="807"/>
        <v>-</v>
      </c>
      <c r="J705" s="4" t="str">
        <f t="shared" si="807"/>
        <v>-</v>
      </c>
      <c r="K705" s="4" t="str">
        <f t="shared" si="807"/>
        <v>-</v>
      </c>
      <c r="L705" s="4" t="str">
        <f t="shared" ref="L705:O705" si="809">IFERROR(L678/L697,"-")</f>
        <v>-</v>
      </c>
      <c r="M705" s="4">
        <f t="shared" si="809"/>
        <v>0.58000000000000085</v>
      </c>
      <c r="N705" s="4">
        <f t="shared" si="809"/>
        <v>0.57999999999999985</v>
      </c>
      <c r="O705" s="4">
        <f t="shared" si="809"/>
        <v>0.5800000000000004</v>
      </c>
      <c r="P705" s="4">
        <f>IFERROR(P678/P697,"-")</f>
        <v>0.58000000000000007</v>
      </c>
      <c r="Q705" s="4">
        <f>IFERROR(Q678/Q697,"-")</f>
        <v>0.57999999999999963</v>
      </c>
      <c r="S705" s="3"/>
    </row>
    <row r="706" spans="2:19" x14ac:dyDescent="0.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1.1764710429128831</v>
      </c>
      <c r="G706" s="1">
        <f>[1]Other_transformation!C$39</f>
        <v>3.3700691398868199</v>
      </c>
      <c r="H706" s="1">
        <f>[1]Other_transformation!D$39</f>
        <v>2.5184191750773111</v>
      </c>
      <c r="I706" s="1">
        <f>[1]Other_transformation!E$39</f>
        <v>2.5183902506922653</v>
      </c>
      <c r="J706" s="1">
        <f>[1]Other_transformation!F$39</f>
        <v>2.5184358793329746</v>
      </c>
      <c r="K706" s="1">
        <f>[1]Other_transformation!G$39</f>
        <v>2.8155343671757</v>
      </c>
      <c r="L706" s="1">
        <f>[1]Other_transformation!H$39</f>
        <v>2.8148349414111684</v>
      </c>
      <c r="M706" s="1">
        <f>[1]Other_transformation!I$39</f>
        <v>3.2405826136007221</v>
      </c>
      <c r="N706" s="1">
        <f>[1]Other_transformation!J$39</f>
        <v>8.0766612698888203</v>
      </c>
      <c r="O706" s="1">
        <f>[1]Other_transformation!K$39</f>
        <v>8.7250175252383926</v>
      </c>
      <c r="P706" s="1">
        <f>[1]Other_transformation!L$39</f>
        <v>8.8104287621817452</v>
      </c>
      <c r="Q706" s="1">
        <f>[1]Other_transformation!M$39</f>
        <v>8.8961408225994276</v>
      </c>
      <c r="S706" s="3"/>
    </row>
    <row r="707" spans="2:19" x14ac:dyDescent="0.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1.2890706575083406</v>
      </c>
      <c r="G707" s="1">
        <f>[1]Other_transformation!C$38</f>
        <v>3.692617228594345</v>
      </c>
      <c r="H707" s="1">
        <f>[1]Other_transformation!D$38</f>
        <v>2.7594561561503022</v>
      </c>
      <c r="I707" s="1">
        <f>[1]Other_transformation!E$38</f>
        <v>2.7594244634229117</v>
      </c>
      <c r="J707" s="1">
        <f>[1]Other_transformation!F$38</f>
        <v>2.759474459164188</v>
      </c>
      <c r="K707" s="1">
        <f>[1]Other_transformation!G$38</f>
        <v>3.0850081349611815</v>
      </c>
      <c r="L707" s="1">
        <f>[1]Other_transformation!H$38</f>
        <v>3.0842417674117293</v>
      </c>
      <c r="M707" s="1">
        <f>[1]Other_transformation!I$38</f>
        <v>3.5507375940860322</v>
      </c>
      <c r="N707" s="1">
        <f>[1]Other_transformation!J$38</f>
        <v>8.8496755754137926</v>
      </c>
      <c r="O707" s="1">
        <f>[1]Other_transformation!K$38</f>
        <v>9.5600857715829921</v>
      </c>
      <c r="P707" s="1">
        <f>[1]Other_transformation!L$38</f>
        <v>9.6536716868746701</v>
      </c>
      <c r="Q707" s="1">
        <f>[1]Other_transformation!M$38</f>
        <v>9.7475872173457407</v>
      </c>
      <c r="S707" s="3"/>
    </row>
    <row r="708" spans="2:19" x14ac:dyDescent="0.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810">F706/F707</f>
        <v>0.91265054871925899</v>
      </c>
      <c r="G708" s="14">
        <f t="shared" si="810"/>
        <v>0.91265054871925944</v>
      </c>
      <c r="H708" s="14">
        <f t="shared" si="810"/>
        <v>0.91265054871925921</v>
      </c>
      <c r="I708" s="14">
        <f t="shared" si="810"/>
        <v>0.91265054871925833</v>
      </c>
      <c r="J708" s="14">
        <f t="shared" si="810"/>
        <v>0.91265054871925833</v>
      </c>
      <c r="K708" s="14">
        <f t="shared" si="810"/>
        <v>0.91265054871925899</v>
      </c>
      <c r="L708" s="14">
        <f t="shared" ref="L708:O708" si="811">L706/L707</f>
        <v>0.91265054871925788</v>
      </c>
      <c r="M708" s="14">
        <f t="shared" si="811"/>
        <v>0.91265054871925988</v>
      </c>
      <c r="N708" s="14">
        <f t="shared" si="811"/>
        <v>0.91265054871925877</v>
      </c>
      <c r="O708" s="14">
        <f t="shared" si="811"/>
        <v>0.91265054871925844</v>
      </c>
      <c r="P708" s="14">
        <f>P706/P707</f>
        <v>0.91265054871925932</v>
      </c>
      <c r="Q708" s="14">
        <f>Q706/Q707</f>
        <v>0.91265054871925921</v>
      </c>
      <c r="S708" s="3"/>
    </row>
    <row r="709" spans="2:19" x14ac:dyDescent="0.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5.9796292633891852</v>
      </c>
      <c r="G709" s="17" cm="1">
        <f t="array" ref="G709">SUMPRODUCT(("CT_CWODPLT"=[1]OUT_SyntheticFuels!$C$4:$C$1000)*1,("Var_Fout"=[1]OUT_SyntheticFuels!$B$4:$B$1000)*1,[1]OUT_SyntheticFuels!F$4:F$1000)</f>
        <v>6.9696480865395491</v>
      </c>
      <c r="H709" s="17" cm="1">
        <f t="array" ref="H709">SUMPRODUCT(("CT_CWODPLT"=[1]OUT_SyntheticFuels!$C$4:$C$1000)*1,("Var_Fout"=[1]OUT_SyntheticFuels!$B$4:$B$1000)*1,[1]OUT_SyntheticFuels!G$4:G$1000)</f>
        <v>6.8255030357490885</v>
      </c>
      <c r="I709" s="17" cm="1">
        <f t="array" ref="I709">SUMPRODUCT(("CT_CWODPLT"=[1]OUT_SyntheticFuels!$C$4:$C$1000)*1,("Var_Fout"=[1]OUT_SyntheticFuels!$B$4:$B$1000)*1,[1]OUT_SyntheticFuels!H$4:H$1000)</f>
        <v>7.0362117651801954</v>
      </c>
      <c r="J709" s="17" cm="1">
        <f t="array" ref="J709">SUMPRODUCT(("CT_CWODPLT"=[1]OUT_SyntheticFuels!$C$4:$C$1000)*1,("Var_Fout"=[1]OUT_SyntheticFuels!$B$4:$B$1000)*1,[1]OUT_SyntheticFuels!I$4:I$1000)</f>
        <v>7.3219892106229851</v>
      </c>
      <c r="K709" s="17" cm="1">
        <f t="array" ref="K709">SUMPRODUCT(("CT_CWODPLT"=[1]OUT_SyntheticFuels!$C$4:$C$1000)*1,("Var_Fout"=[1]OUT_SyntheticFuels!$B$4:$B$1000)*1,[1]OUT_SyntheticFuels!J$4:J$1000)</f>
        <v>7.7039317145682737</v>
      </c>
      <c r="L709" s="17" cm="1">
        <f t="array" ref="L709">SUMPRODUCT(("CT_CWODPLT"=[1]OUT_SyntheticFuels!$C$4:$C$1000)*1,("Var_Fout"=[1]OUT_SyntheticFuels!$B$4:$B$1000)*1,[1]OUT_SyntheticFuels!K$4:K$1000)</f>
        <v>7.8067123124338513</v>
      </c>
      <c r="M709" s="17" cm="1">
        <f t="array" ref="M709">SUMPRODUCT(("CT_CWODPLT"=[1]OUT_SyntheticFuels!$C$4:$C$1000)*1,("Var_Fout"=[1]OUT_SyntheticFuels!$B$4:$B$1000)*1,[1]OUT_SyntheticFuels!L$4:L$1000)</f>
        <v>8.1321647300028506</v>
      </c>
      <c r="N709" s="17" cm="1">
        <f t="array" ref="N709">SUMPRODUCT(("CT_CWODPLT"=[1]OUT_SyntheticFuels!$C$4:$C$1000)*1,("Var_Fout"=[1]OUT_SyntheticFuels!$B$4:$B$1000)*1,[1]OUT_SyntheticFuels!M$4:M$1000)</f>
        <v>7.5339232722345963</v>
      </c>
      <c r="O709" s="17" cm="1">
        <f t="array" ref="O709">SUMPRODUCT(("CT_CWODPLT"=[1]OUT_SyntheticFuels!$C$4:$C$1000)*1,("Var_Fout"=[1]OUT_SyntheticFuels!$B$4:$B$1000)*1,[1]OUT_SyntheticFuels!N$4:N$1000)</f>
        <v>7.6222321505928452</v>
      </c>
      <c r="P709" s="17" cm="1">
        <f t="array" ref="P709">SUMPRODUCT(("CT_CWODPLT"=[1]OUT_SyntheticFuels!$C$4:$C$1000)*1,("Var_Fout"=[1]OUT_SyntheticFuels!$B$4:$B$1000)*1,[1]OUT_SyntheticFuels!O$4:O$1000)</f>
        <v>7.6231811013687176</v>
      </c>
      <c r="Q709" s="17" cm="1">
        <f t="array" ref="Q709">SUMPRODUCT(("CT_CWODPLT"=[1]OUT_SyntheticFuels!$C$4:$C$1000)*1,("Var_Fout"=[1]OUT_SyntheticFuels!$B$4:$B$1000)*1,[1]OUT_SyntheticFuels!P$4:P$1000)</f>
        <v>7.6239045433318298</v>
      </c>
      <c r="S709" s="3"/>
    </row>
    <row r="710" spans="2:19" x14ac:dyDescent="0.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5.9796292633891852</v>
      </c>
      <c r="G710" s="18">
        <f t="shared" ref="G710:K710" si="812">G709</f>
        <v>6.9696480865395491</v>
      </c>
      <c r="H710" s="18">
        <f t="shared" si="812"/>
        <v>6.8255030357490885</v>
      </c>
      <c r="I710" s="18">
        <f t="shared" si="812"/>
        <v>7.0362117651801954</v>
      </c>
      <c r="J710" s="18">
        <f t="shared" si="812"/>
        <v>7.3219892106229851</v>
      </c>
      <c r="K710" s="18">
        <f t="shared" si="812"/>
        <v>7.7039317145682737</v>
      </c>
      <c r="L710" s="18">
        <f t="shared" ref="L710:O710" si="813">L709</f>
        <v>7.8067123124338513</v>
      </c>
      <c r="M710" s="18">
        <f t="shared" si="813"/>
        <v>8.1321647300028506</v>
      </c>
      <c r="N710" s="18">
        <f t="shared" si="813"/>
        <v>7.5339232722345963</v>
      </c>
      <c r="O710" s="18">
        <f t="shared" si="813"/>
        <v>7.6222321505928452</v>
      </c>
      <c r="P710" s="18">
        <f>P709</f>
        <v>7.6231811013687176</v>
      </c>
      <c r="Q710" s="18">
        <f>Q709</f>
        <v>7.6239045433318298</v>
      </c>
      <c r="S710" s="3"/>
    </row>
    <row r="711" spans="2:19" x14ac:dyDescent="0.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7.1186062659395022</v>
      </c>
      <c r="G711" s="17" cm="1">
        <f t="array" ref="G711">SUMPRODUCT(("CT_CWODPLT"=[1]OUT_SyntheticFuels!$C$4:$C$1000)*1,("Var_Fin"=[1]OUT_SyntheticFuels!$B$4:$B$1000)*1,[1]OUT_SyntheticFuels!F$4:F$1000)</f>
        <v>8.2972001030232736</v>
      </c>
      <c r="H711" s="17" cm="1">
        <f t="array" ref="H711">SUMPRODUCT(("CT_CWODPLT"=[1]OUT_SyntheticFuels!$C$4:$C$1000)*1,("Var_Fin"=[1]OUT_SyntheticFuels!$B$4:$B$1000)*1,[1]OUT_SyntheticFuels!G$4:G$1000)</f>
        <v>8.1255988520822413</v>
      </c>
      <c r="I711" s="17" cm="1">
        <f t="array" ref="I711">SUMPRODUCT(("CT_CWODPLT"=[1]OUT_SyntheticFuels!$C$4:$C$1000)*1,("Var_Fin"=[1]OUT_SyntheticFuels!$B$4:$B$1000)*1,[1]OUT_SyntheticFuels!H$4:H$1000)</f>
        <v>8.3764425775954656</v>
      </c>
      <c r="J711" s="17" cm="1">
        <f t="array" ref="J711">SUMPRODUCT(("CT_CWODPLT"=[1]OUT_SyntheticFuels!$C$4:$C$1000)*1,("Var_Fin"=[1]OUT_SyntheticFuels!$B$4:$B$1000)*1,[1]OUT_SyntheticFuels!I$4:I$1000)</f>
        <v>8.7166538221702119</v>
      </c>
      <c r="K711" s="17" cm="1">
        <f t="array" ref="K711">SUMPRODUCT(("CT_CWODPLT"=[1]OUT_SyntheticFuels!$C$4:$C$1000)*1,("Var_Fin"=[1]OUT_SyntheticFuels!$B$4:$B$1000)*1,[1]OUT_SyntheticFuels!J$4:J$1000)</f>
        <v>9.1713472792479376</v>
      </c>
      <c r="L711" s="17" cm="1">
        <f t="array" ref="L711">SUMPRODUCT(("CT_CWODPLT"=[1]OUT_SyntheticFuels!$C$4:$C$1000)*1,("Var_Fin"=[1]OUT_SyntheticFuels!$B$4:$B$1000)*1,[1]OUT_SyntheticFuels!K$4:K$1000)</f>
        <v>9.2937051338498193</v>
      </c>
      <c r="M711" s="17" cm="1">
        <f t="array" ref="M711">SUMPRODUCT(("CT_CWODPLT"=[1]OUT_SyntheticFuels!$C$4:$C$1000)*1,("Var_Fin"=[1]OUT_SyntheticFuels!$B$4:$B$1000)*1,[1]OUT_SyntheticFuels!L$4:L$1000)</f>
        <v>9.6811484880986232</v>
      </c>
      <c r="N711" s="17" cm="1">
        <f t="array" ref="N711">SUMPRODUCT(("CT_CWODPLT"=[1]OUT_SyntheticFuels!$C$4:$C$1000)*1,("Var_Fin"=[1]OUT_SyntheticFuels!$B$4:$B$1000)*1,[1]OUT_SyntheticFuels!M$4:M$1000)</f>
        <v>8.9689562764697488</v>
      </c>
      <c r="O711" s="17" cm="1">
        <f t="array" ref="O711">SUMPRODUCT(("CT_CWODPLT"=[1]OUT_SyntheticFuels!$C$4:$C$1000)*1,("Var_Fin"=[1]OUT_SyntheticFuels!$B$4:$B$1000)*1,[1]OUT_SyntheticFuels!N$4:N$1000)</f>
        <v>9.0740858935629021</v>
      </c>
      <c r="P711" s="17" cm="1">
        <f t="array" ref="P711">SUMPRODUCT(("CT_CWODPLT"=[1]OUT_SyntheticFuels!$C$4:$C$1000)*1,("Var_Fin"=[1]OUT_SyntheticFuels!$B$4:$B$1000)*1,[1]OUT_SyntheticFuels!O$4:O$1000)</f>
        <v>9.0752155968675208</v>
      </c>
      <c r="Q711" s="17" cm="1">
        <f t="array" ref="Q711">SUMPRODUCT(("CT_CWODPLT"=[1]OUT_SyntheticFuels!$C$4:$C$1000)*1,("Var_Fin"=[1]OUT_SyntheticFuels!$B$4:$B$1000)*1,[1]OUT_SyntheticFuels!P$4:P$1000)</f>
        <v>9.0760768372997962</v>
      </c>
      <c r="S711" s="3"/>
    </row>
    <row r="712" spans="2:19" x14ac:dyDescent="0.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814">F711</f>
        <v>7.1186062659395022</v>
      </c>
      <c r="G712" s="18">
        <f t="shared" si="814"/>
        <v>8.2972001030232736</v>
      </c>
      <c r="H712" s="18">
        <f t="shared" si="814"/>
        <v>8.1255988520822413</v>
      </c>
      <c r="I712" s="18">
        <f t="shared" si="814"/>
        <v>8.3764425775954656</v>
      </c>
      <c r="J712" s="18">
        <f t="shared" si="814"/>
        <v>8.7166538221702119</v>
      </c>
      <c r="K712" s="18">
        <f t="shared" si="814"/>
        <v>9.1713472792479376</v>
      </c>
      <c r="L712" s="18">
        <f t="shared" ref="L712:O712" si="815">L711</f>
        <v>9.2937051338498193</v>
      </c>
      <c r="M712" s="18">
        <f t="shared" si="815"/>
        <v>9.6811484880986232</v>
      </c>
      <c r="N712" s="18">
        <f t="shared" si="815"/>
        <v>8.9689562764697488</v>
      </c>
      <c r="O712" s="18">
        <f t="shared" si="815"/>
        <v>9.0740858935629021</v>
      </c>
      <c r="P712" s="18">
        <f>P711</f>
        <v>9.0752155968675208</v>
      </c>
      <c r="Q712" s="18">
        <f>Q711</f>
        <v>9.0760768372997962</v>
      </c>
      <c r="S712" s="3"/>
    </row>
    <row r="713" spans="2:19" x14ac:dyDescent="0.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816">IFERROR(F709/F711,"-")</f>
        <v>0.84000000000000052</v>
      </c>
      <c r="G713" s="14">
        <f t="shared" si="816"/>
        <v>0.84</v>
      </c>
      <c r="H713" s="14">
        <f t="shared" si="816"/>
        <v>0.84000000000000075</v>
      </c>
      <c r="I713" s="14">
        <f t="shared" si="816"/>
        <v>0.84000000000000052</v>
      </c>
      <c r="J713" s="14">
        <f t="shared" si="816"/>
        <v>0.84000000000000086</v>
      </c>
      <c r="K713" s="14">
        <f t="shared" si="816"/>
        <v>0.84000000000000064</v>
      </c>
      <c r="L713" s="14">
        <f t="shared" ref="L713:O713" si="817">IFERROR(L709/L711,"-")</f>
        <v>0.8400000000000003</v>
      </c>
      <c r="M713" s="14">
        <f t="shared" si="817"/>
        <v>0.84000000000000075</v>
      </c>
      <c r="N713" s="14">
        <f t="shared" si="817"/>
        <v>0.84000000000000086</v>
      </c>
      <c r="O713" s="14">
        <f t="shared" si="817"/>
        <v>0.84000000000000086</v>
      </c>
      <c r="P713" s="14">
        <f>IFERROR(P709/P711,"-")</f>
        <v>0.84</v>
      </c>
      <c r="Q713" s="14">
        <f>IFERROR(Q709/Q711,"-")</f>
        <v>0.84000000000000008</v>
      </c>
      <c r="S713" s="3"/>
    </row>
    <row r="714" spans="2:19" x14ac:dyDescent="0.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818">G715+G717</f>
        <v>0</v>
      </c>
      <c r="H714" s="17">
        <f t="shared" si="818"/>
        <v>0</v>
      </c>
      <c r="I714" s="17">
        <f t="shared" si="818"/>
        <v>0</v>
      </c>
      <c r="J714" s="17">
        <f t="shared" si="818"/>
        <v>0</v>
      </c>
      <c r="K714" s="17">
        <f t="shared" si="818"/>
        <v>0.15961334743545375</v>
      </c>
      <c r="L714" s="17">
        <f t="shared" ref="L714:O714" si="819">L715+L717</f>
        <v>0.11218227933605873</v>
      </c>
      <c r="M714" s="17">
        <f t="shared" si="819"/>
        <v>0.32191184601576756</v>
      </c>
      <c r="N714" s="17">
        <f t="shared" si="819"/>
        <v>1.3457721950580062</v>
      </c>
      <c r="O714" s="17">
        <f t="shared" si="819"/>
        <v>5.0603801925111283</v>
      </c>
      <c r="P714" s="17">
        <f>P715+P717</f>
        <v>7.2311253823582975</v>
      </c>
      <c r="Q714" s="17">
        <f>Q715+Q717</f>
        <v>7.2624986315399473</v>
      </c>
      <c r="S714" s="3"/>
    </row>
    <row r="715" spans="2:19" x14ac:dyDescent="0.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O715" si="820">G716</f>
        <v>0</v>
      </c>
      <c r="H715" s="18">
        <f t="shared" si="820"/>
        <v>0</v>
      </c>
      <c r="I715" s="18">
        <f t="shared" si="820"/>
        <v>0</v>
      </c>
      <c r="J715" s="18">
        <f t="shared" si="820"/>
        <v>0</v>
      </c>
      <c r="K715" s="18">
        <f t="shared" si="820"/>
        <v>2.5998677713667947E-4</v>
      </c>
      <c r="L715" s="18">
        <f t="shared" si="820"/>
        <v>1.065987486067412E-4</v>
      </c>
      <c r="M715" s="18">
        <f t="shared" si="820"/>
        <v>1.8707436984412649E-3</v>
      </c>
      <c r="N715" s="18">
        <f t="shared" si="820"/>
        <v>1.2790105991057088</v>
      </c>
      <c r="O715" s="18">
        <f t="shared" si="820"/>
        <v>5.0032939787322066</v>
      </c>
      <c r="P715" s="18">
        <f>P716</f>
        <v>7.1322654073113947</v>
      </c>
      <c r="Q715" s="18">
        <f>Q716</f>
        <v>7.1776958896226253</v>
      </c>
      <c r="S715" s="3"/>
    </row>
    <row r="716" spans="2:19" x14ac:dyDescent="0.5">
      <c r="B716" s="5" t="str">
        <f t="shared" ref="B716:C718" si="821">B714</f>
        <v>SPS1</v>
      </c>
      <c r="C716" s="5" t="str">
        <f t="shared" si="821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SUMPRODUCT(("SUP_H2NGA"=[1]OUT_SyntheticFuels!$C$4:$C$1000)*1,("NGA"=[1]OUT_SyntheticFuels!$A$4:$A$1000)*1,("Var_Fout"=[1]OUT_SyntheticFuels!$B$4:$B$1000)*1,[1]OUT_SyntheticFuels!I$4:I$1000)</f>
        <v>0</v>
      </c>
      <c r="K716" s="18" cm="1">
        <f t="array" ref="K716">SUMPRODUCT(("SUP_H2NGA"=[1]OUT_SyntheticFuels!$C$4:$C$1000)*1,("NGA"=[1]OUT_SyntheticFuels!$A$4:$A$1000)*1,("Var_Fout"=[1]OUT_SyntheticFuels!$B$4:$B$1000)*1,[1]OUT_SyntheticFuels!J$4:J$1000)</f>
        <v>2.5998677713667947E-4</v>
      </c>
      <c r="L716" s="18" cm="1">
        <f t="array" ref="L716">SUMPRODUCT(("SUP_H2NGA"=[1]OUT_SyntheticFuels!$C$4:$C$1000)*1,("NGA"=[1]OUT_SyntheticFuels!$A$4:$A$1000)*1,("Var_Fout"=[1]OUT_SyntheticFuels!$B$4:$B$1000)*1,[1]OUT_SyntheticFuels!K$4:K$1000)</f>
        <v>1.065987486067412E-4</v>
      </c>
      <c r="M716" s="18" cm="1">
        <f t="array" ref="M716">SUMPRODUCT(("SUP_H2NGA"=[1]OUT_SyntheticFuels!$C$4:$C$1000)*1,("NGA"=[1]OUT_SyntheticFuels!$A$4:$A$1000)*1,("Var_Fout"=[1]OUT_SyntheticFuels!$B$4:$B$1000)*1,[1]OUT_SyntheticFuels!L$4:L$1000)</f>
        <v>1.8707436984412649E-3</v>
      </c>
      <c r="N716" s="18" cm="1">
        <f t="array" ref="N716">SUMPRODUCT(("SUP_H2NGA"=[1]OUT_SyntheticFuels!$C$4:$C$1000)*1,("NGA"=[1]OUT_SyntheticFuels!$A$4:$A$1000)*1,("Var_Fout"=[1]OUT_SyntheticFuels!$B$4:$B$1000)*1,[1]OUT_SyntheticFuels!M$4:M$1000)</f>
        <v>1.2790105991057088</v>
      </c>
      <c r="O716" s="18" cm="1">
        <f t="array" ref="O716">SUMPRODUCT(("SUP_H2NGA"=[1]OUT_SyntheticFuels!$C$4:$C$1000)*1,("NGA"=[1]OUT_SyntheticFuels!$A$4:$A$1000)*1,("Var_Fout"=[1]OUT_SyntheticFuels!$B$4:$B$1000)*1,[1]OUT_SyntheticFuels!N$4:N$1000)</f>
        <v>5.0032939787322066</v>
      </c>
      <c r="P716" s="18" cm="1">
        <f t="array" ref="P716">SUMPRODUCT(("SUP_H2NGA"=[1]OUT_SyntheticFuels!$C$4:$C$1000)*1,("NGA"=[1]OUT_SyntheticFuels!$A$4:$A$1000)*1,("Var_Fout"=[1]OUT_SyntheticFuels!$B$4:$B$1000)*1,[1]OUT_SyntheticFuels!O$4:O$1000)</f>
        <v>7.1322654073113947</v>
      </c>
      <c r="Q716" s="18" cm="1">
        <f t="array" ref="Q716">SUMPRODUCT(("SUP_H2NGA"=[1]OUT_SyntheticFuels!$C$4:$C$1000)*1,("NGA"=[1]OUT_SyntheticFuels!$A$4:$A$1000)*1,("Var_Fout"=[1]OUT_SyntheticFuels!$B$4:$B$1000)*1,[1]OUT_SyntheticFuels!P$4:P$1000)</f>
        <v>7.1776958896226253</v>
      </c>
      <c r="S716" s="3"/>
    </row>
    <row r="717" spans="2:19" x14ac:dyDescent="0.5">
      <c r="B717" s="5" t="str">
        <f t="shared" si="821"/>
        <v>SPS1</v>
      </c>
      <c r="C717" s="5" t="str">
        <f t="shared" si="821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822">SUM(G718:G720)</f>
        <v>0</v>
      </c>
      <c r="H717" s="18">
        <f t="shared" si="822"/>
        <v>0</v>
      </c>
      <c r="I717" s="18">
        <f t="shared" si="822"/>
        <v>0</v>
      </c>
      <c r="J717" s="18">
        <f t="shared" si="822"/>
        <v>0</v>
      </c>
      <c r="K717" s="18">
        <f t="shared" si="822"/>
        <v>0.15935336065831707</v>
      </c>
      <c r="L717" s="18">
        <f t="shared" ref="L717:O717" si="823">SUM(L718:L720)</f>
        <v>0.11207568058745199</v>
      </c>
      <c r="M717" s="18">
        <f t="shared" si="823"/>
        <v>0.3200411023173263</v>
      </c>
      <c r="N717" s="18">
        <f t="shared" si="823"/>
        <v>6.676159595229729E-2</v>
      </c>
      <c r="O717" s="18">
        <f t="shared" si="823"/>
        <v>5.7086213778921799E-2</v>
      </c>
      <c r="P717" s="18">
        <f>SUM(P718:P720)</f>
        <v>9.8859975046902512E-2</v>
      </c>
      <c r="Q717" s="18">
        <f>SUM(Q718:Q720)</f>
        <v>8.480274191732172E-2</v>
      </c>
      <c r="S717" s="3"/>
    </row>
    <row r="718" spans="2:19" x14ac:dyDescent="0.5">
      <c r="B718" s="5" t="str">
        <f t="shared" si="821"/>
        <v>SPS1</v>
      </c>
      <c r="C718" s="5" t="str">
        <f t="shared" si="821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SUMPRODUCT(("SUP_H2DSL"=[1]OUT_SyntheticFuels!$C$4:$C$1000)*1,("DSL"=[1]OUT_SyntheticFuels!$A$4:$A$1000)*1,("Var_Fout"=[1]OUT_SyntheticFuels!$B$4:$B$1000)*1,[1]OUT_SyntheticFuels!I$4:I$1000)</f>
        <v>0</v>
      </c>
      <c r="K718" s="18" cm="1">
        <f t="array" ref="K718">SUMPRODUCT(("SUP_H2DSL"=[1]OUT_SyntheticFuels!$C$4:$C$1000)*1,("DSL"=[1]OUT_SyntheticFuels!$A$4:$A$1000)*1,("Var_Fout"=[1]OUT_SyntheticFuels!$B$4:$B$1000)*1,[1]OUT_SyntheticFuels!J$4:J$1000)</f>
        <v>1.3155310925472969E-3</v>
      </c>
      <c r="L718" s="18" cm="1">
        <f t="array" ref="L718">SUMPRODUCT(("SUP_H2DSL"=[1]OUT_SyntheticFuels!$C$4:$C$1000)*1,("DSL"=[1]OUT_SyntheticFuels!$A$4:$A$1000)*1,("Var_Fout"=[1]OUT_SyntheticFuels!$B$4:$B$1000)*1,[1]OUT_SyntheticFuels!K$4:K$1000)</f>
        <v>6.079381921137903E-4</v>
      </c>
      <c r="M718" s="18" cm="1">
        <f t="array" ref="M718">SUMPRODUCT(("SUP_H2DSL"=[1]OUT_SyntheticFuels!$C$4:$C$1000)*1,("DSL"=[1]OUT_SyntheticFuels!$A$4:$A$1000)*1,("Var_Fout"=[1]OUT_SyntheticFuels!$B$4:$B$1000)*1,[1]OUT_SyntheticFuels!L$4:L$1000)</f>
        <v>2.6245932535300153E-4</v>
      </c>
      <c r="N718" s="18" cm="1">
        <f t="array" ref="N718">SUMPRODUCT(("SUP_H2DSL"=[1]OUT_SyntheticFuels!$C$4:$C$1000)*1,("DSL"=[1]OUT_SyntheticFuels!$A$4:$A$1000)*1,("Var_Fout"=[1]OUT_SyntheticFuels!$B$4:$B$1000)*1,[1]OUT_SyntheticFuels!M$4:M$1000)</f>
        <v>1.7533231683947671E-4</v>
      </c>
      <c r="O718" s="18" cm="1">
        <f t="array" ref="O718">SUMPRODUCT(("SUP_H2DSL"=[1]OUT_SyntheticFuels!$C$4:$C$1000)*1,("DSL"=[1]OUT_SyntheticFuels!$A$4:$A$1000)*1,("Var_Fout"=[1]OUT_SyntheticFuels!$B$4:$B$1000)*1,[1]OUT_SyntheticFuels!N$4:N$1000)</f>
        <v>2.7616115801125211E-4</v>
      </c>
      <c r="P718" s="18" cm="1">
        <f t="array" ref="P718">SUMPRODUCT(("SUP_H2DSL"=[1]OUT_SyntheticFuels!$C$4:$C$1000)*1,("DSL"=[1]OUT_SyntheticFuels!$A$4:$A$1000)*1,("Var_Fout"=[1]OUT_SyntheticFuels!$B$4:$B$1000)*1,[1]OUT_SyntheticFuels!O$4:O$1000)</f>
        <v>2.9421776679642447E-4</v>
      </c>
      <c r="Q718" s="18" cm="1">
        <f t="array" ref="Q718">SUMPRODUCT(("SUP_H2DSL"=[1]OUT_SyntheticFuels!$C$4:$C$1000)*1,("DSL"=[1]OUT_SyntheticFuels!$A$4:$A$1000)*1,("Var_Fout"=[1]OUT_SyntheticFuels!$B$4:$B$1000)*1,[1]OUT_SyntheticFuels!P$4:P$1000)</f>
        <v>4.9417464655136377E-4</v>
      </c>
      <c r="S718" s="3"/>
    </row>
    <row r="719" spans="2:19" x14ac:dyDescent="0.5">
      <c r="B719" s="5" t="str">
        <f t="shared" ref="B719:C721" si="824">B718</f>
        <v>SPS1</v>
      </c>
      <c r="C719" s="5" t="str">
        <f t="shared" si="824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SUMPRODUCT(("SUP_H2gsl"=[1]OUT_SyntheticFuels!$C$4:$C$1000)*1,("gsl"=[1]OUT_SyntheticFuels!$A$4:$A$1000)*1,("Var_Fout"=[1]OUT_SyntheticFuels!$B$4:$B$1000)*1,[1]OUT_SyntheticFuels!I$4:I$1000)</f>
        <v>0</v>
      </c>
      <c r="K719" s="18" cm="1">
        <f t="array" ref="K719">SUMPRODUCT(("SUP_H2gsl"=[1]OUT_SyntheticFuels!$C$4:$C$1000)*1,("gsl"=[1]OUT_SyntheticFuels!$A$4:$A$1000)*1,("Var_Fout"=[1]OUT_SyntheticFuels!$B$4:$B$1000)*1,[1]OUT_SyntheticFuels!J$4:J$1000)</f>
        <v>0.15786632122819644</v>
      </c>
      <c r="L719" s="18" cm="1">
        <f t="array" ref="L719">SUMPRODUCT(("SUP_H2gsl"=[1]OUT_SyntheticFuels!$C$4:$C$1000)*1,("gsl"=[1]OUT_SyntheticFuels!$A$4:$A$1000)*1,("Var_Fout"=[1]OUT_SyntheticFuels!$B$4:$B$1000)*1,[1]OUT_SyntheticFuels!K$4:K$1000)</f>
        <v>0.11138715857687166</v>
      </c>
      <c r="M719" s="18" cm="1">
        <f t="array" ref="M719">SUMPRODUCT(("SUP_H2gsl"=[1]OUT_SyntheticFuels!$C$4:$C$1000)*1,("gsl"=[1]OUT_SyntheticFuels!$A$4:$A$1000)*1,("Var_Fout"=[1]OUT_SyntheticFuels!$B$4:$B$1000)*1,[1]OUT_SyntheticFuels!L$4:L$1000)</f>
        <v>0.31977864299197328</v>
      </c>
      <c r="N719" s="18" cm="1">
        <f t="array" ref="N719">SUMPRODUCT(("SUP_H2gsl"=[1]OUT_SyntheticFuels!$C$4:$C$1000)*1,("gsl"=[1]OUT_SyntheticFuels!$A$4:$A$1000)*1,("Var_Fout"=[1]OUT_SyntheticFuels!$B$4:$B$1000)*1,[1]OUT_SyntheticFuels!M$4:M$1000)</f>
        <v>6.6564858382103562E-2</v>
      </c>
      <c r="O719" s="18" cm="1">
        <f t="array" ref="O719">SUMPRODUCT(("SUP_H2gsl"=[1]OUT_SyntheticFuels!$C$4:$C$1000)*1,("gsl"=[1]OUT_SyntheticFuels!$A$4:$A$1000)*1,("Var_Fout"=[1]OUT_SyntheticFuels!$B$4:$B$1000)*1,[1]OUT_SyntheticFuels!N$4:N$1000)</f>
        <v>5.6774783308111421E-2</v>
      </c>
      <c r="P719" s="18" cm="1">
        <f t="array" ref="P719">SUMPRODUCT(("SUP_H2gsl"=[1]OUT_SyntheticFuels!$C$4:$C$1000)*1,("gsl"=[1]OUT_SyntheticFuels!$A$4:$A$1000)*1,("Var_Fout"=[1]OUT_SyntheticFuels!$B$4:$B$1000)*1,[1]OUT_SyntheticFuels!O$4:O$1000)</f>
        <v>9.8529032100868913E-2</v>
      </c>
      <c r="Q719" s="18" cm="1">
        <f t="array" ref="Q719">SUMPRODUCT(("SUP_H2gsl"=[1]OUT_SyntheticFuels!$C$4:$C$1000)*1,("gsl"=[1]OUT_SyntheticFuels!$A$4:$A$1000)*1,("Var_Fout"=[1]OUT_SyntheticFuels!$B$4:$B$1000)*1,[1]OUT_SyntheticFuels!P$4:P$1000)</f>
        <v>8.4244807186383538E-2</v>
      </c>
      <c r="S719" s="3"/>
    </row>
    <row r="720" spans="2:19" x14ac:dyDescent="0.5">
      <c r="B720" s="5" t="str">
        <f t="shared" si="824"/>
        <v>SPS1</v>
      </c>
      <c r="C720" s="5" t="str">
        <f t="shared" si="824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SUMPRODUCT(("SUP_H2DSL"=[1]OUT_SyntheticFuels!$C$4:$C$1000)*1,("KER"=[1]OUT_SyntheticFuels!$A$4:$A$1000)*1,("Var_Fout"=[1]OUT_SyntheticFuels!$B$4:$B$1000)*1,[1]OUT_SyntheticFuels!I$4:I$1000)</f>
        <v>0</v>
      </c>
      <c r="K720" s="18" cm="1">
        <f t="array" ref="K720">SUMPRODUCT(("SUP_H2DSL"=[1]OUT_SyntheticFuels!$C$4:$C$1000)*1,("KER"=[1]OUT_SyntheticFuels!$A$4:$A$1000)*1,("Var_Fout"=[1]OUT_SyntheticFuels!$B$4:$B$1000)*1,[1]OUT_SyntheticFuels!J$4:J$1000)</f>
        <v>1.7150833757334209E-4</v>
      </c>
      <c r="L720" s="18" cm="1">
        <f t="array" ref="L720">SUMPRODUCT(("SUP_H2DSL"=[1]OUT_SyntheticFuels!$C$4:$C$1000)*1,("KER"=[1]OUT_SyntheticFuels!$A$4:$A$1000)*1,("Var_Fout"=[1]OUT_SyntheticFuels!$B$4:$B$1000)*1,[1]OUT_SyntheticFuels!K$4:K$1000)</f>
        <v>8.0583818466534968E-5</v>
      </c>
      <c r="M720" s="18" cm="1">
        <f t="array" ref="M720">SUMPRODUCT(("SUP_H2DSL"=[1]OUT_SyntheticFuels!$C$4:$C$1000)*1,("KER"=[1]OUT_SyntheticFuels!$A$4:$A$1000)*1,("Var_Fout"=[1]OUT_SyntheticFuels!$B$4:$B$1000)*1,[1]OUT_SyntheticFuels!L$4:L$1000)</f>
        <v>0</v>
      </c>
      <c r="N720" s="18" cm="1">
        <f t="array" ref="N720">SUMPRODUCT(("SUP_H2DSL"=[1]OUT_SyntheticFuels!$C$4:$C$1000)*1,("KER"=[1]OUT_SyntheticFuels!$A$4:$A$1000)*1,("Var_Fout"=[1]OUT_SyntheticFuels!$B$4:$B$1000)*1,[1]OUT_SyntheticFuels!M$4:M$1000)</f>
        <v>2.1405253354250918E-5</v>
      </c>
      <c r="O720" s="18" cm="1">
        <f t="array" ref="O720">SUMPRODUCT(("SUP_H2DSL"=[1]OUT_SyntheticFuels!$C$4:$C$1000)*1,("KER"=[1]OUT_SyntheticFuels!$A$4:$A$1000)*1,("Var_Fout"=[1]OUT_SyntheticFuels!$B$4:$B$1000)*1,[1]OUT_SyntheticFuels!N$4:N$1000)</f>
        <v>3.5269312799123169E-5</v>
      </c>
      <c r="P720" s="18" cm="1">
        <f t="array" ref="P720">SUMPRODUCT(("SUP_H2DSL"=[1]OUT_SyntheticFuels!$C$4:$C$1000)*1,("KER"=[1]OUT_SyntheticFuels!$A$4:$A$1000)*1,("Var_Fout"=[1]OUT_SyntheticFuels!$B$4:$B$1000)*1,[1]OUT_SyntheticFuels!O$4:O$1000)</f>
        <v>3.6725179237163257E-5</v>
      </c>
      <c r="Q720" s="18" cm="1">
        <f t="array" ref="Q720">SUMPRODUCT(("SUP_H2DSL"=[1]OUT_SyntheticFuels!$C$4:$C$1000)*1,("KER"=[1]OUT_SyntheticFuels!$A$4:$A$1000)*1,("Var_Fout"=[1]OUT_SyntheticFuels!$B$4:$B$1000)*1,[1]OUT_SyntheticFuels!P$4:P$1000)</f>
        <v>6.3760084386818726E-5</v>
      </c>
      <c r="S720" s="3"/>
    </row>
    <row r="721" spans="2:19" x14ac:dyDescent="0.5">
      <c r="B721" s="9" t="str">
        <f t="shared" si="824"/>
        <v>SPS1</v>
      </c>
      <c r="C721" s="9" t="str">
        <f t="shared" si="824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O721" si="825">G722</f>
        <v>0</v>
      </c>
      <c r="H721" s="17">
        <f t="shared" si="825"/>
        <v>0</v>
      </c>
      <c r="I721" s="17">
        <f t="shared" si="825"/>
        <v>0</v>
      </c>
      <c r="J721" s="17">
        <f t="shared" si="825"/>
        <v>0</v>
      </c>
      <c r="K721" s="17">
        <f t="shared" si="825"/>
        <v>0.22909259836714621</v>
      </c>
      <c r="L721" s="17">
        <f t="shared" si="825"/>
        <v>0.16075616944421975</v>
      </c>
      <c r="M721" s="17">
        <f t="shared" si="825"/>
        <v>0.4597089634117339</v>
      </c>
      <c r="N721" s="17">
        <f t="shared" si="825"/>
        <v>1.756484576218702</v>
      </c>
      <c r="O721" s="17">
        <f t="shared" si="825"/>
        <v>6.5794277914315584</v>
      </c>
      <c r="P721" s="17">
        <f>P722</f>
        <v>9.404008148130691</v>
      </c>
      <c r="Q721" s="17">
        <f>Q722</f>
        <v>9.4429945464465277</v>
      </c>
      <c r="S721" s="3"/>
    </row>
    <row r="722" spans="2:19" x14ac:dyDescent="0.5">
      <c r="B722" s="5" t="str">
        <f>B721</f>
        <v>SPS1</v>
      </c>
      <c r="C722" s="5" t="str">
        <f t="shared" ref="C722:C728" si="826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827">SUM(G723,G725)</f>
        <v>0</v>
      </c>
      <c r="H722" s="18">
        <f t="shared" si="827"/>
        <v>0</v>
      </c>
      <c r="I722" s="18">
        <f t="shared" si="827"/>
        <v>0</v>
      </c>
      <c r="J722" s="18">
        <f t="shared" si="827"/>
        <v>0</v>
      </c>
      <c r="K722" s="18">
        <f t="shared" si="827"/>
        <v>0.22909259836714621</v>
      </c>
      <c r="L722" s="18">
        <f t="shared" ref="L722:O722" si="828">SUM(L723,L725)</f>
        <v>0.16075616944421975</v>
      </c>
      <c r="M722" s="18">
        <f t="shared" si="828"/>
        <v>0.4597089634117339</v>
      </c>
      <c r="N722" s="18">
        <f t="shared" si="828"/>
        <v>1.756484576218702</v>
      </c>
      <c r="O722" s="18">
        <f t="shared" si="828"/>
        <v>6.5794277914315584</v>
      </c>
      <c r="P722" s="18">
        <f>SUM(P723,P725)</f>
        <v>9.404008148130691</v>
      </c>
      <c r="Q722" s="18">
        <f>SUM(Q723,Q725)</f>
        <v>9.4429945464465277</v>
      </c>
      <c r="S722" s="3"/>
    </row>
    <row r="723" spans="2:19" x14ac:dyDescent="0.5">
      <c r="B723" s="5" t="str">
        <f t="shared" ref="B723:B728" si="829">B722</f>
        <v>SPS1</v>
      </c>
      <c r="C723" s="5" t="str">
        <f t="shared" si="826"/>
        <v>CH</v>
      </c>
      <c r="D723" t="s">
        <v>929</v>
      </c>
      <c r="E723" s="5" t="s">
        <v>8</v>
      </c>
      <c r="F723" s="18">
        <f>F724</f>
        <v>0</v>
      </c>
      <c r="G723" s="18">
        <f t="shared" ref="G723:O723" si="830">G724</f>
        <v>0</v>
      </c>
      <c r="H723" s="18">
        <f t="shared" si="830"/>
        <v>0</v>
      </c>
      <c r="I723" s="18">
        <f t="shared" si="830"/>
        <v>0</v>
      </c>
      <c r="J723" s="18">
        <f t="shared" si="830"/>
        <v>0</v>
      </c>
      <c r="K723" s="18">
        <f t="shared" si="830"/>
        <v>3.3764516511257105E-4</v>
      </c>
      <c r="L723" s="18">
        <f t="shared" si="830"/>
        <v>1.3843993325550819E-4</v>
      </c>
      <c r="M723" s="18">
        <f t="shared" si="830"/>
        <v>2.429537270702946E-3</v>
      </c>
      <c r="N723" s="18">
        <f t="shared" si="830"/>
        <v>1.6610527261113111</v>
      </c>
      <c r="O723" s="18">
        <f t="shared" si="830"/>
        <v>6.497784387963911</v>
      </c>
      <c r="P723" s="18">
        <f>P724</f>
        <v>9.2626823471576678</v>
      </c>
      <c r="Q723" s="18">
        <f>Q724</f>
        <v>9.3216829735358786</v>
      </c>
      <c r="S723" s="3"/>
    </row>
    <row r="724" spans="2:19" x14ac:dyDescent="0.5">
      <c r="B724" s="5" t="str">
        <f t="shared" si="829"/>
        <v>SPS1</v>
      </c>
      <c r="C724" s="5" t="str">
        <f t="shared" si="826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SUMPRODUCT(("SUP_H2NGA"=[1]OUT_SyntheticFuels!$C$4:$C$1000)*1,("H2"=[1]OUT_SyntheticFuels!$A$4:$A$1000)*1,("Var_Fin"=[1]OUT_SyntheticFuels!$B$4:$B$1000)*1,[1]OUT_SyntheticFuels!I$4:I$1000)</f>
        <v>0</v>
      </c>
      <c r="K724" s="10" cm="1">
        <f t="array" ref="K724">SUMPRODUCT(("SUP_H2NGA"=[1]OUT_SyntheticFuels!$C$4:$C$1000)*1,("H2"=[1]OUT_SyntheticFuels!$A$4:$A$1000)*1,("Var_Fin"=[1]OUT_SyntheticFuels!$B$4:$B$1000)*1,[1]OUT_SyntheticFuels!J$4:J$1000)</f>
        <v>3.3764516511257105E-4</v>
      </c>
      <c r="L724" s="10" cm="1">
        <f t="array" ref="L724">SUMPRODUCT(("SUP_H2NGA"=[1]OUT_SyntheticFuels!$C$4:$C$1000)*1,("H2"=[1]OUT_SyntheticFuels!$A$4:$A$1000)*1,("Var_Fin"=[1]OUT_SyntheticFuels!$B$4:$B$1000)*1,[1]OUT_SyntheticFuels!K$4:K$1000)</f>
        <v>1.3843993325550819E-4</v>
      </c>
      <c r="M724" s="10" cm="1">
        <f t="array" ref="M724">SUMPRODUCT(("SUP_H2NGA"=[1]OUT_SyntheticFuels!$C$4:$C$1000)*1,("H2"=[1]OUT_SyntheticFuels!$A$4:$A$1000)*1,("Var_Fin"=[1]OUT_SyntheticFuels!$B$4:$B$1000)*1,[1]OUT_SyntheticFuels!L$4:L$1000)</f>
        <v>2.429537270702946E-3</v>
      </c>
      <c r="N724" s="10" cm="1">
        <f t="array" ref="N724">SUMPRODUCT(("SUP_H2NGA"=[1]OUT_SyntheticFuels!$C$4:$C$1000)*1,("H2"=[1]OUT_SyntheticFuels!$A$4:$A$1000)*1,("Var_Fin"=[1]OUT_SyntheticFuels!$B$4:$B$1000)*1,[1]OUT_SyntheticFuels!M$4:M$1000)</f>
        <v>1.6610527261113111</v>
      </c>
      <c r="O724" s="10" cm="1">
        <f t="array" ref="O724">SUMPRODUCT(("SUP_H2NGA"=[1]OUT_SyntheticFuels!$C$4:$C$1000)*1,("H2"=[1]OUT_SyntheticFuels!$A$4:$A$1000)*1,("Var_Fin"=[1]OUT_SyntheticFuels!$B$4:$B$1000)*1,[1]OUT_SyntheticFuels!N$4:N$1000)</f>
        <v>6.497784387963911</v>
      </c>
      <c r="P724" s="10" cm="1">
        <f t="array" ref="P724">SUMPRODUCT(("SUP_H2NGA"=[1]OUT_SyntheticFuels!$C$4:$C$1000)*1,("H2"=[1]OUT_SyntheticFuels!$A$4:$A$1000)*1,("Var_Fin"=[1]OUT_SyntheticFuels!$B$4:$B$1000)*1,[1]OUT_SyntheticFuels!O$4:O$1000)</f>
        <v>9.2626823471576678</v>
      </c>
      <c r="Q724" s="10" cm="1">
        <f t="array" ref="Q724">SUMPRODUCT(("SUP_H2NGA"=[1]OUT_SyntheticFuels!$C$4:$C$1000)*1,("H2"=[1]OUT_SyntheticFuels!$A$4:$A$1000)*1,("Var_Fin"=[1]OUT_SyntheticFuels!$B$4:$B$1000)*1,[1]OUT_SyntheticFuels!P$4:P$1000)</f>
        <v>9.3216829735358786</v>
      </c>
      <c r="S724" s="3"/>
    </row>
    <row r="725" spans="2:19" x14ac:dyDescent="0.5">
      <c r="B725" s="5" t="str">
        <f t="shared" si="829"/>
        <v>SPS1</v>
      </c>
      <c r="C725" s="5" t="str">
        <f t="shared" si="826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831">SUM(G726:G728)</f>
        <v>0</v>
      </c>
      <c r="H725" s="18">
        <f t="shared" si="831"/>
        <v>0</v>
      </c>
      <c r="I725" s="18">
        <f t="shared" si="831"/>
        <v>0</v>
      </c>
      <c r="J725" s="18">
        <f t="shared" si="831"/>
        <v>0</v>
      </c>
      <c r="K725" s="18">
        <f t="shared" si="831"/>
        <v>0.22875495320203365</v>
      </c>
      <c r="L725" s="18">
        <f t="shared" ref="L725:O725" si="832">SUM(L726:L728)</f>
        <v>0.16061772951096423</v>
      </c>
      <c r="M725" s="18">
        <f t="shared" si="832"/>
        <v>0.45727942614103095</v>
      </c>
      <c r="N725" s="18">
        <f t="shared" si="832"/>
        <v>9.5431850107391011E-2</v>
      </c>
      <c r="O725" s="18">
        <f t="shared" si="832"/>
        <v>8.1643403467647174E-2</v>
      </c>
      <c r="P725" s="18">
        <f>SUM(P726:P728)</f>
        <v>0.14132580097302389</v>
      </c>
      <c r="Q725" s="18">
        <f>SUM(Q726:Q728)</f>
        <v>0.12131157291064856</v>
      </c>
      <c r="S725" s="3"/>
    </row>
    <row r="726" spans="2:19" x14ac:dyDescent="0.5">
      <c r="B726" s="5" t="str">
        <f t="shared" si="829"/>
        <v>SPS1</v>
      </c>
      <c r="C726" s="5" t="str">
        <f t="shared" si="826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SUMPRODUCT(("SUP_H2DSL"=[1]OUT_SyntheticFuels!$C$4:$C$1000)*1,("H2"=[1]OUT_SyntheticFuels!$A$4:$A$1000)*1,("Var_Fin"=[1]OUT_SyntheticFuels!$B$4:$B$1000)*1,[1]OUT_SyntheticFuels!I$4:I$1000)*IFERROR(J718/SUM(J718,J720),0)</f>
        <v>0</v>
      </c>
      <c r="K726" s="10" cm="1">
        <f t="array" ref="K726">SUMPRODUCT(("SUP_H2DSL"=[1]OUT_SyntheticFuels!$C$4:$C$1000)*1,("H2"=[1]OUT_SyntheticFuels!$A$4:$A$1000)*1,("Var_Fin"=[1]OUT_SyntheticFuels!$B$4:$B$1000)*1,[1]OUT_SyntheticFuels!J$4:J$1000)*IFERROR(K718/SUM(K718,K720),0)</f>
        <v>2.8589148882033236E-3</v>
      </c>
      <c r="L726" s="10" cm="1">
        <f t="array" ref="L726">SUMPRODUCT(("SUP_H2DSL"=[1]OUT_SyntheticFuels!$C$4:$C$1000)*1,("H2"=[1]OUT_SyntheticFuels!$A$4:$A$1000)*1,("Var_Fin"=[1]OUT_SyntheticFuels!$B$4:$B$1000)*1,[1]OUT_SyntheticFuels!K$4:K$1000)*IFERROR(L718/SUM(L718,L720),0)</f>
        <v>1.3184528402701576E-3</v>
      </c>
      <c r="M726" s="10" cm="1">
        <f t="array" ref="M726">SUMPRODUCT(("SUP_H2DSL"=[1]OUT_SyntheticFuels!$C$4:$C$1000)*1,("H2"=[1]OUT_SyntheticFuels!$A$4:$A$1000)*1,("Var_Fin"=[1]OUT_SyntheticFuels!$B$4:$B$1000)*1,[1]OUT_SyntheticFuels!L$4:L$1000)*IFERROR(M718/SUM(M718,M720),0)</f>
        <v>4.5279329535436043E-4</v>
      </c>
      <c r="N726" s="10" cm="1">
        <f t="array" ref="N726">SUMPRODUCT(("SUP_H2DSL"=[1]OUT_SyntheticFuels!$C$4:$C$1000)*1,("H2"=[1]OUT_SyntheticFuels!$A$4:$A$1000)*1,("Var_Fin"=[1]OUT_SyntheticFuels!$B$4:$B$1000)*1,[1]OUT_SyntheticFuels!M$4:M$1000)*IFERROR(N718/SUM(N718,N720),0)</f>
        <v>3.0229047512885275E-4</v>
      </c>
      <c r="O726" s="10" cm="1">
        <f t="array" ref="O726">SUMPRODUCT(("SUP_H2DSL"=[1]OUT_SyntheticFuels!$C$4:$C$1000)*1,("H2"=[1]OUT_SyntheticFuels!$A$4:$A$1000)*1,("Var_Fin"=[1]OUT_SyntheticFuels!$B$4:$B$1000)*1,[1]OUT_SyntheticFuels!N$4:N$1000)*IFERROR(O718/SUM(O718,O720),0)</f>
        <v>4.7580392249739207E-4</v>
      </c>
      <c r="P726" s="10" cm="1">
        <f t="array" ref="P726">SUMPRODUCT(("SUP_H2DSL"=[1]OUT_SyntheticFuels!$C$4:$C$1000)*1,("H2"=[1]OUT_SyntheticFuels!$A$4:$A$1000)*1,("Var_Fin"=[1]OUT_SyntheticFuels!$B$4:$B$1000)*1,[1]OUT_SyntheticFuels!O$4:O$1000)*IFERROR(P718/SUM(P718,P720),0)</f>
        <v>5.0678263936221508E-4</v>
      </c>
      <c r="Q726" s="10" cm="1">
        <f t="array" ref="Q726">SUMPRODUCT(("SUP_H2DSL"=[1]OUT_SyntheticFuels!$C$4:$C$1000)*1,("H2"=[1]OUT_SyntheticFuels!$A$4:$A$1000)*1,("Var_Fin"=[1]OUT_SyntheticFuels!$B$4:$B$1000)*1,[1]OUT_SyntheticFuels!P$4:P$1000)*IFERROR(Q718/SUM(Q718,Q720),0)</f>
        <v>8.5192952925408226E-4</v>
      </c>
      <c r="S726" s="3"/>
    </row>
    <row r="727" spans="2:19" x14ac:dyDescent="0.5">
      <c r="B727" s="5" t="str">
        <f t="shared" si="829"/>
        <v>SPS1</v>
      </c>
      <c r="C727" s="5" t="str">
        <f t="shared" si="826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SUMPRODUCT(("SUP_H2GSL"=[1]OUT_SyntheticFuels!$C$4:$C$1000)*1,("H2"=[1]OUT_SyntheticFuels!$A$4:$A$1000)*1,("Var_Fin"=[1]OUT_SyntheticFuels!$B$4:$B$1000)*1,[1]OUT_SyntheticFuels!I$4:I$1000)</f>
        <v>0</v>
      </c>
      <c r="K727" s="10" cm="1">
        <f t="array" ref="K727">SUMPRODUCT(("SUP_H2GSL"=[1]OUT_SyntheticFuels!$C$4:$C$1000)*1,("H2"=[1]OUT_SyntheticFuels!$A$4:$A$1000)*1,("Var_Fin"=[1]OUT_SyntheticFuels!$B$4:$B$1000)*1,[1]OUT_SyntheticFuels!J$4:J$1000)</f>
        <v>0.2255233160402807</v>
      </c>
      <c r="L727" s="10" cm="1">
        <f t="array" ref="L727">SUMPRODUCT(("SUP_H2GSL"=[1]OUT_SyntheticFuels!$C$4:$C$1000)*1,("H2"=[1]OUT_SyntheticFuels!$A$4:$A$1000)*1,("Var_Fin"=[1]OUT_SyntheticFuels!$B$4:$B$1000)*1,[1]OUT_SyntheticFuels!K$4:K$1000)</f>
        <v>0.15912451225267388</v>
      </c>
      <c r="M727" s="10" cm="1">
        <f t="array" ref="M727">SUMPRODUCT(("SUP_H2GSL"=[1]OUT_SyntheticFuels!$C$4:$C$1000)*1,("H2"=[1]OUT_SyntheticFuels!$A$4:$A$1000)*1,("Var_Fin"=[1]OUT_SyntheticFuels!$B$4:$B$1000)*1,[1]OUT_SyntheticFuels!L$4:L$1000)</f>
        <v>0.45682663284567659</v>
      </c>
      <c r="N727" s="10" cm="1">
        <f t="array" ref="N727">SUMPRODUCT(("SUP_H2GSL"=[1]OUT_SyntheticFuels!$C$4:$C$1000)*1,("H2"=[1]OUT_SyntheticFuels!$A$4:$A$1000)*1,("Var_Fin"=[1]OUT_SyntheticFuels!$B$4:$B$1000)*1,[1]OUT_SyntheticFuels!M$4:M$1000)</f>
        <v>9.5092654831576529E-2</v>
      </c>
      <c r="O727" s="10" cm="1">
        <f t="array" ref="O727">SUMPRODUCT(("SUP_H2GSL"=[1]OUT_SyntheticFuels!$C$4:$C$1000)*1,("H2"=[1]OUT_SyntheticFuels!$A$4:$A$1000)*1,("Var_Fin"=[1]OUT_SyntheticFuels!$B$4:$B$1000)*1,[1]OUT_SyntheticFuels!N$4:N$1000)</f>
        <v>8.1106833297302117E-2</v>
      </c>
      <c r="P727" s="10" cm="1">
        <f t="array" ref="P727">SUMPRODUCT(("SUP_H2GSL"=[1]OUT_SyntheticFuels!$C$4:$C$1000)*1,("H2"=[1]OUT_SyntheticFuels!$A$4:$A$1000)*1,("Var_Fin"=[1]OUT_SyntheticFuels!$B$4:$B$1000)*1,[1]OUT_SyntheticFuels!O$4:O$1000)</f>
        <v>0.14075576014409849</v>
      </c>
      <c r="Q727" s="10" cm="1">
        <f t="array" ref="Q727">SUMPRODUCT(("SUP_H2GSL"=[1]OUT_SyntheticFuels!$C$4:$C$1000)*1,("H2"=[1]OUT_SyntheticFuels!$A$4:$A$1000)*1,("Var_Fin"=[1]OUT_SyntheticFuels!$B$4:$B$1000)*1,[1]OUT_SyntheticFuels!P$4:P$1000)</f>
        <v>0.12034972455197672</v>
      </c>
      <c r="S727" s="3"/>
    </row>
    <row r="728" spans="2:19" x14ac:dyDescent="0.5">
      <c r="B728" s="5" t="str">
        <f t="shared" si="829"/>
        <v>SPS1</v>
      </c>
      <c r="C728" s="5" t="str">
        <f t="shared" si="826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SUMPRODUCT(("SUP_H2DSL"=[1]OUT_SyntheticFuels!$C$4:$C$1000)*1,("H2"=[1]OUT_SyntheticFuels!$A$4:$A$1000)*1,("Var_Fin"=[1]OUT_SyntheticFuels!$B$4:$B$1000)*1,[1]OUT_SyntheticFuels!I$4:I$1000)-J726</f>
        <v>0</v>
      </c>
      <c r="K728" s="10" cm="1">
        <f t="array" ref="K728">SUMPRODUCT(("SUP_H2DSL"=[1]OUT_SyntheticFuels!$C$4:$C$1000)*1,("H2"=[1]OUT_SyntheticFuels!$A$4:$A$1000)*1,("Var_Fin"=[1]OUT_SyntheticFuels!$B$4:$B$1000)*1,[1]OUT_SyntheticFuels!J$4:J$1000)-K726</f>
        <v>3.7272227354960856E-4</v>
      </c>
      <c r="L728" s="10" cm="1">
        <f t="array" ref="L728">SUMPRODUCT(("SUP_H2DSL"=[1]OUT_SyntheticFuels!$C$4:$C$1000)*1,("H2"=[1]OUT_SyntheticFuels!$A$4:$A$1000)*1,("Var_Fin"=[1]OUT_SyntheticFuels!$B$4:$B$1000)*1,[1]OUT_SyntheticFuels!K$4:K$1000)-L726</f>
        <v>1.7476441802019788E-4</v>
      </c>
      <c r="M728" s="10" cm="1">
        <f t="array" ref="M728">SUMPRODUCT(("SUP_H2DSL"=[1]OUT_SyntheticFuels!$C$4:$C$1000)*1,("H2"=[1]OUT_SyntheticFuels!$A$4:$A$1000)*1,("Var_Fin"=[1]OUT_SyntheticFuels!$B$4:$B$1000)*1,[1]OUT_SyntheticFuels!L$4:L$1000)-M726</f>
        <v>0</v>
      </c>
      <c r="N728" s="10" cm="1">
        <f t="array" ref="N728">SUMPRODUCT(("SUP_H2DSL"=[1]OUT_SyntheticFuels!$C$4:$C$1000)*1,("H2"=[1]OUT_SyntheticFuels!$A$4:$A$1000)*1,("Var_Fin"=[1]OUT_SyntheticFuels!$B$4:$B$1000)*1,[1]OUT_SyntheticFuels!M$4:M$1000)-N726</f>
        <v>3.6904800685626346E-5</v>
      </c>
      <c r="O728" s="10" cm="1">
        <f t="array" ref="O728">SUMPRODUCT(("SUP_H2DSL"=[1]OUT_SyntheticFuels!$C$4:$C$1000)*1,("H2"=[1]OUT_SyntheticFuels!$A$4:$A$1000)*1,("Var_Fin"=[1]OUT_SyntheticFuels!$B$4:$B$1000)*1,[1]OUT_SyntheticFuels!N$4:N$1000)-O726</f>
        <v>6.0766247847666294E-5</v>
      </c>
      <c r="P728" s="10" cm="1">
        <f t="array" ref="P728">SUMPRODUCT(("SUP_H2DSL"=[1]OUT_SyntheticFuels!$C$4:$C$1000)*1,("H2"=[1]OUT_SyntheticFuels!$A$4:$A$1000)*1,("Var_Fin"=[1]OUT_SyntheticFuels!$B$4:$B$1000)*1,[1]OUT_SyntheticFuels!O$4:O$1000)-P726</f>
        <v>6.3258189563167419E-5</v>
      </c>
      <c r="Q728" s="10" cm="1">
        <f t="array" ref="Q728">SUMPRODUCT(("SUP_H2DSL"=[1]OUT_SyntheticFuels!$C$4:$C$1000)*1,("H2"=[1]OUT_SyntheticFuels!$A$4:$A$1000)*1,("Var_Fin"=[1]OUT_SyntheticFuels!$B$4:$B$1000)*1,[1]OUT_SyntheticFuels!P$4:P$1000)-Q726</f>
        <v>1.0991882941776372E-4</v>
      </c>
      <c r="S728" s="3"/>
    </row>
    <row r="729" spans="2:19" x14ac:dyDescent="0.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M729" s="14" t="s">
        <v>292</v>
      </c>
      <c r="N729" s="14" t="s">
        <v>292</v>
      </c>
      <c r="O729" s="14" t="s">
        <v>292</v>
      </c>
      <c r="P729" s="14" t="s">
        <v>292</v>
      </c>
      <c r="Q729" s="14" t="s">
        <v>292</v>
      </c>
      <c r="S729" s="3"/>
    </row>
    <row r="730" spans="2:19" x14ac:dyDescent="0.5">
      <c r="B730" s="5" t="str">
        <f>B729</f>
        <v>SPS1</v>
      </c>
      <c r="C730" s="5" t="str">
        <f t="shared" ref="C730:C735" si="833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834">IFERROR(G716/G724,"-")</f>
        <v>-</v>
      </c>
      <c r="H730" s="14" t="str">
        <f t="shared" si="834"/>
        <v>-</v>
      </c>
      <c r="I730" s="14" t="str">
        <f t="shared" si="834"/>
        <v>-</v>
      </c>
      <c r="J730" s="14" t="str">
        <f t="shared" si="834"/>
        <v>-</v>
      </c>
      <c r="K730" s="14">
        <f t="shared" si="834"/>
        <v>0.76999999999999935</v>
      </c>
      <c r="L730" s="14">
        <f t="shared" ref="L730:O730" si="835">IFERROR(L716/L724,"-")</f>
        <v>0.76999999999999924</v>
      </c>
      <c r="M730" s="14">
        <f t="shared" si="835"/>
        <v>0.76999999999999857</v>
      </c>
      <c r="N730" s="14">
        <f t="shared" si="835"/>
        <v>0.76999999999999957</v>
      </c>
      <c r="O730" s="14">
        <f t="shared" si="835"/>
        <v>0.76999999999999924</v>
      </c>
      <c r="P730" s="14">
        <f>IFERROR(P716/P724,"-")</f>
        <v>0.76999999999999902</v>
      </c>
      <c r="Q730" s="14">
        <f>IFERROR(Q716/Q724,"-")</f>
        <v>0.76999999999999991</v>
      </c>
      <c r="S730" s="3"/>
    </row>
    <row r="731" spans="2:19" x14ac:dyDescent="0.5">
      <c r="B731" s="5" t="str">
        <f t="shared" ref="B731:B735" si="836">B730</f>
        <v>SPS1</v>
      </c>
      <c r="C731" s="5" t="str">
        <f t="shared" si="833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837">IFERROR(G718/G726,"-")</f>
        <v>-</v>
      </c>
      <c r="H731" s="16" t="str">
        <f t="shared" si="837"/>
        <v>-</v>
      </c>
      <c r="I731" s="16" t="str">
        <f t="shared" si="837"/>
        <v>-</v>
      </c>
      <c r="J731" s="16" t="str">
        <f t="shared" si="837"/>
        <v>-</v>
      </c>
      <c r="K731" s="16">
        <f t="shared" si="837"/>
        <v>0.46015049205401087</v>
      </c>
      <c r="L731" s="16">
        <f t="shared" ref="L731:O731" si="838">IFERROR(L718/L726,"-")</f>
        <v>0.4610996871069129</v>
      </c>
      <c r="M731" s="16">
        <f t="shared" si="838"/>
        <v>0.5796449020906953</v>
      </c>
      <c r="N731" s="16">
        <f t="shared" si="838"/>
        <v>0.58001270719740838</v>
      </c>
      <c r="O731" s="16">
        <f t="shared" si="838"/>
        <v>0.58040958670904141</v>
      </c>
      <c r="P731" s="16">
        <f t="shared" ref="P731:Q733" si="839">IFERROR(P718/P726,"-")</f>
        <v>0.58056007436777413</v>
      </c>
      <c r="Q731" s="16">
        <f t="shared" si="839"/>
        <v>0.58006516922126727</v>
      </c>
      <c r="S731" s="3"/>
    </row>
    <row r="732" spans="2:19" x14ac:dyDescent="0.5">
      <c r="B732" s="5" t="str">
        <f t="shared" si="836"/>
        <v>SPS1</v>
      </c>
      <c r="C732" s="5" t="str">
        <f t="shared" si="833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840">IFERROR(G719/G727,"-")</f>
        <v>-</v>
      </c>
      <c r="H732" s="16" t="str">
        <f t="shared" si="840"/>
        <v>-</v>
      </c>
      <c r="I732" s="16" t="str">
        <f t="shared" si="840"/>
        <v>-</v>
      </c>
      <c r="J732" s="16" t="str">
        <f t="shared" si="840"/>
        <v>-</v>
      </c>
      <c r="K732" s="16">
        <f t="shared" si="840"/>
        <v>0.69999999999999973</v>
      </c>
      <c r="L732" s="16">
        <f t="shared" ref="L732:O732" si="841">IFERROR(L719/L727,"-")</f>
        <v>0.69999999999999962</v>
      </c>
      <c r="M732" s="16">
        <f t="shared" si="841"/>
        <v>0.69999999999999929</v>
      </c>
      <c r="N732" s="16">
        <f t="shared" si="841"/>
        <v>0.7</v>
      </c>
      <c r="O732" s="16">
        <f t="shared" si="841"/>
        <v>0.69999999999999929</v>
      </c>
      <c r="P732" s="16">
        <f t="shared" si="839"/>
        <v>0.69999999999999973</v>
      </c>
      <c r="Q732" s="16">
        <f t="shared" si="839"/>
        <v>0.69999999999999862</v>
      </c>
      <c r="S732" s="3"/>
    </row>
    <row r="733" spans="2:19" x14ac:dyDescent="0.5">
      <c r="B733" s="5" t="str">
        <f t="shared" si="836"/>
        <v>SPS1</v>
      </c>
      <c r="C733" s="5" t="str">
        <f t="shared" si="833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842">IFERROR(G720/G728,"-")</f>
        <v>-</v>
      </c>
      <c r="H733" s="16" t="str">
        <f t="shared" si="842"/>
        <v>-</v>
      </c>
      <c r="I733" s="16" t="str">
        <f t="shared" si="842"/>
        <v>-</v>
      </c>
      <c r="J733" s="16" t="str">
        <f t="shared" si="842"/>
        <v>-</v>
      </c>
      <c r="K733" s="16">
        <f t="shared" si="842"/>
        <v>0.4601504920540111</v>
      </c>
      <c r="L733" s="16">
        <f t="shared" ref="L733:O733" si="843">IFERROR(L720/L728,"-")</f>
        <v>0.46109968710691285</v>
      </c>
      <c r="M733" s="16" t="str">
        <f t="shared" si="843"/>
        <v>-</v>
      </c>
      <c r="N733" s="16">
        <f t="shared" si="843"/>
        <v>0.58001270719740861</v>
      </c>
      <c r="O733" s="16">
        <f t="shared" si="843"/>
        <v>0.58040958670904141</v>
      </c>
      <c r="P733" s="16">
        <f t="shared" si="839"/>
        <v>0.58056007436777457</v>
      </c>
      <c r="Q733" s="16">
        <f t="shared" si="839"/>
        <v>0.58006516922126727</v>
      </c>
      <c r="S733" s="3"/>
    </row>
    <row r="734" spans="2:19" x14ac:dyDescent="0.5">
      <c r="B734" s="5" t="str">
        <f t="shared" si="836"/>
        <v>SPS1</v>
      </c>
      <c r="C734" s="5" t="str">
        <f t="shared" si="833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844">G735</f>
        <v>0</v>
      </c>
      <c r="H734" s="17">
        <f t="shared" ref="H734" si="845">H735</f>
        <v>0</v>
      </c>
      <c r="I734" s="17">
        <f t="shared" ref="I734" si="846">I735</f>
        <v>0</v>
      </c>
      <c r="J734" s="17">
        <f t="shared" ref="J734" si="847">J735</f>
        <v>0</v>
      </c>
      <c r="K734" s="17">
        <f t="shared" ref="K734:O734" si="848">K735</f>
        <v>1.1802587583166163E-2</v>
      </c>
      <c r="L734" s="17">
        <f t="shared" si="848"/>
        <v>8.2898671109135104E-3</v>
      </c>
      <c r="M734" s="17">
        <f t="shared" si="848"/>
        <v>2.3724423851558419E-2</v>
      </c>
      <c r="N734" s="17">
        <f t="shared" si="848"/>
        <v>7.7063104886117145E-2</v>
      </c>
      <c r="O734" s="17">
        <f t="shared" si="848"/>
        <v>0.28639857115285683</v>
      </c>
      <c r="P734" s="17">
        <f>P735</f>
        <v>0.40955544625720758</v>
      </c>
      <c r="Q734" s="17">
        <f>Q735</f>
        <v>0.41108020696619119</v>
      </c>
      <c r="S734" s="3"/>
    </row>
    <row r="735" spans="2:19" x14ac:dyDescent="0.5">
      <c r="B735" s="5" t="str">
        <f t="shared" si="836"/>
        <v>SPS1</v>
      </c>
      <c r="C735" s="5" t="str">
        <f t="shared" si="833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49">SUM(G739,G741)</f>
        <v>0</v>
      </c>
      <c r="H735" s="18">
        <f t="shared" ref="H735" si="850">SUM(H739,H741)</f>
        <v>0</v>
      </c>
      <c r="I735" s="18">
        <f t="shared" ref="I735" si="851">SUM(I739,I741)</f>
        <v>0</v>
      </c>
      <c r="J735" s="18">
        <f t="shared" ref="J735" si="852">SUM(J739,J741)</f>
        <v>0</v>
      </c>
      <c r="K735" s="18">
        <f t="shared" ref="K735" si="853">SUM(K739,K741)</f>
        <v>1.1802587583166163E-2</v>
      </c>
      <c r="L735" s="18">
        <f t="shared" ref="L735:O735" si="854">SUM(L739,L741)</f>
        <v>8.2898671109135104E-3</v>
      </c>
      <c r="M735" s="18">
        <f t="shared" si="854"/>
        <v>2.3724423851558419E-2</v>
      </c>
      <c r="N735" s="18">
        <f t="shared" si="854"/>
        <v>7.7063104886117145E-2</v>
      </c>
      <c r="O735" s="18">
        <f t="shared" si="854"/>
        <v>0.28639857115285683</v>
      </c>
      <c r="P735" s="18">
        <f>SUM(P739,P741)</f>
        <v>0.40955544625720758</v>
      </c>
      <c r="Q735" s="18">
        <f>SUM(Q739,Q741)</f>
        <v>0.41108020696619119</v>
      </c>
      <c r="S735" s="3"/>
    </row>
    <row r="736" spans="2:19" x14ac:dyDescent="0.5">
      <c r="B736" s="5" t="str">
        <f t="shared" ref="B736:C738" si="855">B735</f>
        <v>SPS1</v>
      </c>
      <c r="C736" s="5" t="str">
        <f t="shared" si="855"/>
        <v>CH</v>
      </c>
      <c r="D736" t="s">
        <v>445</v>
      </c>
      <c r="E736" s="5" t="s">
        <v>442</v>
      </c>
      <c r="F736" s="18" cm="1">
        <f t="array" ref="F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#REF!)/SUMPRODUCT(("Var_fout"=[1]OUT_CO2util!$B$3:$B$1000)*1,("CO2_O"=[1]OUT_CO2util!$A$3:$A$1000)*1,[1]OUT_CO2util!#REF!)*F735,0)</f>
        <v>0</v>
      </c>
      <c r="G736" s="18" cm="1">
        <f t="array" ref="G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A$3:A$1000)/SUMPRODUCT(("Var_fout"=[1]OUT_CO2util!$B$3:$B$1000)*1,("CO2_O"=[1]OUT_CO2util!$A$3:$A$1000)*1,[1]OUT_CO2util!A$3:A$1000)*G735,0)</f>
        <v>0</v>
      </c>
      <c r="H736" s="18" cm="1">
        <f t="array" ref="H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B$3:B$1000)/SUMPRODUCT(("Var_fout"=[1]OUT_CO2util!$B$3:$B$1000)*1,("CO2_O"=[1]OUT_CO2util!$A$3:$A$1000)*1,[1]OUT_CO2util!B$3:B$1000)*H735,0)</f>
        <v>0</v>
      </c>
      <c r="I736" s="18" cm="1">
        <f t="array" ref="I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C$3:C$1000)/SUMPRODUCT(("Var_fout"=[1]OUT_CO2util!$B$3:$B$1000)*1,("CO2_O"=[1]OUT_CO2util!$A$3:$A$1000)*1,[1]OUT_CO2util!C$3:C$1000)*I735,0)</f>
        <v>0</v>
      </c>
      <c r="J736" s="18" cm="1">
        <f t="array" ref="J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D$3:D$1000)/SUMPRODUCT(("Var_fout"=[1]OUT_CO2util!$B$3:$B$1000)*1,("CO2_O"=[1]OUT_CO2util!$A$3:$A$1000)*1,[1]OUT_CO2util!D$3:D$1000)*J735,0)</f>
        <v>0</v>
      </c>
      <c r="K736" s="18" cm="1">
        <f t="array" ref="K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E$3:E$1000)/SUMPRODUCT(("Var_fout"=[1]OUT_CO2util!$B$3:$B$1000)*1,("CO2_O"=[1]OUT_CO2util!$A$3:$A$1000)*1,[1]OUT_CO2util!E$3:E$1000)*K735,0)</f>
        <v>7.5926744333253597E-3</v>
      </c>
      <c r="L736" s="18" cm="1">
        <f t="array" ref="L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F$3:F$1000)/SUMPRODUCT(("Var_fout"=[1]OUT_CO2util!$B$3:$B$1000)*1,("CO2_O"=[1]OUT_CO2util!$A$3:$A$1000)*1,[1]OUT_CO2util!F$3:F$1000)*L735,0)</f>
        <v>5.8986203243999958E-3</v>
      </c>
      <c r="M736" s="18" cm="1">
        <f t="array" ref="M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G$3:G$1000)/SUMPRODUCT(("Var_fout"=[1]OUT_CO2util!$B$3:$B$1000)*1,("CO2_O"=[1]OUT_CO2util!$A$3:$A$1000)*1,[1]OUT_CO2util!G$3:G$1000)*M735,0)</f>
        <v>1.6627163917654331E-2</v>
      </c>
      <c r="N736" s="18" cm="1">
        <f t="array" ref="N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H$3:H$1000)/SUMPRODUCT(("Var_fout"=[1]OUT_CO2util!$B$3:$B$1000)*1,("CO2_O"=[1]OUT_CO2util!$A$3:$A$1000)*1,[1]OUT_CO2util!H$3:H$1000)*N735,0)</f>
        <v>4.6374787573975146E-2</v>
      </c>
      <c r="O736" s="18" cm="1">
        <f t="array" ref="O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I$3:I$1000)/SUMPRODUCT(("Var_fout"=[1]OUT_CO2util!$B$3:$B$1000)*1,("CO2_O"=[1]OUT_CO2util!$A$3:$A$1000)*1,[1]OUT_CO2util!I$3:I$1000)*O735,0)</f>
        <v>0.1616832034412371</v>
      </c>
      <c r="P736" s="18" cm="1">
        <f t="array" ref="P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J$3:J$1000)/SUMPRODUCT(("Var_fout"=[1]OUT_CO2util!$B$3:$B$1000)*1,("CO2_O"=[1]OUT_CO2util!$A$3:$A$1000)*1,[1]OUT_CO2util!J$3:J$1000)*P735,0)</f>
        <v>0.21699890097836147</v>
      </c>
      <c r="Q736" s="18" cm="1">
        <f t="array" ref="Q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K$3:K$1000)/SUMPRODUCT(("Var_fout"=[1]OUT_CO2util!$B$3:$B$1000)*1,("CO2_O"=[1]OUT_CO2util!$A$3:$A$1000)*1,[1]OUT_CO2util!K$3:K$1000)*Q735,0)</f>
        <v>0</v>
      </c>
      <c r="S736" s="3"/>
    </row>
    <row r="737" spans="2:19" x14ac:dyDescent="0.5">
      <c r="B737" s="5" t="str">
        <f t="shared" si="855"/>
        <v>SPS1</v>
      </c>
      <c r="C737" s="5" t="str">
        <f t="shared" si="855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K735-K736-K738</f>
        <v>4.2099059181672574E-3</v>
      </c>
      <c r="L737" s="18">
        <f t="shared" ref="L737:O737" si="856">L735-L736-L738</f>
        <v>2.2690288359734378E-3</v>
      </c>
      <c r="M737" s="18">
        <f t="shared" si="856"/>
        <v>6.4183171847518351E-3</v>
      </c>
      <c r="N737" s="18">
        <f t="shared" si="856"/>
        <v>1.8101616428208567E-2</v>
      </c>
      <c r="O737" s="18">
        <f t="shared" si="856"/>
        <v>6.2071612726681047E-2</v>
      </c>
      <c r="P737" s="18">
        <f>P735-P736-P738</f>
        <v>8.2355782538542491E-2</v>
      </c>
      <c r="Q737" s="18">
        <f>Q735-Q736-Q738</f>
        <v>0.41108020696619119</v>
      </c>
      <c r="S737" s="3"/>
    </row>
    <row r="738" spans="2:19" x14ac:dyDescent="0.5">
      <c r="B738" s="5" t="str">
        <f t="shared" si="855"/>
        <v>SPS1</v>
      </c>
      <c r="C738" s="5" t="str">
        <f t="shared" si="855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IF(SUMPRODUCT(("Var_fout"=[1]OUT_CO2util!$B$3:$B$1000)*1,("CO2_O"=[1]OUT_CO2util!$A$3:$A$1000)*1,[1]OUT_CO2util!D$3:D$1000)*J735=0,0,SUMPRODUCT(("SUP_DAC"=[1]OUT_CO2util!$C$3:$C$1000)*1,("Var_fout"=[1]OUT_CO2util!$B$3:$B$1000)*1,("CO2_O"=[1]OUT_CO2util!$A$3:$A$1000)*1,[1]OUT_CO2util!D$3:D$1000)/SUMPRODUCT(("Var_fout"=[1]OUT_CO2util!$B$3:$B$1000)*1,("CO2_O"=[1]OUT_CO2util!$A$3:$A$1000)*1,[1]OUT_CO2util!D$3:D$1000)*J735)</f>
        <v>0</v>
      </c>
      <c r="K738" s="18" cm="1">
        <f t="array" ref="K738">IF(SUMPRODUCT(("Var_fout"=[1]OUT_CO2util!$B$3:$B$1000)*1,("CO2_O"=[1]OUT_CO2util!$A$3:$A$1000)*1,[1]OUT_CO2util!E$3:E$1000)*K735=0,0,SUMPRODUCT(("SUP_DAC"=[1]OUT_CO2util!$C$3:$C$1000)*1,("Var_fout"=[1]OUT_CO2util!$B$3:$B$1000)*1,("CO2_O"=[1]OUT_CO2util!$A$3:$A$1000)*1,[1]OUT_CO2util!E$3:E$1000)/SUMPRODUCT(("Var_fout"=[1]OUT_CO2util!$B$3:$B$1000)*1,("CO2_O"=[1]OUT_CO2util!$A$3:$A$1000)*1,[1]OUT_CO2util!E$3:E$1000)*K735)</f>
        <v>7.2316735455938173E-9</v>
      </c>
      <c r="L738" s="18" cm="1">
        <f t="array" ref="L738">IF(SUMPRODUCT(("Var_fout"=[1]OUT_CO2util!$B$3:$B$1000)*1,("CO2_O"=[1]OUT_CO2util!$A$3:$A$1000)*1,[1]OUT_CO2util!F$3:F$1000)*L735=0,0,SUMPRODUCT(("SUP_DAC"=[1]OUT_CO2util!$C$3:$C$1000)*1,("Var_fout"=[1]OUT_CO2util!$B$3:$B$1000)*1,("CO2_O"=[1]OUT_CO2util!$A$3:$A$1000)*1,[1]OUT_CO2util!F$3:F$1000)/SUMPRODUCT(("Var_fout"=[1]OUT_CO2util!$B$3:$B$1000)*1,("CO2_O"=[1]OUT_CO2util!$A$3:$A$1000)*1,[1]OUT_CO2util!F$3:F$1000)*L735)</f>
        <v>1.2221795054007684E-4</v>
      </c>
      <c r="M738" s="18" cm="1">
        <f t="array" ref="M738">IF(SUMPRODUCT(("Var_fout"=[1]OUT_CO2util!$B$3:$B$1000)*1,("CO2_O"=[1]OUT_CO2util!$A$3:$A$1000)*1,[1]OUT_CO2util!G$3:G$1000)*M735=0,0,SUMPRODUCT(("SUP_DAC"=[1]OUT_CO2util!$C$3:$C$1000)*1,("Var_fout"=[1]OUT_CO2util!$B$3:$B$1000)*1,("CO2_O"=[1]OUT_CO2util!$A$3:$A$1000)*1,[1]OUT_CO2util!G$3:G$1000)/SUMPRODUCT(("Var_fout"=[1]OUT_CO2util!$B$3:$B$1000)*1,("CO2_O"=[1]OUT_CO2util!$A$3:$A$1000)*1,[1]OUT_CO2util!G$3:G$1000)*M735)</f>
        <v>6.7894274915225204E-4</v>
      </c>
      <c r="N738" s="18" cm="1">
        <f t="array" ref="N738">IF(SUMPRODUCT(("Var_fout"=[1]OUT_CO2util!$B$3:$B$1000)*1,("CO2_O"=[1]OUT_CO2util!$A$3:$A$1000)*1,[1]OUT_CO2util!H$3:H$1000)*N735=0,0,SUMPRODUCT(("SUP_DAC"=[1]OUT_CO2util!$C$3:$C$1000)*1,("Var_fout"=[1]OUT_CO2util!$B$3:$B$1000)*1,("CO2_O"=[1]OUT_CO2util!$A$3:$A$1000)*1,[1]OUT_CO2util!H$3:H$1000)/SUMPRODUCT(("Var_fout"=[1]OUT_CO2util!$B$3:$B$1000)*1,("CO2_O"=[1]OUT_CO2util!$A$3:$A$1000)*1,[1]OUT_CO2util!H$3:H$1000)*N735)</f>
        <v>1.2586700883933434E-2</v>
      </c>
      <c r="O738" s="18" cm="1">
        <f t="array" ref="O738">IF(SUMPRODUCT(("Var_fout"=[1]OUT_CO2util!$B$3:$B$1000)*1,("CO2_O"=[1]OUT_CO2util!$A$3:$A$1000)*1,[1]OUT_CO2util!I$3:I$1000)*O735=0,0,SUMPRODUCT(("SUP_DAC"=[1]OUT_CO2util!$C$3:$C$1000)*1,("Var_fout"=[1]OUT_CO2util!$B$3:$B$1000)*1,("CO2_O"=[1]OUT_CO2util!$A$3:$A$1000)*1,[1]OUT_CO2util!I$3:I$1000)/SUMPRODUCT(("Var_fout"=[1]OUT_CO2util!$B$3:$B$1000)*1,("CO2_O"=[1]OUT_CO2util!$A$3:$A$1000)*1,[1]OUT_CO2util!I$3:I$1000)*O735)</f>
        <v>6.2643754984938682E-2</v>
      </c>
      <c r="P738" s="18" cm="1">
        <f t="array" ref="P738">IF(SUMPRODUCT(("Var_fout"=[1]OUT_CO2util!$B$3:$B$1000)*1,("CO2_O"=[1]OUT_CO2util!$A$3:$A$1000)*1,[1]OUT_CO2util!J$3:J$1000)*P735=0,0,SUMPRODUCT(("SUP_DAC"=[1]OUT_CO2util!$C$3:$C$1000)*1,("Var_fout"=[1]OUT_CO2util!$B$3:$B$1000)*1,("CO2_O"=[1]OUT_CO2util!$A$3:$A$1000)*1,[1]OUT_CO2util!J$3:J$1000)/SUMPRODUCT(("Var_fout"=[1]OUT_CO2util!$B$3:$B$1000)*1,("CO2_O"=[1]OUT_CO2util!$A$3:$A$1000)*1,[1]OUT_CO2util!J$3:J$1000)*P735)</f>
        <v>0.11020076274030362</v>
      </c>
      <c r="Q738" s="18" cm="1">
        <f t="array" ref="Q738">IF(SUMPRODUCT(("Var_fout"=[1]OUT_CO2util!$B$3:$B$1000)*1,("CO2_O"=[1]OUT_CO2util!$A$3:$A$1000)*1,[1]OUT_CO2util!K$3:K$1000)*Q735=0,0,SUMPRODUCT(("SUP_DAC"=[1]OUT_CO2util!$C$3:$C$1000)*1,("Var_fout"=[1]OUT_CO2util!$B$3:$B$1000)*1,("CO2_O"=[1]OUT_CO2util!$A$3:$A$1000)*1,[1]OUT_CO2util!K$3:K$1000)/SUMPRODUCT(("Var_fout"=[1]OUT_CO2util!$B$3:$B$1000)*1,("CO2_O"=[1]OUT_CO2util!$A$3:$A$1000)*1,[1]OUT_CO2util!K$3:K$1000)*Q735)</f>
        <v>0</v>
      </c>
      <c r="S738" s="3"/>
    </row>
    <row r="739" spans="2:19" x14ac:dyDescent="0.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57">G740</f>
        <v>0</v>
      </c>
      <c r="H739" s="18">
        <f t="shared" ref="H739" si="858">H740</f>
        <v>0</v>
      </c>
      <c r="I739" s="18">
        <f t="shared" ref="I739" si="859">I740</f>
        <v>0</v>
      </c>
      <c r="J739" s="18">
        <f t="shared" ref="J739" si="860">J740</f>
        <v>0</v>
      </c>
      <c r="K739" s="18">
        <f t="shared" ref="K739:O739" si="861">K740</f>
        <v>1.4663254230508722E-5</v>
      </c>
      <c r="L739" s="18">
        <f t="shared" si="861"/>
        <v>6.0121694214201992E-6</v>
      </c>
      <c r="M739" s="18">
        <f t="shared" si="861"/>
        <v>1.0550994459208742E-4</v>
      </c>
      <c r="N739" s="18">
        <f t="shared" si="861"/>
        <v>7.2136197789561929E-2</v>
      </c>
      <c r="O739" s="18">
        <f t="shared" si="861"/>
        <v>0.28218578040049613</v>
      </c>
      <c r="P739" s="18">
        <f>P740</f>
        <v>0.40225976897236254</v>
      </c>
      <c r="Q739" s="18">
        <f>Q740</f>
        <v>0.40482204817471551</v>
      </c>
      <c r="S739" s="3"/>
    </row>
    <row r="740" spans="2:19" x14ac:dyDescent="0.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SUMPRODUCT(("SUP_H2NGA"=[1]OUT_SyntheticFuels!$C$4:$C$1000)*1,("CO2_M"=[1]OUT_SyntheticFuels!$A$4:$A$1000)*1,("Var_Fin"=[1]OUT_SyntheticFuels!$B$4:$B$1000)*1,[1]OUT_SyntheticFuels!I$4:I$1000)/1000</f>
        <v>0</v>
      </c>
      <c r="K740" s="10" cm="1">
        <f t="array" ref="K740">SUMPRODUCT(("SUP_H2NGA"=[1]OUT_SyntheticFuels!$C$4:$C$1000)*1,("CO2_M"=[1]OUT_SyntheticFuels!$A$4:$A$1000)*1,("Var_Fin"=[1]OUT_SyntheticFuels!$B$4:$B$1000)*1,[1]OUT_SyntheticFuels!J$4:J$1000)/1000</f>
        <v>1.4663254230508722E-5</v>
      </c>
      <c r="L740" s="10" cm="1">
        <f t="array" ref="L740">SUMPRODUCT(("SUP_H2NGA"=[1]OUT_SyntheticFuels!$C$4:$C$1000)*1,("CO2_M"=[1]OUT_SyntheticFuels!$A$4:$A$1000)*1,("Var_Fin"=[1]OUT_SyntheticFuels!$B$4:$B$1000)*1,[1]OUT_SyntheticFuels!K$4:K$1000)/1000</f>
        <v>6.0121694214201992E-6</v>
      </c>
      <c r="M740" s="10" cm="1">
        <f t="array" ref="M740">SUMPRODUCT(("SUP_H2NGA"=[1]OUT_SyntheticFuels!$C$4:$C$1000)*1,("CO2_M"=[1]OUT_SyntheticFuels!$A$4:$A$1000)*1,("Var_Fin"=[1]OUT_SyntheticFuels!$B$4:$B$1000)*1,[1]OUT_SyntheticFuels!L$4:L$1000)/1000</f>
        <v>1.0550994459208742E-4</v>
      </c>
      <c r="N740" s="10" cm="1">
        <f t="array" ref="N740">SUMPRODUCT(("SUP_H2NGA"=[1]OUT_SyntheticFuels!$C$4:$C$1000)*1,("CO2_M"=[1]OUT_SyntheticFuels!$A$4:$A$1000)*1,("Var_Fin"=[1]OUT_SyntheticFuels!$B$4:$B$1000)*1,[1]OUT_SyntheticFuels!M$4:M$1000)/1000</f>
        <v>7.2136197789561929E-2</v>
      </c>
      <c r="O740" s="10" cm="1">
        <f t="array" ref="O740">SUMPRODUCT(("SUP_H2NGA"=[1]OUT_SyntheticFuels!$C$4:$C$1000)*1,("CO2_M"=[1]OUT_SyntheticFuels!$A$4:$A$1000)*1,("Var_Fin"=[1]OUT_SyntheticFuels!$B$4:$B$1000)*1,[1]OUT_SyntheticFuels!N$4:N$1000)/1000</f>
        <v>0.28218578040049613</v>
      </c>
      <c r="P740" s="10" cm="1">
        <f t="array" ref="P740">SUMPRODUCT(("SUP_H2NGA"=[1]OUT_SyntheticFuels!$C$4:$C$1000)*1,("CO2_M"=[1]OUT_SyntheticFuels!$A$4:$A$1000)*1,("Var_Fin"=[1]OUT_SyntheticFuels!$B$4:$B$1000)*1,[1]OUT_SyntheticFuels!O$4:O$1000)/1000</f>
        <v>0.40225976897236254</v>
      </c>
      <c r="Q740" s="10" cm="1">
        <f t="array" ref="Q740">SUMPRODUCT(("SUP_H2NGA"=[1]OUT_SyntheticFuels!$C$4:$C$1000)*1,("CO2_M"=[1]OUT_SyntheticFuels!$A$4:$A$1000)*1,("Var_Fin"=[1]OUT_SyntheticFuels!$B$4:$B$1000)*1,[1]OUT_SyntheticFuels!P$4:P$1000)/1000</f>
        <v>0.40482204817471551</v>
      </c>
      <c r="S740" s="3"/>
    </row>
    <row r="741" spans="2:19" x14ac:dyDescent="0.5">
      <c r="B741" s="5" t="str">
        <f t="shared" ref="B741:B744" si="862">B740</f>
        <v>SPS1</v>
      </c>
      <c r="C741" s="5" t="str">
        <f t="shared" ref="C741:C744" si="863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64">SUM(G742:G744)</f>
        <v>0</v>
      </c>
      <c r="H741" s="18">
        <f t="shared" ref="H741" si="865">SUM(H742:H744)</f>
        <v>0</v>
      </c>
      <c r="I741" s="18">
        <f t="shared" ref="I741" si="866">SUM(I742:I744)</f>
        <v>0</v>
      </c>
      <c r="J741" s="18">
        <f t="shared" ref="J741" si="867">SUM(J742:J744)</f>
        <v>0</v>
      </c>
      <c r="K741" s="18">
        <f t="shared" ref="K741" si="868">SUM(K742:K744)</f>
        <v>1.1787924328935655E-2</v>
      </c>
      <c r="L741" s="18">
        <f t="shared" ref="L741:O741" si="869">SUM(L742:L744)</f>
        <v>8.2838549414920894E-3</v>
      </c>
      <c r="M741" s="18">
        <f t="shared" si="869"/>
        <v>2.361891390696633E-2</v>
      </c>
      <c r="N741" s="18">
        <f t="shared" si="869"/>
        <v>4.9269070965552208E-3</v>
      </c>
      <c r="O741" s="18">
        <f t="shared" si="869"/>
        <v>4.2127907523606713E-3</v>
      </c>
      <c r="P741" s="18">
        <f>SUM(P742:P744)</f>
        <v>7.2956772848450577E-3</v>
      </c>
      <c r="Q741" s="18">
        <f>SUM(Q742:Q744)</f>
        <v>6.2581587914756808E-3</v>
      </c>
      <c r="S741" s="3"/>
    </row>
    <row r="742" spans="2:19" x14ac:dyDescent="0.5">
      <c r="B742" s="5" t="str">
        <f t="shared" si="862"/>
        <v>SPS1</v>
      </c>
      <c r="C742" s="5" t="str">
        <f t="shared" si="863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SUMPRODUCT(("SUP_H2DSL"=[1]OUT_SyntheticFuels!$C$4:$C$1000)*1,("co2_m"=[1]OUT_SyntheticFuels!$A$4:$A$1000)*1,("Var_Fin"=[1]OUT_SyntheticFuels!$B$4:$B$1000)*1,[1]OUT_SyntheticFuels!I$4:I$1000)*IFERROR(J718/SUM(J718,J720),0)/1000</f>
        <v>0</v>
      </c>
      <c r="K742" s="10" cm="1">
        <f t="array" ref="K742">SUMPRODUCT(("SUP_H2DSL"=[1]OUT_SyntheticFuels!$C$4:$C$1000)*1,("co2_m"=[1]OUT_SyntheticFuels!$A$4:$A$1000)*1,("Var_Fin"=[1]OUT_SyntheticFuels!$B$4:$B$1000)*1,[1]OUT_SyntheticFuels!J$4:J$1000)*IFERROR(K718/SUM(K718,K720),0)/1000</f>
        <v>1.215439075570762E-4</v>
      </c>
      <c r="L742" s="10" cm="1">
        <f t="array" ref="L742">SUMPRODUCT(("SUP_H2DSL"=[1]OUT_SyntheticFuels!$C$4:$C$1000)*1,("co2_m"=[1]OUT_SyntheticFuels!$A$4:$A$1000)*1,("Var_Fin"=[1]OUT_SyntheticFuels!$B$4:$B$1000)*1,[1]OUT_SyntheticFuels!K$4:K$1000)*IFERROR(L718/SUM(L718,L720),0)/1000</f>
        <v>5.6052704051245572E-5</v>
      </c>
      <c r="M742" s="10" cm="1">
        <f t="array" ref="M742">SUMPRODUCT(("SUP_H2DSL"=[1]OUT_SyntheticFuels!$C$4:$C$1000)*1,("co2_m"=[1]OUT_SyntheticFuels!$A$4:$A$1000)*1,("Var_Fin"=[1]OUT_SyntheticFuels!$B$4:$B$1000)*1,[1]OUT_SyntheticFuels!L$4:L$1000)*IFERROR(M718/SUM(M718,M720),0)/1000</f>
        <v>1.92500541586953E-5</v>
      </c>
      <c r="N742" s="10" cm="1">
        <f t="array" ref="N742">SUMPRODUCT(("SUP_H2DSL"=[1]OUT_SyntheticFuels!$C$4:$C$1000)*1,("co2_m"=[1]OUT_SyntheticFuels!$A$4:$A$1000)*1,("Var_Fin"=[1]OUT_SyntheticFuels!$B$4:$B$1000)*1,[1]OUT_SyntheticFuels!M$4:M$1000)*IFERROR(N718/SUM(N718,N720),0)/1000</f>
        <v>1.2851577259628068E-5</v>
      </c>
      <c r="O742" s="10" cm="1">
        <f t="array" ref="O742">SUMPRODUCT(("SUP_H2DSL"=[1]OUT_SyntheticFuels!$C$4:$C$1000)*1,("co2_m"=[1]OUT_SyntheticFuels!$A$4:$A$1000)*1,("Var_Fin"=[1]OUT_SyntheticFuels!$B$4:$B$1000)*1,[1]OUT_SyntheticFuels!N$4:N$1000)*IFERROR(O718/SUM(O718,O720),0)/1000</f>
        <v>2.0228327961054171E-5</v>
      </c>
      <c r="P742" s="10" cm="1">
        <f t="array" ref="P742">SUMPRODUCT(("SUP_H2DSL"=[1]OUT_SyntheticFuels!$C$4:$C$1000)*1,("co2_m"=[1]OUT_SyntheticFuels!$A$4:$A$1000)*1,("Var_Fin"=[1]OUT_SyntheticFuels!$B$4:$B$1000)*1,[1]OUT_SyntheticFuels!O$4:O$1000)*IFERROR(P718/SUM(P718,P720),0)/1000</f>
        <v>2.1545357129845219E-5</v>
      </c>
      <c r="Q742" s="10" cm="1">
        <f t="array" ref="Q742">SUMPRODUCT(("SUP_H2DSL"=[1]OUT_SyntheticFuels!$C$4:$C$1000)*1,("co2_m"=[1]OUT_SyntheticFuels!$A$4:$A$1000)*1,("Var_Fin"=[1]OUT_SyntheticFuels!$B$4:$B$1000)*1,[1]OUT_SyntheticFuels!P$4:P$1000)*IFERROR(Q718/SUM(Q718,Q720),0)/1000</f>
        <v>3.6218932006708122E-5</v>
      </c>
      <c r="S742" s="3"/>
    </row>
    <row r="743" spans="2:19" x14ac:dyDescent="0.5">
      <c r="B743" s="5" t="str">
        <f t="shared" si="862"/>
        <v>SPS1</v>
      </c>
      <c r="C743" s="5" t="str">
        <f t="shared" si="863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SUMPRODUCT(("SUP_H2GSL"=[1]OUT_SyntheticFuels!$C$4:$C$1000)*1,("co2_m"=[1]OUT_SyntheticFuels!$A$4:$A$1000)*1,("Var_Fin"=[1]OUT_SyntheticFuels!$B$4:$B$1000)*1,[1]OUT_SyntheticFuels!I$4:I$1000)/1000</f>
        <v>0</v>
      </c>
      <c r="K743" s="10" cm="1">
        <f t="array" ref="K743">SUMPRODUCT(("SUP_H2GSL"=[1]OUT_SyntheticFuels!$C$4:$C$1000)*1,("co2_m"=[1]OUT_SyntheticFuels!$A$4:$A$1000)*1,("Var_Fin"=[1]OUT_SyntheticFuels!$B$4:$B$1000)*1,[1]OUT_SyntheticFuels!J$4:J$1000)/1000</f>
        <v>1.165053450664089E-2</v>
      </c>
      <c r="L743" s="10" cm="1">
        <f t="array" ref="L743">SUMPRODUCT(("SUP_H2GSL"=[1]OUT_SyntheticFuels!$C$4:$C$1000)*1,("co2_m"=[1]OUT_SyntheticFuels!$A$4:$A$1000)*1,("Var_Fin"=[1]OUT_SyntheticFuels!$B$4:$B$1000)*1,[1]OUT_SyntheticFuels!K$4:K$1000)/1000</f>
        <v>8.2203723029731328E-3</v>
      </c>
      <c r="M743" s="10" cm="1">
        <f t="array" ref="M743">SUMPRODUCT(("SUP_H2GSL"=[1]OUT_SyntheticFuels!$C$4:$C$1000)*1,("co2_m"=[1]OUT_SyntheticFuels!$A$4:$A$1000)*1,("Var_Fin"=[1]OUT_SyntheticFuels!$B$4:$B$1000)*1,[1]OUT_SyntheticFuels!L$4:L$1000)/1000</f>
        <v>2.3599663852807633E-2</v>
      </c>
      <c r="N743" s="10" cm="1">
        <f t="array" ref="N743">SUMPRODUCT(("SUP_H2GSL"=[1]OUT_SyntheticFuels!$C$4:$C$1000)*1,("co2_m"=[1]OUT_SyntheticFuels!$A$4:$A$1000)*1,("Var_Fin"=[1]OUT_SyntheticFuels!$B$4:$B$1000)*1,[1]OUT_SyntheticFuels!M$4:M$1000)/1000</f>
        <v>4.9124865485992439E-3</v>
      </c>
      <c r="O743" s="10" cm="1">
        <f t="array" ref="O743">SUMPRODUCT(("SUP_H2GSL"=[1]OUT_SyntheticFuels!$C$4:$C$1000)*1,("co2_m"=[1]OUT_SyntheticFuels!$A$4:$A$1000)*1,("Var_Fin"=[1]OUT_SyntheticFuels!$B$4:$B$1000)*1,[1]OUT_SyntheticFuels!N$4:N$1000)/1000</f>
        <v>4.1899790081386216E-3</v>
      </c>
      <c r="P743" s="10" cm="1">
        <f t="array" ref="P743">SUMPRODUCT(("SUP_H2GSL"=[1]OUT_SyntheticFuels!$C$4:$C$1000)*1,("co2_m"=[1]OUT_SyntheticFuels!$A$4:$A$1000)*1,("Var_Fin"=[1]OUT_SyntheticFuels!$B$4:$B$1000)*1,[1]OUT_SyntheticFuels!O$4:O$1000)/1000</f>
        <v>7.2714425690441238E-3</v>
      </c>
      <c r="Q743" s="10" cm="1">
        <f t="array" ref="Q743">SUMPRODUCT(("SUP_H2GSL"=[1]OUT_SyntheticFuels!$C$4:$C$1000)*1,("co2_m"=[1]OUT_SyntheticFuels!$A$4:$A$1000)*1,("Var_Fin"=[1]OUT_SyntheticFuels!$B$4:$B$1000)*1,[1]OUT_SyntheticFuels!P$4:P$1000)/1000</f>
        <v>6.217266770355106E-3</v>
      </c>
      <c r="S743" s="3"/>
    </row>
    <row r="744" spans="2:19" x14ac:dyDescent="0.5">
      <c r="B744" s="5" t="str">
        <f t="shared" si="862"/>
        <v>SPS1</v>
      </c>
      <c r="C744" s="5" t="str">
        <f t="shared" si="863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SUMPRODUCT(("SUP_H2DSL"=[1]OUT_SyntheticFuels!$C$4:$C$1000)*1,("co2_m"=[1]OUT_SyntheticFuels!$A$4:$A$1000)*1,("Var_Fin"=[1]OUT_SyntheticFuels!$B$4:$B$1000)*1,[1]OUT_SyntheticFuels!I$4:I$1000)/1000-J742</f>
        <v>0</v>
      </c>
      <c r="K744" s="10" cm="1">
        <f t="array" ref="K744">SUMPRODUCT(("SUP_H2DSL"=[1]OUT_SyntheticFuels!$C$4:$C$1000)*1,("co2_m"=[1]OUT_SyntheticFuels!$A$4:$A$1000)*1,("Var_Fin"=[1]OUT_SyntheticFuels!$B$4:$B$1000)*1,[1]OUT_SyntheticFuels!J$4:J$1000)/1000-K742</f>
        <v>1.5845914737688056E-5</v>
      </c>
      <c r="L744" s="10" cm="1">
        <f t="array" ref="L744">SUMPRODUCT(("SUP_H2DSL"=[1]OUT_SyntheticFuels!$C$4:$C$1000)*1,("co2_m"=[1]OUT_SyntheticFuels!$A$4:$A$1000)*1,("Var_Fin"=[1]OUT_SyntheticFuels!$B$4:$B$1000)*1,[1]OUT_SyntheticFuels!K$4:K$1000)/1000-L742</f>
        <v>7.4299344677106966E-6</v>
      </c>
      <c r="M744" s="10" cm="1">
        <f t="array" ref="M744">SUMPRODUCT(("SUP_H2DSL"=[1]OUT_SyntheticFuels!$C$4:$C$1000)*1,("co2_m"=[1]OUT_SyntheticFuels!$A$4:$A$1000)*1,("Var_Fin"=[1]OUT_SyntheticFuels!$B$4:$B$1000)*1,[1]OUT_SyntheticFuels!L$4:L$1000)/1000-M742</f>
        <v>0</v>
      </c>
      <c r="N744" s="10" cm="1">
        <f t="array" ref="N744">SUMPRODUCT(("SUP_H2DSL"=[1]OUT_SyntheticFuels!$C$4:$C$1000)*1,("co2_m"=[1]OUT_SyntheticFuels!$A$4:$A$1000)*1,("Var_Fin"=[1]OUT_SyntheticFuels!$B$4:$B$1000)*1,[1]OUT_SyntheticFuels!M$4:M$1000)/1000-N742</f>
        <v>1.5689706963487228E-6</v>
      </c>
      <c r="O744" s="10" cm="1">
        <f t="array" ref="O744">SUMPRODUCT(("SUP_H2DSL"=[1]OUT_SyntheticFuels!$C$4:$C$1000)*1,("co2_m"=[1]OUT_SyntheticFuels!$A$4:$A$1000)*1,("Var_Fin"=[1]OUT_SyntheticFuels!$B$4:$B$1000)*1,[1]OUT_SyntheticFuels!N$4:N$1000)/1000-O742</f>
        <v>2.583416260995693E-6</v>
      </c>
      <c r="P744" s="10" cm="1">
        <f t="array" ref="P744">SUMPRODUCT(("SUP_H2DSL"=[1]OUT_SyntheticFuels!$C$4:$C$1000)*1,("co2_m"=[1]OUT_SyntheticFuels!$A$4:$A$1000)*1,("Var_Fin"=[1]OUT_SyntheticFuels!$B$4:$B$1000)*1,[1]OUT_SyntheticFuels!O$4:O$1000)/1000-P742</f>
        <v>2.6893586710885003E-6</v>
      </c>
      <c r="Q744" s="10" cm="1">
        <f t="array" ref="Q744">SUMPRODUCT(("SUP_H2DSL"=[1]OUT_SyntheticFuels!$C$4:$C$1000)*1,("co2_m"=[1]OUT_SyntheticFuels!$A$4:$A$1000)*1,("Var_Fin"=[1]OUT_SyntheticFuels!$B$4:$B$1000)*1,[1]OUT_SyntheticFuels!P$4:P$1000)/1000-Q742</f>
        <v>4.6730891138668196E-6</v>
      </c>
      <c r="S744" s="3"/>
    </row>
    <row r="745" spans="2:19" x14ac:dyDescent="0.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70">IFERROR(G$736/G$735,0)*G739</f>
        <v>0</v>
      </c>
      <c r="H745" s="18">
        <f t="shared" si="870"/>
        <v>0</v>
      </c>
      <c r="I745" s="18">
        <f t="shared" si="870"/>
        <v>0</v>
      </c>
      <c r="J745" s="18">
        <f t="shared" si="870"/>
        <v>0</v>
      </c>
      <c r="K745" s="18">
        <f t="shared" si="870"/>
        <v>9.4329582153769727E-6</v>
      </c>
      <c r="L745" s="18">
        <f t="shared" ref="L745:O745" si="871">IFERROR(L$736/L$735,0)*L739</f>
        <v>4.2779340450751097E-6</v>
      </c>
      <c r="M745" s="18">
        <f t="shared" si="871"/>
        <v>7.3946206434851919E-5</v>
      </c>
      <c r="N745" s="18">
        <f t="shared" si="871"/>
        <v>4.3409889256718008E-2</v>
      </c>
      <c r="O745" s="18">
        <f t="shared" si="871"/>
        <v>0.15930491816723075</v>
      </c>
      <c r="P745" s="18">
        <f t="shared" ref="P745:Q750" si="872">IFERROR(P$736/P$735,0)*P739</f>
        <v>0.21313335855383242</v>
      </c>
      <c r="Q745" s="18">
        <f t="shared" si="872"/>
        <v>0</v>
      </c>
      <c r="S745" s="3"/>
    </row>
    <row r="746" spans="2:19" x14ac:dyDescent="0.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73">IFERROR(F$736/F$735,0)*F740</f>
        <v>0</v>
      </c>
      <c r="G746" s="18">
        <f t="shared" si="873"/>
        <v>0</v>
      </c>
      <c r="H746" s="18">
        <f t="shared" si="873"/>
        <v>0</v>
      </c>
      <c r="I746" s="18">
        <f t="shared" si="873"/>
        <v>0</v>
      </c>
      <c r="J746" s="18">
        <f t="shared" si="873"/>
        <v>0</v>
      </c>
      <c r="K746" s="18">
        <f t="shared" si="873"/>
        <v>9.4329582153769727E-6</v>
      </c>
      <c r="L746" s="18">
        <f t="shared" ref="L746:O746" si="874">IFERROR(L$736/L$735,0)*L740</f>
        <v>4.2779340450751097E-6</v>
      </c>
      <c r="M746" s="18">
        <f t="shared" si="874"/>
        <v>7.3946206434851919E-5</v>
      </c>
      <c r="N746" s="18">
        <f t="shared" si="874"/>
        <v>4.3409889256718008E-2</v>
      </c>
      <c r="O746" s="18">
        <f t="shared" si="874"/>
        <v>0.15930491816723075</v>
      </c>
      <c r="P746" s="18">
        <f t="shared" si="872"/>
        <v>0.21313335855383242</v>
      </c>
      <c r="Q746" s="18">
        <f t="shared" si="872"/>
        <v>0</v>
      </c>
      <c r="S746" s="3"/>
    </row>
    <row r="747" spans="2:19" x14ac:dyDescent="0.5">
      <c r="B747" s="5" t="str">
        <f t="shared" ref="B747:B750" si="875">B746</f>
        <v>SPS1</v>
      </c>
      <c r="C747" s="5" t="str">
        <f t="shared" ref="C747:C750" si="876">C746</f>
        <v>CH</v>
      </c>
      <c r="D747" t="s">
        <v>934</v>
      </c>
      <c r="E747" s="5" t="s">
        <v>442</v>
      </c>
      <c r="F747" s="18">
        <f t="shared" ref="F747:K747" si="877">IFERROR(F$736/F$735,0)*F741</f>
        <v>0</v>
      </c>
      <c r="G747" s="18">
        <f t="shared" si="877"/>
        <v>0</v>
      </c>
      <c r="H747" s="18">
        <f t="shared" si="877"/>
        <v>0</v>
      </c>
      <c r="I747" s="18">
        <f t="shared" si="877"/>
        <v>0</v>
      </c>
      <c r="J747" s="18">
        <f t="shared" si="877"/>
        <v>0</v>
      </c>
      <c r="K747" s="18">
        <f t="shared" si="877"/>
        <v>7.5832414751099836E-3</v>
      </c>
      <c r="L747" s="18">
        <f t="shared" ref="L747:O747" si="878">IFERROR(L$736/L$735,0)*L741</f>
        <v>5.8943423903549197E-3</v>
      </c>
      <c r="M747" s="18">
        <f t="shared" si="878"/>
        <v>1.6553217711219478E-2</v>
      </c>
      <c r="N747" s="18">
        <f t="shared" si="878"/>
        <v>2.9648983172571373E-3</v>
      </c>
      <c r="O747" s="18">
        <f t="shared" si="878"/>
        <v>2.3782852740063271E-3</v>
      </c>
      <c r="P747" s="18">
        <f t="shared" si="872"/>
        <v>3.865542424529076E-3</v>
      </c>
      <c r="Q747" s="18">
        <f t="shared" si="872"/>
        <v>0</v>
      </c>
      <c r="S747" s="3"/>
    </row>
    <row r="748" spans="2:19" x14ac:dyDescent="0.5">
      <c r="B748" s="5" t="str">
        <f t="shared" si="875"/>
        <v>SPS1</v>
      </c>
      <c r="C748" s="5" t="str">
        <f t="shared" si="876"/>
        <v>CH</v>
      </c>
      <c r="D748" t="s">
        <v>457</v>
      </c>
      <c r="E748" s="5" t="s">
        <v>442</v>
      </c>
      <c r="F748" s="18">
        <f t="shared" ref="F748:K748" si="879">IFERROR(F$736/F$735,0)*F742</f>
        <v>0</v>
      </c>
      <c r="G748" s="18">
        <f t="shared" si="879"/>
        <v>0</v>
      </c>
      <c r="H748" s="18">
        <f t="shared" si="879"/>
        <v>0</v>
      </c>
      <c r="I748" s="18">
        <f t="shared" si="879"/>
        <v>0</v>
      </c>
      <c r="J748" s="18">
        <f t="shared" si="879"/>
        <v>0</v>
      </c>
      <c r="K748" s="18">
        <f t="shared" si="879"/>
        <v>7.8189914959945705E-5</v>
      </c>
      <c r="L748" s="18">
        <f t="shared" ref="L748:O748" si="880">IFERROR(L$736/L$735,0)*L742</f>
        <v>3.9884067492346157E-5</v>
      </c>
      <c r="M748" s="18">
        <f t="shared" si="880"/>
        <v>1.3491320502576717E-5</v>
      </c>
      <c r="N748" s="18">
        <f t="shared" si="880"/>
        <v>7.733780857733754E-6</v>
      </c>
      <c r="O748" s="18">
        <f t="shared" si="880"/>
        <v>1.1419682897990471E-5</v>
      </c>
      <c r="P748" s="18">
        <f t="shared" si="872"/>
        <v>1.141559430130625E-5</v>
      </c>
      <c r="Q748" s="18">
        <f t="shared" si="872"/>
        <v>0</v>
      </c>
      <c r="S748" s="3"/>
    </row>
    <row r="749" spans="2:19" x14ac:dyDescent="0.5">
      <c r="B749" s="5" t="str">
        <f t="shared" si="875"/>
        <v>SPS1</v>
      </c>
      <c r="C749" s="5" t="str">
        <f t="shared" si="876"/>
        <v>CH</v>
      </c>
      <c r="D749" t="s">
        <v>458</v>
      </c>
      <c r="E749" s="5" t="s">
        <v>442</v>
      </c>
      <c r="F749" s="18">
        <f t="shared" ref="F749:K749" si="881">IFERROR(F$736/F$735,0)*F743</f>
        <v>0</v>
      </c>
      <c r="G749" s="18">
        <f t="shared" si="881"/>
        <v>0</v>
      </c>
      <c r="H749" s="18">
        <f t="shared" si="881"/>
        <v>0</v>
      </c>
      <c r="I749" s="18">
        <f t="shared" si="881"/>
        <v>0</v>
      </c>
      <c r="J749" s="18">
        <f t="shared" si="881"/>
        <v>0</v>
      </c>
      <c r="K749" s="18">
        <f t="shared" si="881"/>
        <v>7.4948577894320715E-3</v>
      </c>
      <c r="L749" s="18">
        <f t="shared" ref="L749:O749" si="882">IFERROR(L$736/L$735,0)*L743</f>
        <v>5.8491715840193774E-3</v>
      </c>
      <c r="M749" s="18">
        <f t="shared" si="882"/>
        <v>1.6539726390716901E-2</v>
      </c>
      <c r="N749" s="18">
        <f t="shared" si="882"/>
        <v>2.9562203662564994E-3</v>
      </c>
      <c r="O749" s="18">
        <f t="shared" si="882"/>
        <v>2.365407151510616E-3</v>
      </c>
      <c r="P749" s="18">
        <f t="shared" si="872"/>
        <v>3.8527019001449296E-3</v>
      </c>
      <c r="Q749" s="18">
        <f t="shared" si="872"/>
        <v>0</v>
      </c>
      <c r="S749" s="3"/>
    </row>
    <row r="750" spans="2:19" x14ac:dyDescent="0.5">
      <c r="B750" s="5" t="str">
        <f t="shared" si="875"/>
        <v>SPS1</v>
      </c>
      <c r="C750" s="5" t="str">
        <f t="shared" si="876"/>
        <v>CH</v>
      </c>
      <c r="D750" t="s">
        <v>459</v>
      </c>
      <c r="E750" s="5" t="s">
        <v>442</v>
      </c>
      <c r="F750" s="18">
        <f t="shared" ref="F750:K750" si="883">IFERROR(F$736/F$735,0)*F744</f>
        <v>0</v>
      </c>
      <c r="G750" s="18">
        <f t="shared" si="883"/>
        <v>0</v>
      </c>
      <c r="H750" s="18">
        <f t="shared" si="883"/>
        <v>0</v>
      </c>
      <c r="I750" s="18">
        <f t="shared" si="883"/>
        <v>0</v>
      </c>
      <c r="J750" s="18">
        <f t="shared" si="883"/>
        <v>0</v>
      </c>
      <c r="K750" s="18">
        <f t="shared" si="883"/>
        <v>1.0193770717965093E-5</v>
      </c>
      <c r="L750" s="18">
        <f t="shared" ref="L750:O750" si="884">IFERROR(L$736/L$735,0)*L744</f>
        <v>5.2867388431958697E-6</v>
      </c>
      <c r="M750" s="18">
        <f t="shared" si="884"/>
        <v>0</v>
      </c>
      <c r="N750" s="18">
        <f t="shared" si="884"/>
        <v>9.44170142904165E-7</v>
      </c>
      <c r="O750" s="18">
        <f t="shared" si="884"/>
        <v>1.4584395977207381E-6</v>
      </c>
      <c r="P750" s="18">
        <f t="shared" si="872"/>
        <v>1.4249300828399399E-6</v>
      </c>
      <c r="Q750" s="18">
        <f t="shared" si="872"/>
        <v>0</v>
      </c>
      <c r="S750" s="3"/>
    </row>
    <row r="751" spans="2:19" x14ac:dyDescent="0.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85">IFERROR(G$737/G$735,0)*G739</f>
        <v>0</v>
      </c>
      <c r="H751" s="18">
        <f t="shared" si="885"/>
        <v>0</v>
      </c>
      <c r="I751" s="18">
        <f t="shared" si="885"/>
        <v>0</v>
      </c>
      <c r="J751" s="18">
        <f t="shared" si="885"/>
        <v>0</v>
      </c>
      <c r="K751" s="18">
        <f t="shared" si="885"/>
        <v>5.2302870306724555E-6</v>
      </c>
      <c r="L751" s="18">
        <f t="shared" ref="L751:O751" si="886">IFERROR(L$737/L$735,0)*L739</f>
        <v>1.6455976436583557E-6</v>
      </c>
      <c r="M751" s="18">
        <f t="shared" si="886"/>
        <v>2.8544267071553129E-5</v>
      </c>
      <c r="N751" s="18">
        <f t="shared" si="886"/>
        <v>1.6944318359683328E-2</v>
      </c>
      <c r="O751" s="18">
        <f t="shared" si="886"/>
        <v>6.1158567961735237E-2</v>
      </c>
      <c r="P751" s="18">
        <f t="shared" ref="P751:Q756" si="887">IFERROR(P$737/P$735,0)*P739</f>
        <v>8.088872547109785E-2</v>
      </c>
      <c r="Q751" s="18">
        <f t="shared" si="887"/>
        <v>0.40482204817471551</v>
      </c>
      <c r="S751" s="3"/>
    </row>
    <row r="752" spans="2:19" x14ac:dyDescent="0.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88">IFERROR(F$737/F$735,0)*F740</f>
        <v>0</v>
      </c>
      <c r="G752" s="18">
        <f t="shared" si="888"/>
        <v>0</v>
      </c>
      <c r="H752" s="18">
        <f t="shared" si="888"/>
        <v>0</v>
      </c>
      <c r="I752" s="18">
        <f t="shared" si="888"/>
        <v>0</v>
      </c>
      <c r="J752" s="18">
        <f t="shared" si="888"/>
        <v>0</v>
      </c>
      <c r="K752" s="18">
        <f t="shared" si="888"/>
        <v>5.2302870306724555E-6</v>
      </c>
      <c r="L752" s="18">
        <f t="shared" ref="L752:O752" si="889">IFERROR(L$737/L$735,0)*L740</f>
        <v>1.6455976436583557E-6</v>
      </c>
      <c r="M752" s="18">
        <f t="shared" si="889"/>
        <v>2.8544267071553129E-5</v>
      </c>
      <c r="N752" s="18">
        <f t="shared" si="889"/>
        <v>1.6944318359683328E-2</v>
      </c>
      <c r="O752" s="18">
        <f t="shared" si="889"/>
        <v>6.1158567961735237E-2</v>
      </c>
      <c r="P752" s="18">
        <f t="shared" si="887"/>
        <v>8.088872547109785E-2</v>
      </c>
      <c r="Q752" s="18">
        <f t="shared" si="887"/>
        <v>0.40482204817471551</v>
      </c>
      <c r="S752" s="3"/>
    </row>
    <row r="753" spans="2:19" x14ac:dyDescent="0.5">
      <c r="B753" s="5" t="str">
        <f t="shared" ref="B753:B756" si="890">B752</f>
        <v>SPS1</v>
      </c>
      <c r="C753" s="5" t="str">
        <f t="shared" ref="C753:C756" si="891">C752</f>
        <v>CH</v>
      </c>
      <c r="D753" t="s">
        <v>936</v>
      </c>
      <c r="E753" s="5" t="s">
        <v>442</v>
      </c>
      <c r="F753" s="18">
        <f t="shared" ref="F753:K753" si="892">IFERROR(F$737/F$735,0)*F741</f>
        <v>0</v>
      </c>
      <c r="G753" s="18">
        <f t="shared" si="892"/>
        <v>0</v>
      </c>
      <c r="H753" s="18">
        <f t="shared" si="892"/>
        <v>0</v>
      </c>
      <c r="I753" s="18">
        <f t="shared" si="892"/>
        <v>0</v>
      </c>
      <c r="J753" s="18">
        <f t="shared" si="892"/>
        <v>0</v>
      </c>
      <c r="K753" s="18">
        <f t="shared" si="892"/>
        <v>4.2046756311365854E-3</v>
      </c>
      <c r="L753" s="18">
        <f t="shared" ref="L753:O753" si="893">IFERROR(L$737/L$735,0)*L741</f>
        <v>2.2673832383297795E-3</v>
      </c>
      <c r="M753" s="18">
        <f t="shared" si="893"/>
        <v>6.3897729176802818E-3</v>
      </c>
      <c r="N753" s="18">
        <f t="shared" si="893"/>
        <v>1.1572980685252399E-3</v>
      </c>
      <c r="O753" s="18">
        <f t="shared" si="893"/>
        <v>9.1304476494580603E-4</v>
      </c>
      <c r="P753" s="18">
        <f t="shared" si="887"/>
        <v>1.4670570674446496E-3</v>
      </c>
      <c r="Q753" s="18">
        <f t="shared" si="887"/>
        <v>6.2581587914756808E-3</v>
      </c>
      <c r="S753" s="3"/>
    </row>
    <row r="754" spans="2:19" x14ac:dyDescent="0.5">
      <c r="B754" s="5" t="str">
        <f t="shared" si="890"/>
        <v>SPS1</v>
      </c>
      <c r="C754" s="5" t="str">
        <f t="shared" si="891"/>
        <v>CH</v>
      </c>
      <c r="D754" t="s">
        <v>461</v>
      </c>
      <c r="E754" s="5" t="s">
        <v>442</v>
      </c>
      <c r="F754" s="18">
        <f t="shared" ref="F754:K754" si="894">IFERROR(F$737/F$735,0)*F742</f>
        <v>0</v>
      </c>
      <c r="G754" s="18">
        <f t="shared" si="894"/>
        <v>0</v>
      </c>
      <c r="H754" s="18">
        <f t="shared" si="894"/>
        <v>0</v>
      </c>
      <c r="I754" s="18">
        <f t="shared" si="894"/>
        <v>0</v>
      </c>
      <c r="J754" s="18">
        <f t="shared" si="894"/>
        <v>0</v>
      </c>
      <c r="K754" s="18">
        <f t="shared" si="894"/>
        <v>4.3353918124828995E-5</v>
      </c>
      <c r="L754" s="18">
        <f t="shared" ref="L754:O754" si="895">IFERROR(L$737/L$735,0)*L742</f>
        <v>1.5342248569838178E-5</v>
      </c>
      <c r="M754" s="18">
        <f t="shared" si="895"/>
        <v>5.2078378883810731E-6</v>
      </c>
      <c r="N754" s="18">
        <f t="shared" si="895"/>
        <v>3.0187509625398437E-6</v>
      </c>
      <c r="O754" s="18">
        <f t="shared" si="895"/>
        <v>4.3841173307973867E-6</v>
      </c>
      <c r="P754" s="18">
        <f t="shared" si="887"/>
        <v>4.3324652686621242E-6</v>
      </c>
      <c r="Q754" s="18">
        <f t="shared" si="887"/>
        <v>3.6218932006708122E-5</v>
      </c>
      <c r="S754" s="3"/>
    </row>
    <row r="755" spans="2:19" x14ac:dyDescent="0.5">
      <c r="B755" s="5" t="str">
        <f t="shared" si="890"/>
        <v>SPS1</v>
      </c>
      <c r="C755" s="5" t="str">
        <f t="shared" si="891"/>
        <v>CH</v>
      </c>
      <c r="D755" t="s">
        <v>462</v>
      </c>
      <c r="E755" s="5" t="s">
        <v>442</v>
      </c>
      <c r="F755" s="18">
        <f t="shared" ref="F755:K755" si="896">IFERROR(F$737/F$735,0)*F743</f>
        <v>0</v>
      </c>
      <c r="G755" s="18">
        <f t="shared" si="896"/>
        <v>0</v>
      </c>
      <c r="H755" s="18">
        <f t="shared" si="896"/>
        <v>0</v>
      </c>
      <c r="I755" s="18">
        <f t="shared" si="896"/>
        <v>0</v>
      </c>
      <c r="J755" s="18">
        <f t="shared" si="896"/>
        <v>0</v>
      </c>
      <c r="K755" s="18">
        <f t="shared" si="896"/>
        <v>4.1556695787011311E-3</v>
      </c>
      <c r="L755" s="18">
        <f t="shared" ref="L755:O755" si="897">IFERROR(L$737/L$735,0)*L743</f>
        <v>2.2500073340533939E-3</v>
      </c>
      <c r="M755" s="18">
        <f t="shared" si="897"/>
        <v>6.3845650797918997E-3</v>
      </c>
      <c r="N755" s="18">
        <f t="shared" si="897"/>
        <v>1.1539107766665815E-3</v>
      </c>
      <c r="O755" s="18">
        <f t="shared" si="897"/>
        <v>9.0810073974598952E-4</v>
      </c>
      <c r="P755" s="18">
        <f t="shared" si="887"/>
        <v>1.4621838103493657E-3</v>
      </c>
      <c r="Q755" s="18">
        <f t="shared" si="887"/>
        <v>6.217266770355106E-3</v>
      </c>
      <c r="S755" s="3"/>
    </row>
    <row r="756" spans="2:19" x14ac:dyDescent="0.5">
      <c r="B756" s="5" t="str">
        <f t="shared" si="890"/>
        <v>SPS1</v>
      </c>
      <c r="C756" s="5" t="str">
        <f t="shared" si="891"/>
        <v>CH</v>
      </c>
      <c r="D756" t="s">
        <v>463</v>
      </c>
      <c r="E756" s="5" t="s">
        <v>442</v>
      </c>
      <c r="F756" s="18">
        <f t="shared" ref="F756:K756" si="898">IFERROR(F$737/F$735,0)*F744</f>
        <v>0</v>
      </c>
      <c r="G756" s="18">
        <f t="shared" si="898"/>
        <v>0</v>
      </c>
      <c r="H756" s="18">
        <f t="shared" si="898"/>
        <v>0</v>
      </c>
      <c r="I756" s="18">
        <f t="shared" si="898"/>
        <v>0</v>
      </c>
      <c r="J756" s="18">
        <f t="shared" si="898"/>
        <v>0</v>
      </c>
      <c r="K756" s="18">
        <f t="shared" si="898"/>
        <v>5.6521343106247162E-6</v>
      </c>
      <c r="L756" s="18">
        <f t="shared" ref="L756:O756" si="899">IFERROR(L$737/L$735,0)*L744</f>
        <v>2.0336557065473588E-6</v>
      </c>
      <c r="M756" s="18">
        <f t="shared" si="899"/>
        <v>0</v>
      </c>
      <c r="N756" s="18">
        <f t="shared" si="899"/>
        <v>3.6854089611850394E-7</v>
      </c>
      <c r="O756" s="18">
        <f t="shared" si="899"/>
        <v>5.5990786901918338E-7</v>
      </c>
      <c r="P756" s="18">
        <f t="shared" si="887"/>
        <v>5.4079182662171802E-7</v>
      </c>
      <c r="Q756" s="18">
        <f t="shared" si="887"/>
        <v>4.6730891138668196E-6</v>
      </c>
      <c r="S756" s="3"/>
    </row>
    <row r="757" spans="2:19" x14ac:dyDescent="0.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900">IFERROR(G$738/G$735,0)*G739</f>
        <v>0</v>
      </c>
      <c r="H757" s="18">
        <f t="shared" si="900"/>
        <v>0</v>
      </c>
      <c r="I757" s="18">
        <f t="shared" si="900"/>
        <v>0</v>
      </c>
      <c r="J757" s="18">
        <f t="shared" si="900"/>
        <v>0</v>
      </c>
      <c r="K757" s="18">
        <f t="shared" si="900"/>
        <v>8.9844592945304199E-12</v>
      </c>
      <c r="L757" s="18">
        <f t="shared" ref="L757:O757" si="901">IFERROR(L$738/L$735,0)*L739</f>
        <v>8.86377326867336E-8</v>
      </c>
      <c r="M757" s="18">
        <f t="shared" si="901"/>
        <v>3.0194710856823618E-6</v>
      </c>
      <c r="N757" s="18">
        <f t="shared" si="901"/>
        <v>1.1781990173160591E-2</v>
      </c>
      <c r="O757" s="18">
        <f t="shared" si="901"/>
        <v>6.1722294271530143E-2</v>
      </c>
      <c r="P757" s="18">
        <f t="shared" ref="P757:Q762" si="902">IFERROR(P$738/P$735,0)*P739</f>
        <v>0.10823768494743229</v>
      </c>
      <c r="Q757" s="18">
        <f t="shared" si="902"/>
        <v>0</v>
      </c>
      <c r="S757" s="3"/>
    </row>
    <row r="758" spans="2:19" x14ac:dyDescent="0.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903">IFERROR(F$738/F$735,0)*F740</f>
        <v>0</v>
      </c>
      <c r="G758" s="18">
        <f t="shared" si="903"/>
        <v>0</v>
      </c>
      <c r="H758" s="18">
        <f t="shared" si="903"/>
        <v>0</v>
      </c>
      <c r="I758" s="18">
        <f t="shared" si="903"/>
        <v>0</v>
      </c>
      <c r="J758" s="18">
        <f t="shared" si="903"/>
        <v>0</v>
      </c>
      <c r="K758" s="18">
        <f t="shared" si="903"/>
        <v>8.9844592945304199E-12</v>
      </c>
      <c r="L758" s="18">
        <f t="shared" ref="L758:O758" si="904">IFERROR(L$738/L$735,0)*L740</f>
        <v>8.86377326867336E-8</v>
      </c>
      <c r="M758" s="18">
        <f t="shared" si="904"/>
        <v>3.0194710856823618E-6</v>
      </c>
      <c r="N758" s="18">
        <f t="shared" si="904"/>
        <v>1.1781990173160591E-2</v>
      </c>
      <c r="O758" s="18">
        <f t="shared" si="904"/>
        <v>6.1722294271530143E-2</v>
      </c>
      <c r="P758" s="18">
        <f t="shared" si="902"/>
        <v>0.10823768494743229</v>
      </c>
      <c r="Q758" s="18">
        <f t="shared" si="902"/>
        <v>0</v>
      </c>
      <c r="S758" s="3"/>
    </row>
    <row r="759" spans="2:19" x14ac:dyDescent="0.5">
      <c r="B759" s="5" t="str">
        <f t="shared" ref="B759:B762" si="905">B758</f>
        <v>SPS1</v>
      </c>
      <c r="C759" s="5" t="str">
        <f t="shared" ref="C759:C762" si="906">C758</f>
        <v>CH</v>
      </c>
      <c r="D759" t="s">
        <v>938</v>
      </c>
      <c r="E759" s="5" t="s">
        <v>442</v>
      </c>
      <c r="F759" s="18">
        <f t="shared" ref="F759:K759" si="907">IFERROR(F$738/F$735,0)*F741</f>
        <v>0</v>
      </c>
      <c r="G759" s="18">
        <f t="shared" si="907"/>
        <v>0</v>
      </c>
      <c r="H759" s="18">
        <f t="shared" si="907"/>
        <v>0</v>
      </c>
      <c r="I759" s="18">
        <f t="shared" si="907"/>
        <v>0</v>
      </c>
      <c r="J759" s="18">
        <f t="shared" si="907"/>
        <v>0</v>
      </c>
      <c r="K759" s="18">
        <f t="shared" si="907"/>
        <v>7.2226890862992873E-9</v>
      </c>
      <c r="L759" s="18">
        <f t="shared" ref="L759:O759" si="908">IFERROR(L$738/L$735,0)*L741</f>
        <v>1.2212931280739011E-4</v>
      </c>
      <c r="M759" s="18">
        <f t="shared" si="908"/>
        <v>6.759232780665697E-4</v>
      </c>
      <c r="N759" s="18">
        <f t="shared" si="908"/>
        <v>8.047107107728434E-4</v>
      </c>
      <c r="O759" s="18">
        <f t="shared" si="908"/>
        <v>9.21460713408538E-4</v>
      </c>
      <c r="P759" s="18">
        <f t="shared" si="902"/>
        <v>1.9630777928713325E-3</v>
      </c>
      <c r="Q759" s="18">
        <f t="shared" si="902"/>
        <v>0</v>
      </c>
      <c r="S759" s="3"/>
    </row>
    <row r="760" spans="2:19" x14ac:dyDescent="0.5">
      <c r="B760" s="5" t="str">
        <f t="shared" si="905"/>
        <v>SPS1</v>
      </c>
      <c r="C760" s="5" t="str">
        <f t="shared" si="906"/>
        <v>CH</v>
      </c>
      <c r="D760" t="s">
        <v>465</v>
      </c>
      <c r="E760" s="5" t="s">
        <v>442</v>
      </c>
      <c r="F760" s="18">
        <f t="shared" ref="F760:K760" si="909">IFERROR(F$738/F$735,0)*F742</f>
        <v>0</v>
      </c>
      <c r="G760" s="18">
        <f t="shared" si="909"/>
        <v>0</v>
      </c>
      <c r="H760" s="18">
        <f t="shared" si="909"/>
        <v>0</v>
      </c>
      <c r="I760" s="18">
        <f t="shared" si="909"/>
        <v>0</v>
      </c>
      <c r="J760" s="18">
        <f t="shared" si="909"/>
        <v>0</v>
      </c>
      <c r="K760" s="18">
        <f t="shared" si="909"/>
        <v>7.4472301494484401E-11</v>
      </c>
      <c r="L760" s="18">
        <f t="shared" ref="L760:O760" si="910">IFERROR(L$738/L$735,0)*L742</f>
        <v>8.2638798906123623E-7</v>
      </c>
      <c r="M760" s="18">
        <f t="shared" si="910"/>
        <v>5.5089576773750829E-7</v>
      </c>
      <c r="N760" s="18">
        <f t="shared" si="910"/>
        <v>2.0990454393544709E-6</v>
      </c>
      <c r="O760" s="18">
        <f t="shared" si="910"/>
        <v>4.424527732266313E-6</v>
      </c>
      <c r="P760" s="18">
        <f t="shared" si="902"/>
        <v>5.7972975598768448E-6</v>
      </c>
      <c r="Q760" s="18">
        <f t="shared" si="902"/>
        <v>0</v>
      </c>
      <c r="S760" s="3"/>
    </row>
    <row r="761" spans="2:19" x14ac:dyDescent="0.5">
      <c r="B761" s="5" t="str">
        <f t="shared" si="905"/>
        <v>SPS1</v>
      </c>
      <c r="C761" s="5" t="str">
        <f t="shared" si="906"/>
        <v>CH</v>
      </c>
      <c r="D761" t="s">
        <v>466</v>
      </c>
      <c r="E761" s="5" t="s">
        <v>442</v>
      </c>
      <c r="F761" s="18">
        <f t="shared" ref="F761:K761" si="911">IFERROR(F$738/F$735,0)*F743</f>
        <v>0</v>
      </c>
      <c r="G761" s="18">
        <f t="shared" si="911"/>
        <v>0</v>
      </c>
      <c r="H761" s="18">
        <f t="shared" si="911"/>
        <v>0</v>
      </c>
      <c r="I761" s="18">
        <f t="shared" si="911"/>
        <v>0</v>
      </c>
      <c r="J761" s="18">
        <f t="shared" si="911"/>
        <v>0</v>
      </c>
      <c r="K761" s="18">
        <f t="shared" si="911"/>
        <v>7.1385076865577605E-9</v>
      </c>
      <c r="L761" s="18">
        <f t="shared" ref="L761:O761" si="912">IFERROR(L$738/L$735,0)*L743</f>
        <v>1.2119338490036138E-4</v>
      </c>
      <c r="M761" s="18">
        <f t="shared" si="912"/>
        <v>6.7537238229883206E-4</v>
      </c>
      <c r="N761" s="18">
        <f t="shared" si="912"/>
        <v>8.0235540567616284E-4</v>
      </c>
      <c r="O761" s="18">
        <f t="shared" si="912"/>
        <v>9.1647111688201598E-4</v>
      </c>
      <c r="P761" s="18">
        <f t="shared" si="902"/>
        <v>1.9565568585498288E-3</v>
      </c>
      <c r="Q761" s="18">
        <f t="shared" si="902"/>
        <v>0</v>
      </c>
      <c r="S761" s="3"/>
    </row>
    <row r="762" spans="2:19" x14ac:dyDescent="0.5">
      <c r="B762" s="5" t="str">
        <f t="shared" si="905"/>
        <v>SPS1</v>
      </c>
      <c r="C762" s="5" t="str">
        <f t="shared" si="906"/>
        <v>CH</v>
      </c>
      <c r="D762" t="s">
        <v>467</v>
      </c>
      <c r="E762" s="5" t="s">
        <v>442</v>
      </c>
      <c r="F762" s="18">
        <f t="shared" ref="F762:K762" si="913">IFERROR(F$738/F$735,0)*F744</f>
        <v>0</v>
      </c>
      <c r="G762" s="18">
        <f t="shared" si="913"/>
        <v>0</v>
      </c>
      <c r="H762" s="18">
        <f t="shared" si="913"/>
        <v>0</v>
      </c>
      <c r="I762" s="18">
        <f t="shared" si="913"/>
        <v>0</v>
      </c>
      <c r="J762" s="18">
        <f t="shared" si="913"/>
        <v>0</v>
      </c>
      <c r="K762" s="18">
        <f t="shared" si="913"/>
        <v>9.7090982470416315E-12</v>
      </c>
      <c r="L762" s="18">
        <f t="shared" ref="L762:O762" si="914">IFERROR(L$738/L$735,0)*L744</f>
        <v>1.0953991796746815E-7</v>
      </c>
      <c r="M762" s="18">
        <f t="shared" si="914"/>
        <v>0</v>
      </c>
      <c r="N762" s="18">
        <f t="shared" si="914"/>
        <v>2.5625965732605381E-7</v>
      </c>
      <c r="O762" s="18">
        <f t="shared" si="914"/>
        <v>5.6506879425577153E-7</v>
      </c>
      <c r="P762" s="18">
        <f t="shared" si="902"/>
        <v>7.2363676162684249E-7</v>
      </c>
      <c r="Q762" s="18">
        <f t="shared" si="902"/>
        <v>0</v>
      </c>
      <c r="S762" s="3"/>
    </row>
    <row r="763" spans="2:19" x14ac:dyDescent="0.5">
      <c r="B763" s="9" t="str">
        <f t="shared" ref="B763" si="915">B762</f>
        <v>SPS1</v>
      </c>
      <c r="C763" s="9" t="str">
        <f t="shared" ref="C763:C777" si="916">C762</f>
        <v>CH</v>
      </c>
      <c r="D763" s="2" t="s">
        <v>496</v>
      </c>
      <c r="E763" s="9" t="s">
        <v>8</v>
      </c>
      <c r="F763" s="17">
        <f t="shared" ref="F763:K763" si="917">F764+F768+F778+F789+F791+F803+F805+F807+F811+F813+F815</f>
        <v>142.21737182712599</v>
      </c>
      <c r="G763" s="17">
        <f t="shared" si="917"/>
        <v>141.17229316779188</v>
      </c>
      <c r="H763" s="17">
        <f t="shared" si="917"/>
        <v>142.66341140815311</v>
      </c>
      <c r="I763" s="17">
        <f t="shared" si="917"/>
        <v>144.09137962518494</v>
      </c>
      <c r="J763" s="17">
        <f t="shared" si="917"/>
        <v>142.65913418973221</v>
      </c>
      <c r="K763" s="17">
        <f t="shared" si="917"/>
        <v>142.5606426768077</v>
      </c>
      <c r="L763" s="17">
        <f t="shared" ref="L763:O763" si="918">L764+L768+L778+L789+L791+L803+L805+L807+L811+L813+L815</f>
        <v>142.72320563588468</v>
      </c>
      <c r="M763" s="17">
        <f t="shared" si="918"/>
        <v>143.12893325229385</v>
      </c>
      <c r="N763" s="17">
        <f t="shared" si="918"/>
        <v>143.1775401572948</v>
      </c>
      <c r="O763" s="17">
        <f t="shared" si="918"/>
        <v>147.44729134919709</v>
      </c>
      <c r="P763" s="17">
        <f>P764+P768+P778+P789+P791+P803+P805+P807+P811+P813+P815</f>
        <v>143.06807239890108</v>
      </c>
      <c r="Q763" s="17">
        <f>Q764+Q768+Q778+Q789+Q791+Q803+Q805+Q807+Q811+Q813+Q815</f>
        <v>143.16418447217393</v>
      </c>
      <c r="S763" s="3"/>
    </row>
    <row r="764" spans="2:19" x14ac:dyDescent="0.5">
      <c r="B764" s="5" t="str">
        <f>B763</f>
        <v>SPS1</v>
      </c>
      <c r="C764" s="5" t="str">
        <f t="shared" si="916"/>
        <v>CH</v>
      </c>
      <c r="D764" t="s">
        <v>939</v>
      </c>
      <c r="E764" t="s">
        <v>8</v>
      </c>
      <c r="F764" s="18">
        <f>[1]Industry!B$11</f>
        <v>60.070007474406353</v>
      </c>
      <c r="G764" s="18">
        <f>[1]Industry!C$11</f>
        <v>62.576415906895392</v>
      </c>
      <c r="H764" s="18">
        <f>[1]Industry!D$11</f>
        <v>64.913633583175454</v>
      </c>
      <c r="I764" s="18">
        <f>[1]Industry!E$11</f>
        <v>68.470875817519229</v>
      </c>
      <c r="J764" s="18">
        <f>[1]Industry!F$11</f>
        <v>69.183539507093769</v>
      </c>
      <c r="K764" s="18">
        <f>[1]Industry!G$11</f>
        <v>69.548190396804472</v>
      </c>
      <c r="L764" s="18">
        <f>[1]Industry!H$11</f>
        <v>73.378527768886613</v>
      </c>
      <c r="M764" s="18">
        <f>[1]Industry!I$11</f>
        <v>74.055652180312393</v>
      </c>
      <c r="N764" s="18">
        <f>[1]Industry!J$11</f>
        <v>75.032630506092374</v>
      </c>
      <c r="O764" s="18">
        <f>[1]Industry!K$11</f>
        <v>76.697199910669042</v>
      </c>
      <c r="P764" s="18">
        <f>[1]Industry!L$11</f>
        <v>75.237536809857062</v>
      </c>
      <c r="Q764" s="18">
        <f>[1]Industry!M$11</f>
        <v>75.426063811549682</v>
      </c>
      <c r="S764" s="3"/>
    </row>
    <row r="765" spans="2:19" x14ac:dyDescent="0.5">
      <c r="B765" s="5" t="str">
        <f t="shared" ref="B765:B777" si="919">B764</f>
        <v>SPS1</v>
      </c>
      <c r="C765" s="5" t="str">
        <f t="shared" si="916"/>
        <v>CH</v>
      </c>
      <c r="D765" t="s">
        <v>758</v>
      </c>
      <c r="E765" t="s">
        <v>8</v>
      </c>
      <c r="F765" s="1">
        <f t="shared" ref="F765:J765" si="920">F764-F766-F767</f>
        <v>11.646938673562715</v>
      </c>
      <c r="G765" s="1">
        <f t="shared" si="920"/>
        <v>12.258977820759846</v>
      </c>
      <c r="H765" s="1">
        <f t="shared" si="920"/>
        <v>12.251899389538515</v>
      </c>
      <c r="I765" s="1">
        <f t="shared" si="920"/>
        <v>13.748520512480084</v>
      </c>
      <c r="J765" s="1">
        <f t="shared" si="920"/>
        <v>13.730361925125564</v>
      </c>
      <c r="K765" s="1">
        <f>K764-K766-K767</f>
        <v>13.712251278211184</v>
      </c>
      <c r="L765" s="1">
        <f t="shared" ref="L765:O765" si="921">L764-L766-L767</f>
        <v>13.694188343941597</v>
      </c>
      <c r="M765" s="1">
        <f t="shared" si="921"/>
        <v>13.676172866453186</v>
      </c>
      <c r="N765" s="1">
        <f t="shared" si="921"/>
        <v>13.676171016956417</v>
      </c>
      <c r="O765" s="1">
        <f t="shared" si="921"/>
        <v>13.676237552373081</v>
      </c>
      <c r="P765" s="1">
        <f>P764-P766-P767</f>
        <v>13.676236779627146</v>
      </c>
      <c r="Q765" s="1">
        <f>Q764-Q766-Q767</f>
        <v>13.676237941322881</v>
      </c>
      <c r="S765" s="3"/>
    </row>
    <row r="766" spans="2:19" x14ac:dyDescent="0.5">
      <c r="B766" s="5" t="str">
        <f t="shared" si="919"/>
        <v>SPS1</v>
      </c>
      <c r="C766" s="5" t="str">
        <f t="shared" si="916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0.35967114867263811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0.45106231837011429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1.1456035787128473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1.8557461871055825</v>
      </c>
      <c r="J766" s="1" cm="1">
        <f t="array" ref="J766">SUMPRODUCT(([1]OUT_FinalEnergyCons!$B$4:$B$10000="Var_Fin")*1, ([1]OUT_FinalEnergyCons!$C$4:$C$10000="ITOT_ELC")*1, (ISNUMBER(SEARCH("ITOT-SWHELCHP",[1]OUT_FinalEnergyCons!$A$4:$A$10000)))*1,[1]OUT_FinalEnergyCons!H$4:H$10000)</f>
        <v>2.5022176761993533</v>
      </c>
      <c r="K766" s="1" cm="1">
        <f t="array" ref="K766">SUMPRODUCT(([1]OUT_FinalEnergyCons!$B$4:$B$10000="Var_Fin")*1, ([1]OUT_FinalEnergyCons!$C$4:$C$10000="ITOT_ELC")*1, (ISNUMBER(SEARCH("ITOT-SWHELCHP",[1]OUT_FinalEnergyCons!$A$4:$A$10000)))*1,[1]OUT_FinalEnergyCons!I$4:I$10000)</f>
        <v>2.4560382361048805</v>
      </c>
      <c r="L766" s="1" cm="1">
        <f t="array" ref="L766">SUMPRODUCT(([1]OUT_FinalEnergyCons!$B$4:$B$10000="Var_Fin")*1, ([1]OUT_FinalEnergyCons!$C$4:$C$10000="ITOT_ELC")*1, (ISNUMBER(SEARCH("ITOT-SWHELCHP",[1]OUT_FinalEnergyCons!$A$4:$A$10000)))*1,[1]OUT_FinalEnergyCons!J$4:J$10000)</f>
        <v>3.5575610681054179</v>
      </c>
      <c r="M766" s="1" cm="1">
        <f t="array" ref="M766">SUMPRODUCT(([1]OUT_FinalEnergyCons!$B$4:$B$10000="Var_Fin")*1, ([1]OUT_FinalEnergyCons!$C$4:$C$10000="ITOT_ELC")*1, (ISNUMBER(SEARCH("ITOT-SWHELCHP",[1]OUT_FinalEnergyCons!$A$4:$A$10000)))*1,[1]OUT_FinalEnergyCons!K$4:K$10000)</f>
        <v>3.6161340777997042</v>
      </c>
      <c r="N766" s="1" cm="1">
        <f t="array" ref="N766">SUMPRODUCT(([1]OUT_FinalEnergyCons!$B$4:$B$10000="Var_Fin")*1, ([1]OUT_FinalEnergyCons!$C$4:$C$10000="ITOT_ELC")*1, (ISNUMBER(SEARCH("ITOT-SWHELCHP",[1]OUT_FinalEnergyCons!$A$4:$A$10000)))*1,[1]OUT_FinalEnergyCons!L$4:L$10000)</f>
        <v>3.8006025418307932</v>
      </c>
      <c r="O766" s="1" cm="1">
        <f t="array" ref="O766">SUMPRODUCT(([1]OUT_FinalEnergyCons!$B$4:$B$10000="Var_Fin")*1, ([1]OUT_FinalEnergyCons!$C$4:$C$10000="ITOT_ELC")*1, (ISNUMBER(SEARCH("ITOT-SWHELCHP",[1]OUT_FinalEnergyCons!$A$4:$A$10000)))*1,[1]OUT_FinalEnergyCons!M$4:M$10000)</f>
        <v>3.8305491835135643</v>
      </c>
      <c r="P766" s="1" cm="1">
        <f t="array" ref="P766">SUMPRODUCT(([1]OUT_FinalEnergyCons!$B$4:$B$10000="Var_Fin")*1, ([1]OUT_FinalEnergyCons!$C$4:$C$10000="ITOT_ELC")*1, (ISNUMBER(SEARCH("ITOT-SWHELCHP",[1]OUT_FinalEnergyCons!$A$4:$A$10000)))*1,[1]OUT_FinalEnergyCons!N$4:N$10000)</f>
        <v>3.8305492680092477</v>
      </c>
      <c r="Q766" s="1" cm="1">
        <f t="array" ref="Q766">SUMPRODUCT(([1]OUT_FinalEnergyCons!$B$4:$B$10000="Var_Fin")*1, ([1]OUT_FinalEnergyCons!$C$4:$C$10000="ITOT_ELC")*1, (ISNUMBER(SEARCH("ITOT-SWHELCHP",[1]OUT_FinalEnergyCons!$A$4:$A$10000)))*1,[1]OUT_FinalEnergyCons!O$4:O$10000)</f>
        <v>3.8305509161371889</v>
      </c>
      <c r="S766" s="3"/>
    </row>
    <row r="767" spans="2:19" x14ac:dyDescent="0.5">
      <c r="B767" s="5" t="str">
        <f t="shared" si="919"/>
        <v>SPS1</v>
      </c>
      <c r="C767" s="5" t="str">
        <f t="shared" si="916"/>
        <v>CH</v>
      </c>
      <c r="D767" t="s">
        <v>468</v>
      </c>
      <c r="E767" t="s">
        <v>8</v>
      </c>
      <c r="F767" s="1">
        <f>[1]Industry!B$11-[1]Industry!B$33</f>
        <v>48.063397652170998</v>
      </c>
      <c r="G767" s="1">
        <f>[1]Industry!C$11-[1]Industry!C$33</f>
        <v>49.866375767765433</v>
      </c>
      <c r="H767" s="1">
        <f>[1]Industry!D$11-[1]Industry!D$33</f>
        <v>51.516130614924094</v>
      </c>
      <c r="I767" s="1">
        <f>[1]Industry!E$11-[1]Industry!E$33</f>
        <v>52.866609117933564</v>
      </c>
      <c r="J767" s="1">
        <f>[1]Industry!F$11-[1]Industry!F$33</f>
        <v>52.950959905768855</v>
      </c>
      <c r="K767" s="1">
        <f>[1]Industry!G$11-[1]Industry!G$33</f>
        <v>53.379900882488414</v>
      </c>
      <c r="L767" s="1">
        <f>[1]Industry!H$11-[1]Industry!H$33</f>
        <v>56.126778356839601</v>
      </c>
      <c r="M767" s="1">
        <f>[1]Industry!I$11-[1]Industry!I$33</f>
        <v>56.763345236059507</v>
      </c>
      <c r="N767" s="1">
        <f>[1]Industry!J$11-[1]Industry!J$33</f>
        <v>57.555856947305159</v>
      </c>
      <c r="O767" s="1">
        <f>[1]Industry!K$11-[1]Industry!K$33</f>
        <v>59.190413174782393</v>
      </c>
      <c r="P767" s="1">
        <f>[1]Industry!L$11-[1]Industry!L$33</f>
        <v>57.730750762220666</v>
      </c>
      <c r="Q767" s="1">
        <f>[1]Industry!M$11-[1]Industry!M$33</f>
        <v>57.919274954089616</v>
      </c>
      <c r="S767" s="3"/>
    </row>
    <row r="768" spans="2:19" x14ac:dyDescent="0.5">
      <c r="B768" s="5" t="str">
        <f t="shared" si="919"/>
        <v>SPS1</v>
      </c>
      <c r="C768" s="5" t="str">
        <f t="shared" si="916"/>
        <v>CH</v>
      </c>
      <c r="D768" t="s">
        <v>469</v>
      </c>
      <c r="E768" t="s">
        <v>8</v>
      </c>
      <c r="F768" s="1">
        <f>SUM(F771,F776)</f>
        <v>11.627804976834495</v>
      </c>
      <c r="G768" s="1">
        <f t="shared" ref="G768:K768" si="922">SUM(G771,G776)</f>
        <v>10.63147412152437</v>
      </c>
      <c r="H768" s="1">
        <f t="shared" si="922"/>
        <v>8.0023404267174083</v>
      </c>
      <c r="I768" s="1">
        <f t="shared" si="922"/>
        <v>6.4680352350577355</v>
      </c>
      <c r="J768" s="1">
        <f t="shared" si="922"/>
        <v>4.8382796925693086</v>
      </c>
      <c r="K768" s="1">
        <f t="shared" si="922"/>
        <v>3.5598121985732352</v>
      </c>
      <c r="L768" s="1">
        <f t="shared" ref="L768:O768" si="923">SUM(L771,L776)</f>
        <v>1.7853295680090453</v>
      </c>
      <c r="M768" s="1">
        <f t="shared" si="923"/>
        <v>1.4235669954486936</v>
      </c>
      <c r="N768" s="1">
        <f t="shared" si="923"/>
        <v>1.4156433455527613</v>
      </c>
      <c r="O768" s="1">
        <f t="shared" si="923"/>
        <v>1.4156416015381093</v>
      </c>
      <c r="P768" s="1">
        <f>SUM(P771,P776)</f>
        <v>0.77204096344746376</v>
      </c>
      <c r="Q768" s="1">
        <f>SUM(Q771,Q776)</f>
        <v>0.77068127284579613</v>
      </c>
      <c r="S768" s="3"/>
    </row>
    <row r="769" spans="2:19" x14ac:dyDescent="0.5">
      <c r="B769" s="5" t="str">
        <f t="shared" si="919"/>
        <v>SPS1</v>
      </c>
      <c r="C769" s="5" t="str">
        <f t="shared" si="916"/>
        <v>CH</v>
      </c>
      <c r="D769" t="s">
        <v>470</v>
      </c>
      <c r="E769" t="s">
        <v>8</v>
      </c>
      <c r="F769" s="1">
        <f>SUM(F773,F777)</f>
        <v>8.8978038681268856</v>
      </c>
      <c r="G769" s="1">
        <f t="shared" ref="G769:K769" si="924">SUM(G773,G777)</f>
        <v>8.1046914988614009</v>
      </c>
      <c r="H769" s="1">
        <f t="shared" si="924"/>
        <v>8.0013998902824639</v>
      </c>
      <c r="I769" s="1">
        <f t="shared" si="924"/>
        <v>6.4679026312297765</v>
      </c>
      <c r="J769" s="1">
        <f t="shared" si="924"/>
        <v>4.8381948852182095</v>
      </c>
      <c r="K769" s="1">
        <f t="shared" si="924"/>
        <v>3.5592555436738809</v>
      </c>
      <c r="L769" s="1">
        <f t="shared" ref="L769:O769" si="925">SUM(L773,L777)</f>
        <v>1.7849884613434388</v>
      </c>
      <c r="M769" s="1">
        <f t="shared" si="925"/>
        <v>1.4235669954486936</v>
      </c>
      <c r="N769" s="1">
        <f t="shared" si="925"/>
        <v>1.4156433455527613</v>
      </c>
      <c r="O769" s="1">
        <f t="shared" si="925"/>
        <v>1.4156416015381093</v>
      </c>
      <c r="P769" s="1">
        <f>SUM(P773,P777)</f>
        <v>0.77204096344746376</v>
      </c>
      <c r="Q769" s="1">
        <f>SUM(Q773,Q777)</f>
        <v>0.77068127284579613</v>
      </c>
      <c r="S769" s="3"/>
    </row>
    <row r="770" spans="2:19" x14ac:dyDescent="0.5">
      <c r="B770" s="5" t="str">
        <f t="shared" si="919"/>
        <v>SPS1</v>
      </c>
      <c r="C770" s="5" t="str">
        <f t="shared" si="916"/>
        <v>CH</v>
      </c>
      <c r="D770" t="s">
        <v>471</v>
      </c>
      <c r="E770" t="s">
        <v>8</v>
      </c>
      <c r="F770" s="1">
        <f>F775</f>
        <v>2.7300011087076101</v>
      </c>
      <c r="G770" s="1">
        <f t="shared" ref="G770:K770" si="926">G775</f>
        <v>2.5267826226629686</v>
      </c>
      <c r="H770" s="1">
        <f t="shared" si="926"/>
        <v>9.4053643494506126E-4</v>
      </c>
      <c r="I770" s="1">
        <f t="shared" si="926"/>
        <v>1.3260382795861046E-4</v>
      </c>
      <c r="J770" s="1">
        <f t="shared" si="926"/>
        <v>8.4807351098869287E-5</v>
      </c>
      <c r="K770" s="1">
        <f t="shared" si="926"/>
        <v>5.5665489935444624E-4</v>
      </c>
      <c r="L770" s="1">
        <f t="shared" ref="L770:O770" si="927">L775</f>
        <v>3.4110666560641258E-4</v>
      </c>
      <c r="M770" s="1">
        <f t="shared" si="927"/>
        <v>0</v>
      </c>
      <c r="N770" s="1">
        <f t="shared" si="927"/>
        <v>0</v>
      </c>
      <c r="O770" s="1">
        <f t="shared" si="927"/>
        <v>0</v>
      </c>
      <c r="P770" s="1">
        <f>P775</f>
        <v>0</v>
      </c>
      <c r="Q770" s="1">
        <f>Q775</f>
        <v>0</v>
      </c>
      <c r="S770" s="3"/>
    </row>
    <row r="771" spans="2:19" x14ac:dyDescent="0.5">
      <c r="B771" s="5" t="str">
        <f t="shared" si="919"/>
        <v>SPS1</v>
      </c>
      <c r="C771" s="5" t="str">
        <f t="shared" si="916"/>
        <v>CH</v>
      </c>
      <c r="D771" t="s">
        <v>940</v>
      </c>
      <c r="E771" t="s">
        <v>8</v>
      </c>
      <c r="F771" s="1">
        <f>SUM(F772,F774)</f>
        <v>11.627804976834495</v>
      </c>
      <c r="G771" s="1">
        <f t="shared" ref="G771:K771" si="928">SUM(G772,G774)</f>
        <v>10.63147412152437</v>
      </c>
      <c r="H771" s="1">
        <f t="shared" si="928"/>
        <v>8.0023180910564129</v>
      </c>
      <c r="I771" s="1">
        <f t="shared" si="928"/>
        <v>5.1745336153936012</v>
      </c>
      <c r="J771" s="1">
        <f t="shared" si="928"/>
        <v>3.5834423750585591</v>
      </c>
      <c r="K771" s="1">
        <f t="shared" si="928"/>
        <v>2.1362440269465006</v>
      </c>
      <c r="L771" s="1">
        <f t="shared" ref="L771:O771" si="929">SUM(L772,L774)</f>
        <v>0.36176285633139682</v>
      </c>
      <c r="M771" s="1">
        <f t="shared" si="929"/>
        <v>0</v>
      </c>
      <c r="N771" s="1">
        <f t="shared" si="929"/>
        <v>2.0849156386209102E-4</v>
      </c>
      <c r="O771" s="1">
        <f t="shared" si="929"/>
        <v>5.2146995318318472E-5</v>
      </c>
      <c r="P771" s="1">
        <f>SUM(P772,P774)</f>
        <v>2.7863311648437828E-5</v>
      </c>
      <c r="Q771" s="1">
        <f>SUM(Q772,Q774)</f>
        <v>1.4492316234843448E-5</v>
      </c>
      <c r="S771" s="3"/>
    </row>
    <row r="772" spans="2:19" x14ac:dyDescent="0.5">
      <c r="B772" s="5" t="str">
        <f t="shared" si="919"/>
        <v>SPS1</v>
      </c>
      <c r="C772" s="5" t="str">
        <f t="shared" si="916"/>
        <v>CH</v>
      </c>
      <c r="D772" t="s">
        <v>525</v>
      </c>
      <c r="E772" t="s">
        <v>8</v>
      </c>
      <c r="F772" s="1">
        <f>[1]Industry!B$34</f>
        <v>8.8978038681268856</v>
      </c>
      <c r="G772" s="1">
        <f>[1]Industry!C$34</f>
        <v>8.1046914988614009</v>
      </c>
      <c r="H772" s="1">
        <f>[1]Industry!D$34</f>
        <v>8.0013775546214685</v>
      </c>
      <c r="I772" s="1">
        <f>[1]Industry!E$34</f>
        <v>5.1744010115656422</v>
      </c>
      <c r="J772" s="1">
        <f>[1]Industry!F$34</f>
        <v>3.5833575677074601</v>
      </c>
      <c r="K772" s="1">
        <f>[1]Industry!G$34</f>
        <v>2.1356873720471463</v>
      </c>
      <c r="L772" s="1">
        <f>[1]Industry!H$34</f>
        <v>0.36142174966579038</v>
      </c>
      <c r="M772" s="1">
        <f>[1]Industry!I$34</f>
        <v>0</v>
      </c>
      <c r="N772" s="1">
        <f>[1]Industry!J$34</f>
        <v>2.0849156386209102E-4</v>
      </c>
      <c r="O772" s="1">
        <f>[1]Industry!K$34</f>
        <v>5.2146995318318472E-5</v>
      </c>
      <c r="P772" s="1">
        <f>[1]Industry!L$34</f>
        <v>2.7863311648437828E-5</v>
      </c>
      <c r="Q772" s="1">
        <f>[1]Industry!M$34</f>
        <v>1.4492316234843448E-5</v>
      </c>
      <c r="S772" s="3"/>
    </row>
    <row r="773" spans="2:19" x14ac:dyDescent="0.5">
      <c r="B773" s="5" t="str">
        <f t="shared" si="919"/>
        <v>SPS1</v>
      </c>
      <c r="C773" s="5" t="str">
        <f t="shared" si="916"/>
        <v>CH</v>
      </c>
      <c r="D773" t="s">
        <v>526</v>
      </c>
      <c r="E773" t="s">
        <v>8</v>
      </c>
      <c r="F773" s="1">
        <f>F772</f>
        <v>8.8978038681268856</v>
      </c>
      <c r="G773" s="1">
        <f t="shared" ref="G773:K773" si="930">G772</f>
        <v>8.1046914988614009</v>
      </c>
      <c r="H773" s="1">
        <f t="shared" si="930"/>
        <v>8.0013775546214685</v>
      </c>
      <c r="I773" s="1">
        <f t="shared" si="930"/>
        <v>5.1744010115656422</v>
      </c>
      <c r="J773" s="1">
        <f t="shared" si="930"/>
        <v>3.5833575677074601</v>
      </c>
      <c r="K773" s="1">
        <f t="shared" si="930"/>
        <v>2.1356873720471463</v>
      </c>
      <c r="L773" s="1">
        <f t="shared" ref="L773:O773" si="931">L772</f>
        <v>0.36142174966579038</v>
      </c>
      <c r="M773" s="1">
        <f t="shared" si="931"/>
        <v>0</v>
      </c>
      <c r="N773" s="1">
        <f t="shared" si="931"/>
        <v>2.0849156386209102E-4</v>
      </c>
      <c r="O773" s="1">
        <f t="shared" si="931"/>
        <v>5.2146995318318472E-5</v>
      </c>
      <c r="P773" s="1">
        <f>P772</f>
        <v>2.7863311648437828E-5</v>
      </c>
      <c r="Q773" s="1">
        <f>Q772</f>
        <v>1.4492316234843448E-5</v>
      </c>
      <c r="S773" s="3"/>
    </row>
    <row r="774" spans="2:19" x14ac:dyDescent="0.5">
      <c r="B774" s="5" t="str">
        <f t="shared" si="919"/>
        <v>SPS1</v>
      </c>
      <c r="C774" s="5" t="str">
        <f t="shared" si="916"/>
        <v>CH</v>
      </c>
      <c r="D774" t="s">
        <v>527</v>
      </c>
      <c r="E774" t="s">
        <v>8</v>
      </c>
      <c r="F774" s="1">
        <f>[1]Industry!B$35</f>
        <v>2.7300011087076101</v>
      </c>
      <c r="G774" s="1">
        <f>[1]Industry!C$35</f>
        <v>2.5267826226629686</v>
      </c>
      <c r="H774" s="1">
        <f>[1]Industry!D$35</f>
        <v>9.4053643494506126E-4</v>
      </c>
      <c r="I774" s="1">
        <f>[1]Industry!E$35</f>
        <v>1.3260382795861046E-4</v>
      </c>
      <c r="J774" s="1">
        <f>[1]Industry!F$35</f>
        <v>8.4807351098869287E-5</v>
      </c>
      <c r="K774" s="1">
        <f>[1]Industry!G$35</f>
        <v>5.5665489935444624E-4</v>
      </c>
      <c r="L774" s="1">
        <f>[1]Industry!H$35</f>
        <v>3.4110666560641258E-4</v>
      </c>
      <c r="M774" s="1">
        <f>[1]Industry!I$35</f>
        <v>0</v>
      </c>
      <c r="N774" s="1">
        <f>[1]Industry!J$35</f>
        <v>0</v>
      </c>
      <c r="O774" s="1">
        <f>[1]Industry!K$35</f>
        <v>0</v>
      </c>
      <c r="P774" s="1">
        <f>[1]Industry!L$35</f>
        <v>0</v>
      </c>
      <c r="Q774" s="1">
        <f>[1]Industry!M$35</f>
        <v>0</v>
      </c>
      <c r="S774" s="3"/>
    </row>
    <row r="775" spans="2:19" x14ac:dyDescent="0.5">
      <c r="B775" s="5" t="str">
        <f t="shared" si="919"/>
        <v>SPS1</v>
      </c>
      <c r="C775" s="5" t="str">
        <f t="shared" si="916"/>
        <v>CH</v>
      </c>
      <c r="D775" t="s">
        <v>943</v>
      </c>
      <c r="E775" t="s">
        <v>8</v>
      </c>
      <c r="F775" s="1">
        <f>F774</f>
        <v>2.7300011087076101</v>
      </c>
      <c r="G775" s="1">
        <f t="shared" ref="G775:K775" si="932">G774</f>
        <v>2.5267826226629686</v>
      </c>
      <c r="H775" s="1">
        <f t="shared" si="932"/>
        <v>9.4053643494506126E-4</v>
      </c>
      <c r="I775" s="1">
        <f t="shared" si="932"/>
        <v>1.3260382795861046E-4</v>
      </c>
      <c r="J775" s="1">
        <f t="shared" si="932"/>
        <v>8.4807351098869287E-5</v>
      </c>
      <c r="K775" s="1">
        <f t="shared" si="932"/>
        <v>5.5665489935444624E-4</v>
      </c>
      <c r="L775" s="1">
        <f t="shared" ref="L775:O775" si="933">L774</f>
        <v>3.4110666560641258E-4</v>
      </c>
      <c r="M775" s="1">
        <f t="shared" si="933"/>
        <v>0</v>
      </c>
      <c r="N775" s="1">
        <f t="shared" si="933"/>
        <v>0</v>
      </c>
      <c r="O775" s="1">
        <f t="shared" si="933"/>
        <v>0</v>
      </c>
      <c r="P775" s="1">
        <f>P774</f>
        <v>0</v>
      </c>
      <c r="Q775" s="1">
        <f>Q774</f>
        <v>0</v>
      </c>
      <c r="S775" s="3"/>
    </row>
    <row r="776" spans="2:19" x14ac:dyDescent="0.5">
      <c r="B776" s="5" t="str">
        <f t="shared" si="919"/>
        <v>SPS1</v>
      </c>
      <c r="C776" s="5" t="str">
        <f t="shared" si="916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2.2335660994636144E-5</v>
      </c>
      <c r="I776" s="1">
        <f>[1]Industry!E$36</f>
        <v>1.2935016196641347</v>
      </c>
      <c r="J776" s="1">
        <f>[1]Industry!F$36</f>
        <v>1.254837317510749</v>
      </c>
      <c r="K776" s="1">
        <f>[1]Industry!G$36</f>
        <v>1.4235681716267345</v>
      </c>
      <c r="L776" s="1">
        <f>[1]Industry!H$36</f>
        <v>1.4235667116776485</v>
      </c>
      <c r="M776" s="1">
        <f>[1]Industry!I$36</f>
        <v>1.4235669954486936</v>
      </c>
      <c r="N776" s="1">
        <f>[1]Industry!J$36</f>
        <v>1.4154348539888992</v>
      </c>
      <c r="O776" s="1">
        <f>[1]Industry!K$36</f>
        <v>1.4155894545427909</v>
      </c>
      <c r="P776" s="1">
        <f>[1]Industry!L$36</f>
        <v>0.77201310013581537</v>
      </c>
      <c r="Q776" s="1">
        <f>[1]Industry!M$36</f>
        <v>0.77066678052956128</v>
      </c>
      <c r="S776" s="3"/>
    </row>
    <row r="777" spans="2:19" x14ac:dyDescent="0.5">
      <c r="B777" s="5" t="str">
        <f t="shared" si="919"/>
        <v>SPS1</v>
      </c>
      <c r="C777" s="5" t="str">
        <f t="shared" si="916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934">G776</f>
        <v>0</v>
      </c>
      <c r="H777" s="1">
        <f t="shared" si="934"/>
        <v>2.2335660994636144E-5</v>
      </c>
      <c r="I777" s="1">
        <f t="shared" si="934"/>
        <v>1.2935016196641347</v>
      </c>
      <c r="J777" s="1">
        <f t="shared" si="934"/>
        <v>1.254837317510749</v>
      </c>
      <c r="K777" s="1">
        <f t="shared" si="934"/>
        <v>1.4235681716267345</v>
      </c>
      <c r="L777" s="1">
        <f t="shared" ref="L777:O777" si="935">L776</f>
        <v>1.4235667116776485</v>
      </c>
      <c r="M777" s="1">
        <f t="shared" si="935"/>
        <v>1.4235669954486936</v>
      </c>
      <c r="N777" s="1">
        <f t="shared" si="935"/>
        <v>1.4154348539888992</v>
      </c>
      <c r="O777" s="1">
        <f t="shared" si="935"/>
        <v>1.4155894545427909</v>
      </c>
      <c r="P777" s="1">
        <f>P776</f>
        <v>0.77201310013581537</v>
      </c>
      <c r="Q777" s="1">
        <f>Q776</f>
        <v>0.77066678052956128</v>
      </c>
      <c r="S777" s="3"/>
    </row>
    <row r="778" spans="2:19" x14ac:dyDescent="0.5">
      <c r="B778" s="5" t="str">
        <f t="shared" ref="B778:B779" si="936">B777</f>
        <v>SPS1</v>
      </c>
      <c r="C778" s="5" t="str">
        <f t="shared" ref="C778:C779" si="937">C777</f>
        <v>CH</v>
      </c>
      <c r="D778" t="s">
        <v>472</v>
      </c>
      <c r="E778" t="s">
        <v>8</v>
      </c>
      <c r="F778" s="1">
        <f>SUM([1]Industry!B$37:B$39)</f>
        <v>35.989087023557182</v>
      </c>
      <c r="G778" s="1">
        <f>SUM([1]Industry!C$37:C$39)</f>
        <v>30.398380089289674</v>
      </c>
      <c r="H778" s="1">
        <f>SUM([1]Industry!D$37:D$39)</f>
        <v>37.215460199547643</v>
      </c>
      <c r="I778" s="1">
        <f>SUM([1]Industry!E$37:E$39)</f>
        <v>31.701057129983589</v>
      </c>
      <c r="J778" s="1">
        <f>SUM([1]Industry!F$37:F$39)</f>
        <v>18.967976556145409</v>
      </c>
      <c r="K778" s="1">
        <f>SUM([1]Industry!G$37:G$39)</f>
        <v>20.516266532013084</v>
      </c>
      <c r="L778" s="1">
        <f>SUM([1]Industry!H$37:H$39)</f>
        <v>16.060857200412549</v>
      </c>
      <c r="M778" s="1">
        <f>SUM([1]Industry!I$37:I$39)</f>
        <v>7.6480553028023275</v>
      </c>
      <c r="N778" s="1">
        <f>SUM([1]Industry!J$37:J$39)</f>
        <v>6.7170123959425529</v>
      </c>
      <c r="O778" s="1">
        <f>SUM([1]Industry!K$37:K$39)</f>
        <v>7.2273033579233381</v>
      </c>
      <c r="P778" s="1">
        <f>SUM([1]Industry!L$37:L$39)</f>
        <v>6.7130226404484867</v>
      </c>
      <c r="Q778" s="1">
        <f>SUM([1]Industry!M$37:M$39)</f>
        <v>6.6704246187957157</v>
      </c>
      <c r="S778" s="3"/>
    </row>
    <row r="779" spans="2:19" x14ac:dyDescent="0.5">
      <c r="B779" s="5" t="str">
        <f t="shared" si="936"/>
        <v>SPS1</v>
      </c>
      <c r="C779" s="5" t="str">
        <f t="shared" si="937"/>
        <v>CH</v>
      </c>
      <c r="D779" t="s">
        <v>678</v>
      </c>
      <c r="E779" t="s">
        <v>8</v>
      </c>
      <c r="F779" s="1">
        <f>SUM([1]Industry!B$37:B$38)-F780</f>
        <v>35.551891597545939</v>
      </c>
      <c r="G779" s="1">
        <f>SUM([1]Industry!C$37:C$38)-G780</f>
        <v>29.41894085609939</v>
      </c>
      <c r="H779" s="1">
        <f>SUM([1]Industry!D$37:D$38)-H780</f>
        <v>34.036931653366139</v>
      </c>
      <c r="I779" s="1">
        <f>SUM([1]Industry!E$37:E$38)-I780</f>
        <v>25.16216240036357</v>
      </c>
      <c r="J779" s="1">
        <f>SUM([1]Industry!F$37:F$38)-J780</f>
        <v>12.736520451919626</v>
      </c>
      <c r="K779" s="1">
        <f>SUM([1]Industry!G$37:G$38)-K780</f>
        <v>14.334719599441954</v>
      </c>
      <c r="L779" s="1">
        <f>SUM([1]Industry!H$37:H$38)-L780</f>
        <v>9.8793109459174602</v>
      </c>
      <c r="M779" s="1">
        <f>SUM([1]Industry!I$37:I$38)-M780</f>
        <v>1.4665093890684711</v>
      </c>
      <c r="N779" s="1">
        <f>SUM([1]Industry!J$37:J$38)-N780</f>
        <v>0.54374173589111785</v>
      </c>
      <c r="O779" s="1">
        <f>SUM([1]Industry!K$37:K$38)-O780</f>
        <v>1.0540066890926698</v>
      </c>
      <c r="P779" s="1">
        <f>SUM([1]Industry!L$37:L$38)-P780</f>
        <v>0.53972437353848968</v>
      </c>
      <c r="Q779" s="1">
        <f>SUM([1]Industry!M$37:M$38)-Q780</f>
        <v>0.49711124788051014</v>
      </c>
      <c r="S779" s="3"/>
    </row>
    <row r="780" spans="2:19" x14ac:dyDescent="0.5">
      <c r="B780" s="5" t="str">
        <f t="shared" ref="B780" si="938">B779</f>
        <v>SPS1</v>
      </c>
      <c r="C780" s="5" t="str">
        <f t="shared" ref="C780" si="939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4.6958609579771722E-4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0.42737399062091103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0.41451584012895121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0.36563751166324815</v>
      </c>
      <c r="J780" s="1" cm="1">
        <f t="array" ref="J780">SUMPRODUCT(([1]OUT_FinalEnergyCons!$B$4:$B$10000="Var_Fin")*1,  ([1]OUT_FinalEnergyCons!$C$4:$C$10000="Inga")*1,(ISNUMBER(SEARCH("ITOT-SWHNGAHP",[1]OUT_FinalEnergyCons!$A$4:$A$10000)))*1,[1]OUT_FinalEnergyCons!L$4:L$10000)</f>
        <v>5.8189837851889255E-2</v>
      </c>
      <c r="K780" s="1" cm="1">
        <f t="array" ref="K780">SUMPRODUCT(([1]OUT_FinalEnergyCons!$B$4:$B$10000="Var_Fin")*1,  ([1]OUT_FinalEnergyCons!$C$4:$C$10000="Inga")*1,(ISNUMBER(SEARCH("ITOT-SWHNGAHP",[1]OUT_FinalEnergyCons!$A$4:$A$10000)))*1,[1]OUT_FinalEnergyCons!M$4:M$10000)</f>
        <v>8.2801122414681363E-3</v>
      </c>
      <c r="L780" s="1" cm="1">
        <f t="array" ref="L780">SUMPRODUCT(([1]OUT_FinalEnergyCons!$B$4:$B$10000="Var_Fin")*1,  ([1]OUT_FinalEnergyCons!$C$4:$C$10000="Inga")*1,(ISNUMBER(SEARCH("ITOT-SWHNGAHP",[1]OUT_FinalEnergyCons!$A$4:$A$10000)))*1,[1]OUT_FinalEnergyCons!N$4:N$10000)</f>
        <v>8.2790553522988745E-3</v>
      </c>
      <c r="M780" s="1" cm="1">
        <f t="array" ref="M780">SUMPRODUCT(([1]OUT_FinalEnergyCons!$B$4:$B$10000="Var_Fin")*1,  ([1]OUT_FinalEnergyCons!$C$4:$C$10000="Inga")*1,(ISNUMBER(SEARCH("ITOT-SWHNGAHP",[1]OUT_FinalEnergyCons!$A$4:$A$10000)))*1,[1]OUT_FinalEnergyCons!O$4:O$10000)</f>
        <v>8.2777064519835748E-3</v>
      </c>
      <c r="N780" s="1" cm="1">
        <f t="array" ref="N780">SUMPRODUCT(([1]OUT_FinalEnergyCons!$B$4:$B$10000="Var_Fin")*1,  ([1]OUT_FinalEnergyCons!$C$4:$C$10000="Inga")*1,(ISNUMBER(SEARCH("ITOT-SWHNGAHP",[1]OUT_FinalEnergyCons!$A$4:$A$10000)))*1,[1]OUT_FinalEnergyCons!P$4:P$10000)</f>
        <v>0</v>
      </c>
      <c r="O780" s="1" cm="1">
        <f t="array" ref="O780">SUMPRODUCT(([1]OUT_FinalEnergyCons!$B$4:$B$10000="Var_Fin")*1,  ([1]OUT_FinalEnergyCons!$C$4:$C$10000="Inga")*1,(ISNUMBER(SEARCH("ITOT-SWHNGAHP",[1]OUT_FinalEnergyCons!$A$4:$A$10000)))*1,[1]OUT_FinalEnergyCons!Q$4:Q$10000)</f>
        <v>0</v>
      </c>
      <c r="P780" s="1" cm="1">
        <f t="array" ref="P780">SUMPRODUCT(([1]OUT_FinalEnergyCons!$B$4:$B$10000="Var_Fin")*1,  ([1]OUT_FinalEnergyCons!$C$4:$C$10000="Inga")*1,(ISNUMBER(SEARCH("ITOT-SWHNGAHP",[1]OUT_FinalEnergyCons!$A$4:$A$10000)))*1,[1]OUT_FinalEnergyCons!R$4:R$10000)</f>
        <v>0</v>
      </c>
      <c r="Q780" s="1" cm="1">
        <f t="array" ref="Q780">SUMPRODUCT(([1]OUT_FinalEnergyCons!$B$4:$B$10000="Var_Fin")*1,  ([1]OUT_FinalEnergyCons!$C$4:$C$10000="Inga")*1,(ISNUMBER(SEARCH("ITOT-SWHNGAHP",[1]OUT_FinalEnergyCons!$A$4:$A$10000)))*1,[1]OUT_FinalEnergyCons!S$4:S$10000)</f>
        <v>0</v>
      </c>
      <c r="S780" s="3"/>
    </row>
    <row r="781" spans="2:19" x14ac:dyDescent="0.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940">F778-F779</f>
        <v>0.43719542601124317</v>
      </c>
      <c r="G781" s="1">
        <f t="shared" si="940"/>
        <v>0.97943923319028414</v>
      </c>
      <c r="H781" s="1">
        <f t="shared" si="940"/>
        <v>3.1785285461815036</v>
      </c>
      <c r="I781" s="1">
        <f t="shared" si="940"/>
        <v>6.5388947296200186</v>
      </c>
      <c r="J781" s="1">
        <f t="shared" si="940"/>
        <v>6.2314561042257832</v>
      </c>
      <c r="K781" s="1">
        <f t="shared" si="940"/>
        <v>6.1815469325711305</v>
      </c>
      <c r="L781" s="1">
        <f t="shared" ref="L781:O781" si="941">L778-L779</f>
        <v>6.181546254495089</v>
      </c>
      <c r="M781" s="1">
        <f t="shared" si="941"/>
        <v>6.1815459137338564</v>
      </c>
      <c r="N781" s="1">
        <f t="shared" si="941"/>
        <v>6.1732706600514353</v>
      </c>
      <c r="O781" s="1">
        <f t="shared" si="941"/>
        <v>6.1732966688306679</v>
      </c>
      <c r="P781" s="1">
        <f>P778-P779</f>
        <v>6.1732982669099972</v>
      </c>
      <c r="Q781" s="1">
        <f>Q778-Q779</f>
        <v>6.1733133709152055</v>
      </c>
      <c r="S781" s="3"/>
    </row>
    <row r="782" spans="2:19" x14ac:dyDescent="0.5">
      <c r="B782" s="5" t="str">
        <f t="shared" ref="B782:B790" si="942">B781</f>
        <v>SPS1</v>
      </c>
      <c r="C782" s="5" t="str">
        <f t="shared" ref="C782:C790" si="943">C781</f>
        <v>CH</v>
      </c>
      <c r="D782" t="s">
        <v>944</v>
      </c>
      <c r="E782" t="s">
        <v>8</v>
      </c>
      <c r="F782" s="1">
        <f>[1]Industry!B$37</f>
        <v>35.241164526726266</v>
      </c>
      <c r="G782" s="1">
        <f>[1]Industry!C$37</f>
        <v>29.84629559489926</v>
      </c>
      <c r="H782" s="1">
        <f>[1]Industry!D$37</f>
        <v>32.305415522602893</v>
      </c>
      <c r="I782" s="1">
        <f>[1]Industry!E$37</f>
        <v>23.115267954130378</v>
      </c>
      <c r="J782" s="1">
        <f>[1]Industry!F$37</f>
        <v>10.469608022977926</v>
      </c>
      <c r="K782" s="1">
        <f>[1]Industry!G$37</f>
        <v>12.181473141633722</v>
      </c>
      <c r="L782" s="1">
        <f>[1]Industry!H$37</f>
        <v>7.8439992109726306</v>
      </c>
      <c r="M782" s="1">
        <f>[1]Industry!I$37</f>
        <v>0.40841776556074105</v>
      </c>
      <c r="N782" s="1">
        <f>[1]Industry!J$37</f>
        <v>2.0964676565267447E-4</v>
      </c>
      <c r="O782" s="1">
        <f>[1]Industry!K$37</f>
        <v>9.1472899509540537E-5</v>
      </c>
      <c r="P782" s="1">
        <f>[1]Industry!L$37</f>
        <v>2.6971275952581776E-5</v>
      </c>
      <c r="Q782" s="1">
        <f>[1]Industry!M$37</f>
        <v>1.0985740972005213E-5</v>
      </c>
      <c r="S782" s="3"/>
    </row>
    <row r="783" spans="2:19" x14ac:dyDescent="0.5">
      <c r="B783" s="5" t="str">
        <f t="shared" si="942"/>
        <v>SPS1</v>
      </c>
      <c r="C783" s="5" t="str">
        <f t="shared" si="943"/>
        <v>CH</v>
      </c>
      <c r="D783" t="s">
        <v>679</v>
      </c>
      <c r="E783" t="s">
        <v>8</v>
      </c>
      <c r="F783" s="1">
        <f>[1]Industry!B$37*F779/SUM(F779:F780)</f>
        <v>35.240699051007908</v>
      </c>
      <c r="G783" s="1">
        <f>[1]Industry!C$37*G779/SUM(G779:G780)</f>
        <v>29.418921879948147</v>
      </c>
      <c r="H783" s="1">
        <f>[1]Industry!D$37*H779/SUM(H779:H780)</f>
        <v>31.916720491469732</v>
      </c>
      <c r="I783" s="1">
        <f>[1]Industry!E$37*I779/SUM(I779:I780)</f>
        <v>22.784185405485221</v>
      </c>
      <c r="J783" s="1">
        <f>[1]Industry!F$37*J779/SUM(J779:J780)</f>
        <v>10.421992658547442</v>
      </c>
      <c r="K783" s="1">
        <f>[1]Industry!G$37*K779/SUM(K779:K780)</f>
        <v>12.174440863386026</v>
      </c>
      <c r="L783" s="1">
        <f>[1]Industry!H$37*L779/SUM(L779:L780)</f>
        <v>7.8374312906156289</v>
      </c>
      <c r="M783" s="1">
        <f>[1]Industry!I$37*M779/SUM(M779:M780)</f>
        <v>0.40612539238812806</v>
      </c>
      <c r="N783" s="1">
        <f>[1]Industry!J$37*N779/SUM(N779:N780)</f>
        <v>2.0964676565267447E-4</v>
      </c>
      <c r="O783" s="1">
        <f>[1]Industry!K$37*O779/SUM(O779:O780)</f>
        <v>9.1472899509540537E-5</v>
      </c>
      <c r="P783" s="1">
        <f>[1]Industry!L$37*P779/SUM(P779:P780)</f>
        <v>2.6971275952581776E-5</v>
      </c>
      <c r="Q783" s="1">
        <f>[1]Industry!M$37*Q779/SUM(Q779:Q780)</f>
        <v>1.0985740972005213E-5</v>
      </c>
      <c r="S783" s="3"/>
    </row>
    <row r="784" spans="2:19" x14ac:dyDescent="0.5">
      <c r="B784" s="5" t="str">
        <f t="shared" ref="B784" si="944">B783</f>
        <v>SPS1</v>
      </c>
      <c r="C784" s="5" t="str">
        <f t="shared" ref="C784" si="945">C783</f>
        <v>CH</v>
      </c>
      <c r="D784" t="s">
        <v>723</v>
      </c>
      <c r="E784" t="s">
        <v>8</v>
      </c>
      <c r="F784" s="1">
        <f>F782-F783</f>
        <v>4.6547571835731105E-4</v>
      </c>
      <c r="G784" s="1">
        <f t="shared" ref="G784:K784" si="946">G782-G783</f>
        <v>0.42737371495111276</v>
      </c>
      <c r="H784" s="1">
        <f t="shared" si="946"/>
        <v>0.38869503113316028</v>
      </c>
      <c r="I784" s="1">
        <f t="shared" si="946"/>
        <v>0.33108254864515629</v>
      </c>
      <c r="J784" s="1">
        <f t="shared" si="946"/>
        <v>4.7615364430484419E-2</v>
      </c>
      <c r="K784" s="1">
        <f t="shared" si="946"/>
        <v>7.0322782476957002E-3</v>
      </c>
      <c r="L784" s="1">
        <f t="shared" ref="L784:O784" si="947">L782-L783</f>
        <v>6.5679203570017108E-3</v>
      </c>
      <c r="M784" s="1">
        <f t="shared" si="947"/>
        <v>2.2923731726129937E-3</v>
      </c>
      <c r="N784" s="1">
        <f t="shared" si="947"/>
        <v>0</v>
      </c>
      <c r="O784" s="1">
        <f t="shared" si="947"/>
        <v>0</v>
      </c>
      <c r="P784" s="1">
        <f>P782-P783</f>
        <v>0</v>
      </c>
      <c r="Q784" s="1">
        <f>Q782-Q783</f>
        <v>0</v>
      </c>
      <c r="S784" s="3"/>
    </row>
    <row r="785" spans="2:19" x14ac:dyDescent="0.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0.7479224968309155</v>
      </c>
      <c r="G785" s="1">
        <f t="shared" ref="G785:K785" si="948">SUM(G786:G788)</f>
        <v>0.55208449439041352</v>
      </c>
      <c r="H785" s="1">
        <f t="shared" si="948"/>
        <v>4.9100446769447501</v>
      </c>
      <c r="I785" s="1">
        <f t="shared" si="948"/>
        <v>8.5857891758532112</v>
      </c>
      <c r="J785" s="1">
        <f t="shared" si="948"/>
        <v>8.498368533167481</v>
      </c>
      <c r="K785" s="1">
        <f t="shared" si="948"/>
        <v>8.3347933903793603</v>
      </c>
      <c r="L785" s="1">
        <f t="shared" ref="L785:O785" si="949">SUM(L786:L788)</f>
        <v>8.2168579894399159</v>
      </c>
      <c r="M785" s="1">
        <f t="shared" si="949"/>
        <v>7.2396375372415864</v>
      </c>
      <c r="N785" s="1">
        <f t="shared" si="949"/>
        <v>6.7168027491769005</v>
      </c>
      <c r="O785" s="1">
        <f t="shared" si="949"/>
        <v>7.2272118850238289</v>
      </c>
      <c r="P785" s="1">
        <f>SUM(P786:P788)</f>
        <v>6.7129956691725345</v>
      </c>
      <c r="Q785" s="1">
        <f>SUM(Q786:Q788)</f>
        <v>6.6704136330547437</v>
      </c>
      <c r="S785" s="3"/>
    </row>
    <row r="786" spans="2:19" x14ac:dyDescent="0.5">
      <c r="B786" s="5" t="str">
        <f t="shared" si="942"/>
        <v>SPS1</v>
      </c>
      <c r="C786" s="5" t="str">
        <f t="shared" si="943"/>
        <v>CH</v>
      </c>
      <c r="D786" t="s">
        <v>680</v>
      </c>
      <c r="E786" t="s">
        <v>8</v>
      </c>
      <c r="F786" s="1">
        <f>[1]Industry!B$38*F779/SUM(F779:F780)</f>
        <v>0.31119254653803796</v>
      </c>
      <c r="G786" s="1">
        <f>[1]Industry!C$38*G779/SUM(G779:G780)</f>
        <v>1.8976151242195609E-5</v>
      </c>
      <c r="H786" s="1">
        <f>[1]Industry!D$38*H779/SUM(H779:H780)</f>
        <v>2.1202111618964103</v>
      </c>
      <c r="I786" s="1">
        <f>[1]Industry!E$38*I779/SUM(I779:I780)</f>
        <v>2.3779769948783511</v>
      </c>
      <c r="J786" s="1">
        <f>[1]Industry!F$38*J779/SUM(J779:J780)</f>
        <v>2.3145277933721831</v>
      </c>
      <c r="K786" s="1">
        <f>[1]Industry!G$38*K779/SUM(K779:K780)</f>
        <v>2.1602787360559255</v>
      </c>
      <c r="L786" s="1">
        <f>[1]Industry!H$38*L779/SUM(L779:L780)</f>
        <v>2.0418796553018317</v>
      </c>
      <c r="M786" s="1">
        <f>[1]Industry!I$38*M779/SUM(M779:M780)</f>
        <v>1.060383996680343</v>
      </c>
      <c r="N786" s="1">
        <f>[1]Industry!J$38*N779/SUM(N779:N780)</f>
        <v>0.54353208912546513</v>
      </c>
      <c r="O786" s="1">
        <f>[1]Industry!K$38*O779/SUM(O779:O780)</f>
        <v>1.0539152161931602</v>
      </c>
      <c r="P786" s="1">
        <f>[1]Industry!L$38*P779/SUM(P779:P780)</f>
        <v>0.53969740226253704</v>
      </c>
      <c r="Q786" s="1">
        <f>[1]Industry!M$38*Q779/SUM(Q779:Q780)</f>
        <v>0.49710026213953806</v>
      </c>
      <c r="S786" s="3"/>
    </row>
    <row r="787" spans="2:19" x14ac:dyDescent="0.5">
      <c r="B787" s="5" t="str">
        <f t="shared" ref="B787" si="950">B786</f>
        <v>SPS1</v>
      </c>
      <c r="C787" s="5" t="str">
        <f t="shared" ref="C787" si="951">C786</f>
        <v>CH</v>
      </c>
      <c r="D787" t="s">
        <v>724</v>
      </c>
      <c r="E787" t="s">
        <v>8</v>
      </c>
      <c r="F787" s="1">
        <f>[1]Industry!B$38-F786</f>
        <v>4.1103774343076438E-6</v>
      </c>
      <c r="G787" s="1">
        <f>[1]Industry!C$38-G786</f>
        <v>2.7566979799416107E-7</v>
      </c>
      <c r="H787" s="1">
        <f>[1]Industry!D$38-H786</f>
        <v>2.5820808995788092E-2</v>
      </c>
      <c r="I787" s="1">
        <f>[1]Industry!E$38-I786</f>
        <v>3.4554963018091023E-2</v>
      </c>
      <c r="J787" s="1">
        <f>[1]Industry!F$38-J786</f>
        <v>1.0574473421406161E-2</v>
      </c>
      <c r="K787" s="1">
        <f>[1]Industry!G$38-K786</f>
        <v>1.247833993773817E-3</v>
      </c>
      <c r="L787" s="1">
        <f>[1]Industry!H$38-L786</f>
        <v>1.7111349952965149E-3</v>
      </c>
      <c r="M787" s="1">
        <f>[1]Industry!I$38-M786</f>
        <v>5.9853332793706748E-3</v>
      </c>
      <c r="N787" s="1">
        <f>[1]Industry!J$38-N786</f>
        <v>0</v>
      </c>
      <c r="O787" s="1">
        <f>[1]Industry!K$38-O786</f>
        <v>0</v>
      </c>
      <c r="P787" s="1">
        <f>[1]Industry!L$38-P786</f>
        <v>0</v>
      </c>
      <c r="Q787" s="1">
        <f>[1]Industry!M$38-Q786</f>
        <v>0</v>
      </c>
      <c r="S787" s="3"/>
    </row>
    <row r="788" spans="2:19" x14ac:dyDescent="0.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0.43672583991544323</v>
      </c>
      <c r="G788" s="1">
        <f>[1]Industry!C$39</f>
        <v>0.55206524256937328</v>
      </c>
      <c r="H788" s="1">
        <f>[1]Industry!D$39</f>
        <v>2.7640127060525521</v>
      </c>
      <c r="I788" s="1">
        <f>[1]Industry!E$39</f>
        <v>6.1732572179567686</v>
      </c>
      <c r="J788" s="1">
        <f>[1]Industry!F$39</f>
        <v>6.1732662663738918</v>
      </c>
      <c r="K788" s="1">
        <f>[1]Industry!G$39</f>
        <v>6.173266820329661</v>
      </c>
      <c r="L788" s="1">
        <f>[1]Industry!H$39</f>
        <v>6.1732671991427885</v>
      </c>
      <c r="M788" s="1">
        <f>[1]Industry!I$39</f>
        <v>6.1732682072818728</v>
      </c>
      <c r="N788" s="1">
        <f>[1]Industry!J$39</f>
        <v>6.1732706600514353</v>
      </c>
      <c r="O788" s="1">
        <f>[1]Industry!K$39</f>
        <v>6.1732966688306687</v>
      </c>
      <c r="P788" s="1">
        <f>[1]Industry!L$39</f>
        <v>6.1732982669099972</v>
      </c>
      <c r="Q788" s="1">
        <f>[1]Industry!M$39</f>
        <v>6.1733133709152055</v>
      </c>
      <c r="S788" s="3"/>
    </row>
    <row r="789" spans="2:19" x14ac:dyDescent="0.5">
      <c r="B789" s="5" t="str">
        <f t="shared" si="942"/>
        <v>SPS1</v>
      </c>
      <c r="C789" s="5" t="str">
        <f t="shared" si="943"/>
        <v>CH</v>
      </c>
      <c r="D789" t="s">
        <v>946</v>
      </c>
      <c r="E789" t="s">
        <v>8</v>
      </c>
      <c r="F789" s="1">
        <f>[1]Industry!B$18</f>
        <v>3.560002271776098</v>
      </c>
      <c r="G789" s="1">
        <f>[1]Industry!C$18</f>
        <v>3.4647169717969843</v>
      </c>
      <c r="H789" s="1">
        <f>[1]Industry!D$18</f>
        <v>0.41950452244440467</v>
      </c>
      <c r="I789" s="1">
        <f>[1]Industry!E$18</f>
        <v>1.038073848035891E-4</v>
      </c>
      <c r="J789" s="1">
        <f>[1]Industry!F$18</f>
        <v>6.1388193239692167E-5</v>
      </c>
      <c r="K789" s="1">
        <f>[1]Industry!G$18</f>
        <v>4.4756187060252667E-4</v>
      </c>
      <c r="L789" s="1">
        <f>[1]Industry!H$18</f>
        <v>2.4833471305746454E-4</v>
      </c>
      <c r="M789" s="1">
        <f>[1]Industry!I$18</f>
        <v>1.3539546899122407E-4</v>
      </c>
      <c r="N789" s="1">
        <f>[1]Industry!J$18</f>
        <v>1.7459226397307631E-4</v>
      </c>
      <c r="O789" s="1">
        <f>[1]Industry!K$18</f>
        <v>1.0812452154167788E-4</v>
      </c>
      <c r="P789" s="1">
        <f>[1]Industry!L$18</f>
        <v>1.2081901141235386E-4</v>
      </c>
      <c r="Q789" s="1">
        <f>[1]Industry!M$18</f>
        <v>5.439723489651046E-5</v>
      </c>
      <c r="S789" s="3"/>
    </row>
    <row r="790" spans="2:19" x14ac:dyDescent="0.5">
      <c r="B790" s="5" t="str">
        <f t="shared" si="942"/>
        <v>SPS1</v>
      </c>
      <c r="C790" s="5" t="str">
        <f t="shared" si="943"/>
        <v>CH</v>
      </c>
      <c r="D790" t="s">
        <v>947</v>
      </c>
      <c r="E790" t="s">
        <v>8</v>
      </c>
      <c r="F790" s="1">
        <f>F789</f>
        <v>3.560002271776098</v>
      </c>
      <c r="G790" s="1">
        <f t="shared" ref="G790:K790" si="952">G789</f>
        <v>3.4647169717969843</v>
      </c>
      <c r="H790" s="1">
        <f t="shared" si="952"/>
        <v>0.41950452244440467</v>
      </c>
      <c r="I790" s="1">
        <f t="shared" si="952"/>
        <v>1.038073848035891E-4</v>
      </c>
      <c r="J790" s="1">
        <f t="shared" si="952"/>
        <v>6.1388193239692167E-5</v>
      </c>
      <c r="K790" s="1">
        <f t="shared" si="952"/>
        <v>4.4756187060252667E-4</v>
      </c>
      <c r="L790" s="1">
        <f t="shared" ref="L790:O790" si="953">L789</f>
        <v>2.4833471305746454E-4</v>
      </c>
      <c r="M790" s="1">
        <f t="shared" si="953"/>
        <v>1.3539546899122407E-4</v>
      </c>
      <c r="N790" s="1">
        <f t="shared" si="953"/>
        <v>1.7459226397307631E-4</v>
      </c>
      <c r="O790" s="1">
        <f t="shared" si="953"/>
        <v>1.0812452154167788E-4</v>
      </c>
      <c r="P790" s="1">
        <f>P789</f>
        <v>1.2081901141235386E-4</v>
      </c>
      <c r="Q790" s="1">
        <f>Q789</f>
        <v>5.439723489651046E-5</v>
      </c>
      <c r="S790" s="3"/>
    </row>
    <row r="791" spans="2:19" x14ac:dyDescent="0.5">
      <c r="B791" s="5" t="str">
        <f t="shared" ref="B791:B792" si="954">B790</f>
        <v>SPS1</v>
      </c>
      <c r="C791" s="5" t="str">
        <f t="shared" ref="C791:C792" si="955">C790</f>
        <v>CH</v>
      </c>
      <c r="D791" t="s">
        <v>948</v>
      </c>
      <c r="E791" t="s">
        <v>8</v>
      </c>
      <c r="F791" s="1">
        <f>[1]Industry!B$19</f>
        <v>12.72864474376988</v>
      </c>
      <c r="G791" s="1">
        <f>[1]Industry!C$19</f>
        <v>13.638426936676975</v>
      </c>
      <c r="H791" s="1">
        <f>[1]Industry!D$19</f>
        <v>13.373322857634372</v>
      </c>
      <c r="I791" s="1">
        <f>[1]Industry!E$19</f>
        <v>15.459595152720464</v>
      </c>
      <c r="J791" s="1">
        <f>[1]Industry!F$19</f>
        <v>14.962654656193731</v>
      </c>
      <c r="K791" s="1">
        <f>[1]Industry!G$19</f>
        <v>16.280142653556094</v>
      </c>
      <c r="L791" s="1">
        <f>[1]Industry!H$19</f>
        <v>21.656708436601175</v>
      </c>
      <c r="M791" s="1">
        <f>[1]Industry!I$19</f>
        <v>22.179157641782975</v>
      </c>
      <c r="N791" s="1">
        <f>[1]Industry!J$19</f>
        <v>22.043345850220231</v>
      </c>
      <c r="O791" s="1">
        <f>[1]Industry!K$19</f>
        <v>22.994102679979395</v>
      </c>
      <c r="P791" s="1">
        <f>[1]Industry!L$19</f>
        <v>22.472010007966084</v>
      </c>
      <c r="Q791" s="1">
        <f>[1]Industry!M$19</f>
        <v>22.474684372400301</v>
      </c>
      <c r="S791" s="3"/>
    </row>
    <row r="792" spans="2:19" x14ac:dyDescent="0.5">
      <c r="B792" s="5" t="str">
        <f t="shared" si="954"/>
        <v>SPS1</v>
      </c>
      <c r="C792" s="5" t="str">
        <f t="shared" si="955"/>
        <v>CH</v>
      </c>
      <c r="D792" t="s">
        <v>949</v>
      </c>
      <c r="E792" t="s">
        <v>8</v>
      </c>
      <c r="F792" s="1">
        <f>SUM(F793:F801)</f>
        <v>4.290775956193996</v>
      </c>
      <c r="G792" s="1">
        <f t="shared" ref="G792:K792" si="956">SUM(G793:G801)</f>
        <v>5.2454370904447281</v>
      </c>
      <c r="H792" s="1">
        <f t="shared" si="956"/>
        <v>6.0604324994733281</v>
      </c>
      <c r="I792" s="1">
        <f t="shared" si="956"/>
        <v>7.3184944119142132</v>
      </c>
      <c r="J792" s="1">
        <f t="shared" si="956"/>
        <v>6.9691087514763987</v>
      </c>
      <c r="K792" s="1">
        <f t="shared" si="956"/>
        <v>9.1867180155866315</v>
      </c>
      <c r="L792" s="1">
        <f t="shared" ref="L792:O792" si="957">SUM(L793:L801)</f>
        <v>13.642353331685957</v>
      </c>
      <c r="M792" s="1">
        <f t="shared" si="957"/>
        <v>14.261583658823771</v>
      </c>
      <c r="N792" s="1">
        <f t="shared" si="957"/>
        <v>14.146700988209856</v>
      </c>
      <c r="O792" s="1">
        <f t="shared" si="957"/>
        <v>14.067476815998774</v>
      </c>
      <c r="P792" s="1">
        <f>SUM(P793:P801)</f>
        <v>14.605179357048465</v>
      </c>
      <c r="Q792" s="1">
        <f>SUM(Q793:Q801)</f>
        <v>14.640480815773081</v>
      </c>
      <c r="S792" s="3"/>
    </row>
    <row r="793" spans="2:19" x14ac:dyDescent="0.5">
      <c r="B793" s="5" t="str">
        <f t="shared" ref="B793:B802" si="958">B792</f>
        <v>SPS1</v>
      </c>
      <c r="C793" s="5" t="str">
        <f t="shared" ref="C793:C810" si="959">C792</f>
        <v>CH</v>
      </c>
      <c r="D793" t="s">
        <v>481</v>
      </c>
      <c r="E793" t="s">
        <v>8</v>
      </c>
      <c r="F793" s="1">
        <f>F235</f>
        <v>0.92932821397960896</v>
      </c>
      <c r="G793" s="1">
        <f t="shared" ref="G793:K793" si="960">G235</f>
        <v>2.0727098903810917</v>
      </c>
      <c r="H793" s="1">
        <f t="shared" si="960"/>
        <v>9.0380552040381784E-2</v>
      </c>
      <c r="I793" s="1">
        <f t="shared" si="960"/>
        <v>1.3189430550609258</v>
      </c>
      <c r="J793" s="1">
        <f t="shared" si="960"/>
        <v>0.8494898863105772</v>
      </c>
      <c r="K793" s="1">
        <f t="shared" si="960"/>
        <v>0</v>
      </c>
      <c r="L793" s="1">
        <f t="shared" ref="L793:O793" si="961">L235</f>
        <v>0</v>
      </c>
      <c r="M793" s="1">
        <f t="shared" si="961"/>
        <v>0</v>
      </c>
      <c r="N793" s="1">
        <f t="shared" si="961"/>
        <v>4.6656916750264467E-3</v>
      </c>
      <c r="O793" s="1">
        <f t="shared" si="961"/>
        <v>4.5372456542786838E-3</v>
      </c>
      <c r="P793" s="1">
        <f>P235</f>
        <v>0.37951654291852188</v>
      </c>
      <c r="Q793" s="1">
        <f>Q235</f>
        <v>0.37869410845269474</v>
      </c>
      <c r="S793" s="3"/>
    </row>
    <row r="794" spans="2:19" x14ac:dyDescent="0.5">
      <c r="B794" s="5" t="str">
        <f t="shared" si="958"/>
        <v>SPS1</v>
      </c>
      <c r="C794" s="5" t="str">
        <f t="shared" si="959"/>
        <v>CH</v>
      </c>
      <c r="D794" t="s">
        <v>482</v>
      </c>
      <c r="E794" t="s">
        <v>8</v>
      </c>
      <c r="F794" s="1">
        <f>F241</f>
        <v>0.76709179408349548</v>
      </c>
      <c r="G794" s="1">
        <f t="shared" ref="G794:K794" si="962">G241</f>
        <v>0.48449156650334363</v>
      </c>
      <c r="H794" s="1">
        <f t="shared" si="962"/>
        <v>5.8537705360089391E-2</v>
      </c>
      <c r="I794" s="1">
        <f t="shared" si="962"/>
        <v>0.39067891482394218</v>
      </c>
      <c r="J794" s="1">
        <f t="shared" si="962"/>
        <v>0.35742840795876329</v>
      </c>
      <c r="K794" s="1">
        <f t="shared" si="962"/>
        <v>0.75493614170256929</v>
      </c>
      <c r="L794" s="1">
        <f t="shared" ref="L794:O794" si="963">L241</f>
        <v>0.47416021605659237</v>
      </c>
      <c r="M794" s="1">
        <f t="shared" si="963"/>
        <v>0.46892711513752916</v>
      </c>
      <c r="N794" s="1">
        <f t="shared" si="963"/>
        <v>0.46872269737628841</v>
      </c>
      <c r="O794" s="1">
        <f t="shared" si="963"/>
        <v>0.34280905595175493</v>
      </c>
      <c r="P794" s="1">
        <f t="shared" ref="P794:Q796" si="964">P241</f>
        <v>0.46892841492775117</v>
      </c>
      <c r="Q794" s="1">
        <f t="shared" si="964"/>
        <v>0.46896412963696865</v>
      </c>
      <c r="S794" s="3"/>
    </row>
    <row r="795" spans="2:19" x14ac:dyDescent="0.5">
      <c r="B795" s="5" t="str">
        <f t="shared" si="958"/>
        <v>SPS1</v>
      </c>
      <c r="C795" s="5" t="str">
        <f t="shared" si="959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65">G242</f>
        <v>0</v>
      </c>
      <c r="H795" s="1">
        <f t="shared" si="965"/>
        <v>0</v>
      </c>
      <c r="I795" s="1">
        <f t="shared" si="965"/>
        <v>0</v>
      </c>
      <c r="J795" s="1">
        <f t="shared" si="965"/>
        <v>0</v>
      </c>
      <c r="K795" s="1">
        <f t="shared" si="965"/>
        <v>1.973665815866782E-3</v>
      </c>
      <c r="L795" s="1">
        <f t="shared" ref="L795:O795" si="966">L242</f>
        <v>0.27415749370968806</v>
      </c>
      <c r="M795" s="1">
        <f t="shared" si="966"/>
        <v>0.27113769061431725</v>
      </c>
      <c r="N795" s="1">
        <f t="shared" si="966"/>
        <v>0.27101278355231279</v>
      </c>
      <c r="O795" s="1">
        <f t="shared" si="966"/>
        <v>0.19821615754191255</v>
      </c>
      <c r="P795" s="1">
        <f t="shared" si="964"/>
        <v>0.27113690912804034</v>
      </c>
      <c r="Q795" s="1">
        <f t="shared" si="964"/>
        <v>0.27115480543745552</v>
      </c>
      <c r="S795" s="3"/>
    </row>
    <row r="796" spans="2:19" x14ac:dyDescent="0.5">
      <c r="B796" s="5" t="str">
        <f t="shared" si="958"/>
        <v>SPS1</v>
      </c>
      <c r="C796" s="5" t="str">
        <f t="shared" si="959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67">G243</f>
        <v>0</v>
      </c>
      <c r="H796" s="1">
        <f t="shared" si="967"/>
        <v>0</v>
      </c>
      <c r="I796" s="1">
        <f t="shared" si="967"/>
        <v>5.9248587751292642E-5</v>
      </c>
      <c r="J796" s="1">
        <f t="shared" si="967"/>
        <v>9.1886404482795721E-5</v>
      </c>
      <c r="K796" s="1">
        <f t="shared" si="967"/>
        <v>7.5838595857940551E-4</v>
      </c>
      <c r="L796" s="1">
        <f t="shared" ref="L796:O796" si="968">L243</f>
        <v>5.1361085939810613E-4</v>
      </c>
      <c r="M796" s="1">
        <f t="shared" si="968"/>
        <v>1.6101925735053727E-4</v>
      </c>
      <c r="N796" s="1">
        <f t="shared" si="968"/>
        <v>2.7748736355418419E-4</v>
      </c>
      <c r="O796" s="1">
        <f t="shared" si="968"/>
        <v>1.5373921169316168E-4</v>
      </c>
      <c r="P796" s="1">
        <f t="shared" si="964"/>
        <v>1.5836314283182678E-4</v>
      </c>
      <c r="Q796" s="1">
        <f t="shared" si="964"/>
        <v>1.4014845232438922E-4</v>
      </c>
      <c r="S796" s="3"/>
    </row>
    <row r="797" spans="2:19" x14ac:dyDescent="0.5">
      <c r="B797" s="5" t="str">
        <f t="shared" si="958"/>
        <v>SPS1</v>
      </c>
      <c r="C797" s="5" t="str">
        <f t="shared" si="959"/>
        <v>CH</v>
      </c>
      <c r="D797" t="s">
        <v>485</v>
      </c>
      <c r="E797" t="s">
        <v>8</v>
      </c>
      <c r="F797" s="1">
        <f>F274</f>
        <v>1.9347901992156566</v>
      </c>
      <c r="G797" s="1">
        <f t="shared" ref="G797:K797" si="969">G274</f>
        <v>1.8587657774038655</v>
      </c>
      <c r="H797" s="1">
        <f t="shared" si="969"/>
        <v>2.5502857889282793</v>
      </c>
      <c r="I797" s="1">
        <f t="shared" si="969"/>
        <v>2.2433294776403399</v>
      </c>
      <c r="J797" s="1">
        <f t="shared" si="969"/>
        <v>1.9426644674626261</v>
      </c>
      <c r="K797" s="1">
        <f t="shared" si="969"/>
        <v>0.99673697091059388</v>
      </c>
      <c r="L797" s="1">
        <f t="shared" ref="L797:O797" si="970">L274</f>
        <v>2.6742476831920214E-4</v>
      </c>
      <c r="M797" s="1">
        <f t="shared" si="970"/>
        <v>1.1888279044747208E-4</v>
      </c>
      <c r="N797" s="1">
        <f t="shared" si="970"/>
        <v>1.5269697142317185E-4</v>
      </c>
      <c r="O797" s="1">
        <f t="shared" si="970"/>
        <v>8.3706285950224668E-5</v>
      </c>
      <c r="P797" s="1">
        <f>P274</f>
        <v>1.4425784037630507E-4</v>
      </c>
      <c r="Q797" s="1">
        <f>Q274</f>
        <v>6.1556888699687562E-5</v>
      </c>
      <c r="S797" s="3"/>
    </row>
    <row r="798" spans="2:19" x14ac:dyDescent="0.5">
      <c r="B798" s="5" t="str">
        <f t="shared" si="958"/>
        <v>SPS1</v>
      </c>
      <c r="C798" s="5" t="str">
        <f t="shared" si="959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71">G275</f>
        <v>0</v>
      </c>
      <c r="H798" s="1">
        <f t="shared" si="971"/>
        <v>0</v>
      </c>
      <c r="I798" s="1">
        <f t="shared" si="971"/>
        <v>0</v>
      </c>
      <c r="J798" s="1">
        <f t="shared" si="971"/>
        <v>0</v>
      </c>
      <c r="K798" s="1">
        <f t="shared" si="971"/>
        <v>0.59598203894697976</v>
      </c>
      <c r="L798" s="1">
        <f t="shared" ref="L798:O798" si="972">L275</f>
        <v>2.5194254985880868</v>
      </c>
      <c r="M798" s="1">
        <f t="shared" si="972"/>
        <v>2.0113454433028037</v>
      </c>
      <c r="N798" s="1">
        <f t="shared" si="972"/>
        <v>2.0112198117447715</v>
      </c>
      <c r="O798" s="1">
        <f t="shared" si="972"/>
        <v>2.0113844780591204</v>
      </c>
      <c r="P798" s="1">
        <f>P275</f>
        <v>2.011314046223561</v>
      </c>
      <c r="Q798" s="1">
        <f>Q275</f>
        <v>2.0114246833103024</v>
      </c>
      <c r="S798" s="3"/>
    </row>
    <row r="799" spans="2:19" x14ac:dyDescent="0.5">
      <c r="B799" s="5" t="str">
        <f t="shared" si="958"/>
        <v>SPS1</v>
      </c>
      <c r="C799" s="5" t="str">
        <f t="shared" si="959"/>
        <v>CH</v>
      </c>
      <c r="D799" t="s">
        <v>487</v>
      </c>
      <c r="E799" t="s">
        <v>8</v>
      </c>
      <c r="F799" s="1">
        <f>F283</f>
        <v>0.65956574891523456</v>
      </c>
      <c r="G799" s="1">
        <f t="shared" ref="G799:K799" si="973">G283</f>
        <v>0.8294698561564271</v>
      </c>
      <c r="H799" s="1">
        <f t="shared" si="973"/>
        <v>3.3612284531445775</v>
      </c>
      <c r="I799" s="1">
        <f t="shared" si="973"/>
        <v>3.3635603793715645</v>
      </c>
      <c r="J799" s="1">
        <f t="shared" si="973"/>
        <v>3.3621958676260326</v>
      </c>
      <c r="K799" s="1">
        <f t="shared" si="973"/>
        <v>1.3453697270113145</v>
      </c>
      <c r="L799" s="1">
        <f t="shared" ref="L799:O799" si="974">L283</f>
        <v>0.45422150390140548</v>
      </c>
      <c r="M799" s="1">
        <f t="shared" si="974"/>
        <v>7.0531895200254269E-4</v>
      </c>
      <c r="N799" s="1">
        <f t="shared" si="974"/>
        <v>7.0571938375074694E-4</v>
      </c>
      <c r="O799" s="1">
        <f t="shared" si="974"/>
        <v>1.0990237155468208E-3</v>
      </c>
      <c r="P799" s="1">
        <f>P283</f>
        <v>6.4627077678913736E-4</v>
      </c>
      <c r="Q799" s="1">
        <f>Q283</f>
        <v>8.4476335653960177E-4</v>
      </c>
      <c r="S799" s="3"/>
    </row>
    <row r="800" spans="2:19" x14ac:dyDescent="0.5">
      <c r="B800" s="5" t="str">
        <f t="shared" si="958"/>
        <v>SPS1</v>
      </c>
      <c r="C800" s="5" t="str">
        <f t="shared" si="959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75">G284</f>
        <v>0</v>
      </c>
      <c r="H800" s="1">
        <f t="shared" si="975"/>
        <v>0</v>
      </c>
      <c r="I800" s="1">
        <f t="shared" si="975"/>
        <v>0</v>
      </c>
      <c r="J800" s="1">
        <f t="shared" si="975"/>
        <v>0</v>
      </c>
      <c r="K800" s="1">
        <f t="shared" si="975"/>
        <v>3.4709367841225451</v>
      </c>
      <c r="L800" s="1">
        <f t="shared" ref="L800:O800" si="976">L284</f>
        <v>7.6646845925815947</v>
      </c>
      <c r="M800" s="1">
        <f t="shared" si="976"/>
        <v>9.0867361025851316</v>
      </c>
      <c r="N800" s="1">
        <f t="shared" si="976"/>
        <v>8.9674904596431517</v>
      </c>
      <c r="O800" s="1">
        <f t="shared" si="976"/>
        <v>9.0867400613166591</v>
      </c>
      <c r="P800" s="1">
        <f>P284</f>
        <v>9.0508808824061386</v>
      </c>
      <c r="Q800" s="1">
        <f>Q284</f>
        <v>9.0867423988891556</v>
      </c>
      <c r="S800" s="3"/>
    </row>
    <row r="801" spans="2:19" x14ac:dyDescent="0.5">
      <c r="B801" s="5" t="str">
        <f t="shared" si="958"/>
        <v>SPS1</v>
      </c>
      <c r="C801" s="5" t="str">
        <f t="shared" si="959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77">G289</f>
        <v>0</v>
      </c>
      <c r="H801" s="1">
        <f t="shared" si="977"/>
        <v>0</v>
      </c>
      <c r="I801" s="1">
        <f t="shared" si="977"/>
        <v>1.9233364296897756E-3</v>
      </c>
      <c r="J801" s="1">
        <f t="shared" si="977"/>
        <v>0.45723823571391725</v>
      </c>
      <c r="K801" s="1">
        <f t="shared" si="977"/>
        <v>2.0200243011181827</v>
      </c>
      <c r="L801" s="1">
        <f t="shared" ref="L801:O801" si="978">L289</f>
        <v>2.2549229912208739</v>
      </c>
      <c r="M801" s="1">
        <f t="shared" si="978"/>
        <v>2.4224520861841889</v>
      </c>
      <c r="N801" s="1">
        <f t="shared" si="978"/>
        <v>2.4224536404995782</v>
      </c>
      <c r="O801" s="1">
        <f t="shared" si="978"/>
        <v>2.4224533482618567</v>
      </c>
      <c r="P801" s="1">
        <f>P289</f>
        <v>2.422453669684455</v>
      </c>
      <c r="Q801" s="1">
        <f>Q289</f>
        <v>2.4224542213489419</v>
      </c>
      <c r="S801" s="3"/>
    </row>
    <row r="802" spans="2:19" x14ac:dyDescent="0.5">
      <c r="B802" s="5" t="str">
        <f t="shared" si="958"/>
        <v>SPS1</v>
      </c>
      <c r="C802" s="5" t="str">
        <f t="shared" si="959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7.1200030228718028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7.6289063055985551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7.2432865305200318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7.7665858044076135</v>
      </c>
      <c r="J802" s="1" cm="1">
        <f t="array" ref="J802">SUMPRODUCT(([1]OUT_FinalEnergyCons!$B$4:$B$10000="Var_Fin")*1, ([1]OUT_FinalEnergyCons!$C$4:$C$10000="ITOT_LTH_DH")*1, (ISNUMBER(SEARCH("ITOT-SWHLTHDH",[1]OUT_FinalEnergyCons!$A$4:$A$10000)))*1,[1]OUT_FinalEnergyCons!H$4:H$10000)</f>
        <v>7.9947016272820388</v>
      </c>
      <c r="K802" s="1" cm="1">
        <f t="array" ref="K802">SUMPRODUCT(([1]OUT_FinalEnergyCons!$B$4:$B$10000="Var_Fin")*1, ([1]OUT_FinalEnergyCons!$C$4:$C$10000="ITOT_LTH_DH")*1, (ISNUMBER(SEARCH("ITOT-SWHLTHDH",[1]OUT_FinalEnergyCons!$A$4:$A$10000)))*1,[1]OUT_FinalEnergyCons!I$4:I$10000)</f>
        <v>7.125287471465251</v>
      </c>
      <c r="L802" s="1" cm="1">
        <f t="array" ref="L802">SUMPRODUCT(([1]OUT_FinalEnergyCons!$B$4:$B$10000="Var_Fin")*1, ([1]OUT_FinalEnergyCons!$C$4:$C$10000="ITOT_LTH_DH")*1, (ISNUMBER(SEARCH("ITOT-SWHLTHDH",[1]OUT_FinalEnergyCons!$A$4:$A$10000)))*1,[1]OUT_FinalEnergyCons!J$4:J$10000)</f>
        <v>7.2105248196152969</v>
      </c>
      <c r="M802" s="1" cm="1">
        <f t="array" ref="M802">SUMPRODUCT(([1]OUT_FinalEnergyCons!$B$4:$B$10000="Var_Fin")*1, ([1]OUT_FinalEnergyCons!$C$4:$C$10000="ITOT_LTH_DH")*1, (ISNUMBER(SEARCH("ITOT-SWHLTHDH",[1]OUT_FinalEnergyCons!$A$4:$A$10000)))*1,[1]OUT_FinalEnergyCons!K$4:K$10000)</f>
        <v>7.2932059581207804</v>
      </c>
      <c r="N802" s="1" cm="1">
        <f t="array" ref="N802">SUMPRODUCT(([1]OUT_FinalEnergyCons!$B$4:$B$10000="Var_Fin")*1, ([1]OUT_FinalEnergyCons!$C$4:$C$10000="ITOT_LTH_DH")*1, (ISNUMBER(SEARCH("ITOT-SWHLTHDH",[1]OUT_FinalEnergyCons!$A$4:$A$10000)))*1,[1]OUT_FinalEnergyCons!L$4:L$10000)</f>
        <v>7.2286989342715051</v>
      </c>
      <c r="O802" s="1" cm="1">
        <f t="array" ref="O802">SUMPRODUCT(([1]OUT_FinalEnergyCons!$B$4:$B$10000="Var_Fin")*1, ([1]OUT_FinalEnergyCons!$C$4:$C$10000="ITOT_LTH_DH")*1, (ISNUMBER(SEARCH("ITOT-SWHLTHDH",[1]OUT_FinalEnergyCons!$A$4:$A$10000)))*1,[1]OUT_FinalEnergyCons!M$4:M$10000)</f>
        <v>8.2875097503710187</v>
      </c>
      <c r="P802" s="1" cm="1">
        <f t="array" ref="P802">SUMPRODUCT(([1]OUT_FinalEnergyCons!$B$4:$B$10000="Var_Fin")*1, ([1]OUT_FinalEnergyCons!$C$4:$C$10000="ITOT_LTH_DH")*1, (ISNUMBER(SEARCH("ITOT-SWHLTHDH",[1]OUT_FinalEnergyCons!$A$4:$A$10000)))*1,[1]OUT_FinalEnergyCons!N$4:N$10000)</f>
        <v>7.1897803859682154</v>
      </c>
      <c r="Q802" s="1" cm="1">
        <f t="array" ref="Q802">SUMPRODUCT(([1]OUT_FinalEnergyCons!$B$4:$B$10000="Var_Fin")*1, ([1]OUT_FinalEnergyCons!$C$4:$C$10000="ITOT_LTH_DH")*1, (ISNUMBER(SEARCH("ITOT-SWHLTHDH",[1]OUT_FinalEnergyCons!$A$4:$A$10000)))*1,[1]OUT_FinalEnergyCons!O$4:O$10000)</f>
        <v>7.1677439248520463</v>
      </c>
      <c r="S802" s="3"/>
    </row>
    <row r="803" spans="2:19" x14ac:dyDescent="0.5">
      <c r="B803" s="5" t="str">
        <f>B802</f>
        <v>SPS1</v>
      </c>
      <c r="C803" s="5" t="str">
        <f t="shared" si="959"/>
        <v>CH</v>
      </c>
      <c r="D803" t="s">
        <v>951</v>
      </c>
      <c r="E803" t="s">
        <v>8</v>
      </c>
      <c r="F803" s="1">
        <f>F804</f>
        <v>9.0018967287848977</v>
      </c>
      <c r="G803" s="1">
        <f t="shared" ref="G803:O803" si="979">G804</f>
        <v>10.609941819605424</v>
      </c>
      <c r="H803" s="1">
        <f t="shared" si="979"/>
        <v>9.8539971653723377</v>
      </c>
      <c r="I803" s="1">
        <f t="shared" si="979"/>
        <v>11.48501441532305</v>
      </c>
      <c r="J803" s="1">
        <f t="shared" si="979"/>
        <v>12.272894635234369</v>
      </c>
      <c r="K803" s="1">
        <f t="shared" si="979"/>
        <v>9.7853359983498009</v>
      </c>
      <c r="L803" s="1">
        <f t="shared" si="979"/>
        <v>9.8027793123455922</v>
      </c>
      <c r="M803" s="1">
        <f t="shared" si="979"/>
        <v>9.8161630324160516</v>
      </c>
      <c r="N803" s="1">
        <f t="shared" si="979"/>
        <v>9.7194808131814732</v>
      </c>
      <c r="O803" s="1">
        <f t="shared" si="979"/>
        <v>10.836675539512452</v>
      </c>
      <c r="P803" s="1">
        <f>P804</f>
        <v>9.6640678388625059</v>
      </c>
      <c r="Q803" s="1">
        <f>Q804</f>
        <v>9.6316572834809389</v>
      </c>
      <c r="S803" s="3"/>
    </row>
    <row r="804" spans="2:19" x14ac:dyDescent="0.5">
      <c r="B804" s="5" t="str">
        <f t="shared" ref="B804:B806" si="980">B803</f>
        <v>SPS1</v>
      </c>
      <c r="C804" s="5" t="str">
        <f t="shared" si="959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9.0018967287848977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10.609941819605424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9.8539971653723377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11.48501441532305</v>
      </c>
      <c r="J804" s="1" cm="1">
        <f t="array" ref="J804">SUMPRODUCT(([1]OUT_FinalEnergyCons!$B$4:$B$10000="Var_Fin")*1, ([1]OUT_FinalEnergyCons!$C$4:$C$10000="iWOD")*1, (ISNUMBER(SEARCH("ITOT-SWHWOD*BR",[1]OUT_FinalEnergyCons!$A$4:$A$10000)))*1,[1]OUT_FinalEnergyCons!H$4:H$10000)</f>
        <v>12.272894635234369</v>
      </c>
      <c r="K804" s="1" cm="1">
        <f t="array" ref="K804">SUMPRODUCT(([1]OUT_FinalEnergyCons!$B$4:$B$10000="Var_Fin")*1, ([1]OUT_FinalEnergyCons!$C$4:$C$10000="iWOD")*1, (ISNUMBER(SEARCH("ITOT-SWHWOD*BR",[1]OUT_FinalEnergyCons!$A$4:$A$10000)))*1,[1]OUT_FinalEnergyCons!I$4:I$10000)</f>
        <v>9.7853359983498009</v>
      </c>
      <c r="L804" s="1" cm="1">
        <f t="array" ref="L804">SUMPRODUCT(([1]OUT_FinalEnergyCons!$B$4:$B$10000="Var_Fin")*1, ([1]OUT_FinalEnergyCons!$C$4:$C$10000="iWOD")*1, (ISNUMBER(SEARCH("ITOT-SWHWOD*BR",[1]OUT_FinalEnergyCons!$A$4:$A$10000)))*1,[1]OUT_FinalEnergyCons!J$4:J$10000)</f>
        <v>9.8027793123455922</v>
      </c>
      <c r="M804" s="1" cm="1">
        <f t="array" ref="M804">SUMPRODUCT(([1]OUT_FinalEnergyCons!$B$4:$B$10000="Var_Fin")*1, ([1]OUT_FinalEnergyCons!$C$4:$C$10000="iWOD")*1, (ISNUMBER(SEARCH("ITOT-SWHWOD*BR",[1]OUT_FinalEnergyCons!$A$4:$A$10000)))*1,[1]OUT_FinalEnergyCons!K$4:K$10000)</f>
        <v>9.8161630324160516</v>
      </c>
      <c r="N804" s="1" cm="1">
        <f t="array" ref="N804">SUMPRODUCT(([1]OUT_FinalEnergyCons!$B$4:$B$10000="Var_Fin")*1, ([1]OUT_FinalEnergyCons!$C$4:$C$10000="iWOD")*1, (ISNUMBER(SEARCH("ITOT-SWHWOD*BR",[1]OUT_FinalEnergyCons!$A$4:$A$10000)))*1,[1]OUT_FinalEnergyCons!L$4:L$10000)</f>
        <v>9.7194808131814732</v>
      </c>
      <c r="O804" s="1" cm="1">
        <f t="array" ref="O804">SUMPRODUCT(([1]OUT_FinalEnergyCons!$B$4:$B$10000="Var_Fin")*1, ([1]OUT_FinalEnergyCons!$C$4:$C$10000="iWOD")*1, (ISNUMBER(SEARCH("ITOT-SWHWOD*BR",[1]OUT_FinalEnergyCons!$A$4:$A$10000)))*1,[1]OUT_FinalEnergyCons!M$4:M$10000)</f>
        <v>10.836675539512452</v>
      </c>
      <c r="P804" s="1" cm="1">
        <f t="array" ref="P804">SUMPRODUCT(([1]OUT_FinalEnergyCons!$B$4:$B$10000="Var_Fin")*1, ([1]OUT_FinalEnergyCons!$C$4:$C$10000="iWOD")*1, (ISNUMBER(SEARCH("ITOT-SWHWOD*BR",[1]OUT_FinalEnergyCons!$A$4:$A$10000)))*1,[1]OUT_FinalEnergyCons!N$4:N$10000)</f>
        <v>9.6640678388625059</v>
      </c>
      <c r="Q804" s="1" cm="1">
        <f t="array" ref="Q804">SUMPRODUCT(([1]OUT_FinalEnergyCons!$B$4:$B$10000="Var_Fin")*1, ([1]OUT_FinalEnergyCons!$C$4:$C$10000="iWOD")*1, (ISNUMBER(SEARCH("ITOT-SWHWOD*BR",[1]OUT_FinalEnergyCons!$A$4:$A$10000)))*1,[1]OUT_FinalEnergyCons!O$4:O$10000)</f>
        <v>9.6316572834809389</v>
      </c>
      <c r="S804" s="3"/>
    </row>
    <row r="805" spans="2:19" x14ac:dyDescent="0.5">
      <c r="B805" s="5" t="str">
        <f t="shared" si="980"/>
        <v>SPS1</v>
      </c>
      <c r="C805" s="5" t="str">
        <f t="shared" si="959"/>
        <v>CH</v>
      </c>
      <c r="D805" t="s">
        <v>953</v>
      </c>
      <c r="E805" t="s">
        <v>8</v>
      </c>
      <c r="F805" s="1">
        <f>F806</f>
        <v>0.62578762930497855</v>
      </c>
      <c r="G805" s="1">
        <f t="shared" ref="G805:O805" si="981">G806</f>
        <v>0.73757344867069707</v>
      </c>
      <c r="H805" s="1">
        <f t="shared" si="981"/>
        <v>0.73632722485362367</v>
      </c>
      <c r="I805" s="1">
        <f t="shared" si="981"/>
        <v>0.73429121913613005</v>
      </c>
      <c r="J805" s="1">
        <f t="shared" si="981"/>
        <v>0.73223719902474138</v>
      </c>
      <c r="K805" s="1">
        <f t="shared" si="981"/>
        <v>0.73019433768610664</v>
      </c>
      <c r="L805" s="1">
        <f t="shared" si="981"/>
        <v>0.72816472330071602</v>
      </c>
      <c r="M805" s="1">
        <f t="shared" si="981"/>
        <v>0.72615948197839031</v>
      </c>
      <c r="N805" s="1">
        <f t="shared" si="981"/>
        <v>0.72616557604025178</v>
      </c>
      <c r="O805" s="1">
        <f t="shared" si="981"/>
        <v>0.72617400379080688</v>
      </c>
      <c r="P805" s="1">
        <f>P806</f>
        <v>0.72618300090279464</v>
      </c>
      <c r="Q805" s="1">
        <f>Q806</f>
        <v>0.72619298035320479</v>
      </c>
      <c r="S805" s="3"/>
    </row>
    <row r="806" spans="2:19" x14ac:dyDescent="0.5">
      <c r="B806" s="5" t="str">
        <f t="shared" si="980"/>
        <v>SPS1</v>
      </c>
      <c r="C806" s="5" t="str">
        <f t="shared" si="959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0.62578762930497855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0.73757344867069707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0.73632722485362367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0.73429121913613005</v>
      </c>
      <c r="J806" s="1" cm="1">
        <f t="array" ref="J806">SUMPRODUCT(([1]OUT_FinalEnergyCons!$B$4:$B$10000="Var_Fin")*1, ([1]OUT_FinalEnergyCons!$C$4:$C$10000="IPLT")*1, (ISNUMBER(SEARCH("ITOT-SWHPLT*BR",[1]OUT_FinalEnergyCons!$A$4:$A$10000)))*1,[1]OUT_FinalEnergyCons!H$4:H$10000)</f>
        <v>0.73223719902474138</v>
      </c>
      <c r="K806" s="1" cm="1">
        <f t="array" ref="K806">SUMPRODUCT(([1]OUT_FinalEnergyCons!$B$4:$B$10000="Var_Fin")*1, ([1]OUT_FinalEnergyCons!$C$4:$C$10000="IPLT")*1, (ISNUMBER(SEARCH("ITOT-SWHPLT*BR",[1]OUT_FinalEnergyCons!$A$4:$A$10000)))*1,[1]OUT_FinalEnergyCons!I$4:I$10000)</f>
        <v>0.73019433768610664</v>
      </c>
      <c r="L806" s="1" cm="1">
        <f t="array" ref="L806">SUMPRODUCT(([1]OUT_FinalEnergyCons!$B$4:$B$10000="Var_Fin")*1, ([1]OUT_FinalEnergyCons!$C$4:$C$10000="IPLT")*1, (ISNUMBER(SEARCH("ITOT-SWHPLT*BR",[1]OUT_FinalEnergyCons!$A$4:$A$10000)))*1,[1]OUT_FinalEnergyCons!J$4:J$10000)</f>
        <v>0.72816472330071602</v>
      </c>
      <c r="M806" s="1" cm="1">
        <f t="array" ref="M806">SUMPRODUCT(([1]OUT_FinalEnergyCons!$B$4:$B$10000="Var_Fin")*1, ([1]OUT_FinalEnergyCons!$C$4:$C$10000="IPLT")*1, (ISNUMBER(SEARCH("ITOT-SWHPLT*BR",[1]OUT_FinalEnergyCons!$A$4:$A$10000)))*1,[1]OUT_FinalEnergyCons!K$4:K$10000)</f>
        <v>0.72615948197839031</v>
      </c>
      <c r="N806" s="1" cm="1">
        <f t="array" ref="N806">SUMPRODUCT(([1]OUT_FinalEnergyCons!$B$4:$B$10000="Var_Fin")*1, ([1]OUT_FinalEnergyCons!$C$4:$C$10000="IPLT")*1, (ISNUMBER(SEARCH("ITOT-SWHPLT*BR",[1]OUT_FinalEnergyCons!$A$4:$A$10000)))*1,[1]OUT_FinalEnergyCons!L$4:L$10000)</f>
        <v>0.72616557604025178</v>
      </c>
      <c r="O806" s="1" cm="1">
        <f t="array" ref="O806">SUMPRODUCT(([1]OUT_FinalEnergyCons!$B$4:$B$10000="Var_Fin")*1, ([1]OUT_FinalEnergyCons!$C$4:$C$10000="IPLT")*1, (ISNUMBER(SEARCH("ITOT-SWHPLT*BR",[1]OUT_FinalEnergyCons!$A$4:$A$10000)))*1,[1]OUT_FinalEnergyCons!M$4:M$10000)</f>
        <v>0.72617400379080688</v>
      </c>
      <c r="P806" s="1" cm="1">
        <f t="array" ref="P806">SUMPRODUCT(([1]OUT_FinalEnergyCons!$B$4:$B$10000="Var_Fin")*1, ([1]OUT_FinalEnergyCons!$C$4:$C$10000="IPLT")*1, (ISNUMBER(SEARCH("ITOT-SWHPLT*BR",[1]OUT_FinalEnergyCons!$A$4:$A$10000)))*1,[1]OUT_FinalEnergyCons!N$4:N$10000)</f>
        <v>0.72618300090279464</v>
      </c>
      <c r="Q806" s="1" cm="1">
        <f t="array" ref="Q806">SUMPRODUCT(([1]OUT_FinalEnergyCons!$B$4:$B$10000="Var_Fin")*1, ([1]OUT_FinalEnergyCons!$C$4:$C$10000="IPLT")*1, (ISNUMBER(SEARCH("ITOT-SWHPLT*BR",[1]OUT_FinalEnergyCons!$A$4:$A$10000)))*1,[1]OUT_FinalEnergyCons!O$4:O$10000)</f>
        <v>0.72619298035320479</v>
      </c>
      <c r="S806" s="3"/>
    </row>
    <row r="807" spans="2:19" x14ac:dyDescent="0.5">
      <c r="B807" s="5" t="str">
        <f>B806</f>
        <v>SPS1</v>
      </c>
      <c r="C807" s="5" t="str">
        <f t="shared" si="959"/>
        <v>CH</v>
      </c>
      <c r="D807" t="s">
        <v>492</v>
      </c>
      <c r="E807" t="s">
        <v>8</v>
      </c>
      <c r="F807" s="1">
        <f>[1]Industry!B$21</f>
        <v>7.7980414248133894</v>
      </c>
      <c r="G807" s="1">
        <f>[1]Industry!C$21</f>
        <v>8.080145335265918</v>
      </c>
      <c r="H807" s="1">
        <f>[1]Industry!D$21</f>
        <v>5.6082660475127621</v>
      </c>
      <c r="I807" s="1">
        <f>[1]Industry!E$21</f>
        <v>5.5456301108321737</v>
      </c>
      <c r="J807" s="1">
        <f>[1]Industry!F$21</f>
        <v>5.4830009810631894</v>
      </c>
      <c r="K807" s="1">
        <f>[1]Industry!G$21</f>
        <v>5.4552888524959897</v>
      </c>
      <c r="L807" s="1">
        <f>[1]Industry!H$21</f>
        <v>2.6792031467246869E-3</v>
      </c>
      <c r="M807" s="1">
        <f>[1]Industry!I$21</f>
        <v>2.100823955338654E-4</v>
      </c>
      <c r="N807" s="1">
        <f>[1]Industry!J$21</f>
        <v>6.8728140526604911E-4</v>
      </c>
      <c r="O807" s="1">
        <f>[1]Industry!K$21</f>
        <v>1.6888897464070567E-4</v>
      </c>
      <c r="P807" s="1">
        <f>[1]Industry!L$21</f>
        <v>2.4610941877400733E-4</v>
      </c>
      <c r="Q807" s="1">
        <f>[1]Industry!M$21</f>
        <v>5.9660871226362268E-5</v>
      </c>
      <c r="S807" s="3"/>
    </row>
    <row r="808" spans="2:19" x14ac:dyDescent="0.5">
      <c r="B808" s="5" t="str">
        <f t="shared" ref="B808:B810" si="982">B807</f>
        <v>SPS1</v>
      </c>
      <c r="C808" s="5" t="str">
        <f t="shared" si="959"/>
        <v>CH</v>
      </c>
      <c r="D808" t="s">
        <v>495</v>
      </c>
      <c r="E808" t="s">
        <v>8</v>
      </c>
      <c r="F808" s="1">
        <f>F807</f>
        <v>7.7980414248133894</v>
      </c>
      <c r="G808" s="1">
        <f t="shared" ref="G808:K808" si="983">G807</f>
        <v>8.080145335265918</v>
      </c>
      <c r="H808" s="1">
        <f t="shared" si="983"/>
        <v>5.6082660475127621</v>
      </c>
      <c r="I808" s="1">
        <f t="shared" si="983"/>
        <v>5.5456301108321737</v>
      </c>
      <c r="J808" s="1">
        <f t="shared" si="983"/>
        <v>5.4830009810631894</v>
      </c>
      <c r="K808" s="1">
        <f t="shared" si="983"/>
        <v>5.4552888524959897</v>
      </c>
      <c r="L808" s="1">
        <f t="shared" ref="L808:O808" si="984">L807</f>
        <v>2.6792031467246869E-3</v>
      </c>
      <c r="M808" s="1">
        <f t="shared" si="984"/>
        <v>2.100823955338654E-4</v>
      </c>
      <c r="N808" s="1">
        <f t="shared" si="984"/>
        <v>6.8728140526604911E-4</v>
      </c>
      <c r="O808" s="1">
        <f t="shared" si="984"/>
        <v>1.6888897464070567E-4</v>
      </c>
      <c r="P808" s="1">
        <f>P807</f>
        <v>2.4610941877400733E-4</v>
      </c>
      <c r="Q808" s="1">
        <f>Q807</f>
        <v>5.9660871226362268E-5</v>
      </c>
      <c r="S808" s="3"/>
    </row>
    <row r="809" spans="2:19" x14ac:dyDescent="0.5">
      <c r="B809" s="5" t="str">
        <f t="shared" si="982"/>
        <v>SPS1</v>
      </c>
      <c r="C809" s="5" t="str">
        <f t="shared" si="959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S809" s="3"/>
    </row>
    <row r="810" spans="2:19" x14ac:dyDescent="0.5">
      <c r="B810" s="5" t="str">
        <f t="shared" si="982"/>
        <v>SPS1</v>
      </c>
      <c r="C810" s="5" t="str">
        <f t="shared" si="959"/>
        <v>CH</v>
      </c>
      <c r="D810" t="s">
        <v>494</v>
      </c>
      <c r="E810" t="s">
        <v>8</v>
      </c>
      <c r="F810" s="1">
        <f>F808</f>
        <v>7.7980414248133894</v>
      </c>
      <c r="G810" s="1">
        <f t="shared" ref="G810:K810" si="985">G808</f>
        <v>8.080145335265918</v>
      </c>
      <c r="H810" s="1">
        <f t="shared" si="985"/>
        <v>5.6082660475127621</v>
      </c>
      <c r="I810" s="1">
        <f t="shared" si="985"/>
        <v>5.5456301108321737</v>
      </c>
      <c r="J810" s="1">
        <f t="shared" si="985"/>
        <v>5.4830009810631894</v>
      </c>
      <c r="K810" s="1">
        <f t="shared" si="985"/>
        <v>5.4552888524959897</v>
      </c>
      <c r="L810" s="1">
        <f t="shared" ref="L810:O810" si="986">L808</f>
        <v>2.6792031467246869E-3</v>
      </c>
      <c r="M810" s="1">
        <f t="shared" si="986"/>
        <v>2.100823955338654E-4</v>
      </c>
      <c r="N810" s="1">
        <f t="shared" si="986"/>
        <v>6.8728140526604911E-4</v>
      </c>
      <c r="O810" s="1">
        <f t="shared" si="986"/>
        <v>1.6888897464070567E-4</v>
      </c>
      <c r="P810" s="1">
        <f>P808</f>
        <v>2.4610941877400733E-4</v>
      </c>
      <c r="Q810" s="1">
        <f>Q808</f>
        <v>5.9660871226362268E-5</v>
      </c>
      <c r="S810" s="3"/>
    </row>
    <row r="811" spans="2:19" x14ac:dyDescent="0.5">
      <c r="B811" s="5" t="str">
        <f>B810</f>
        <v>SPS1</v>
      </c>
      <c r="C811" s="5" t="str">
        <f t="shared" ref="C811:C812" si="987">C810</f>
        <v>CH</v>
      </c>
      <c r="D811" t="s">
        <v>955</v>
      </c>
      <c r="E811" t="s">
        <v>8</v>
      </c>
      <c r="F811" s="1">
        <f>[1]Industry!B$22</f>
        <v>6.763102136338818E-2</v>
      </c>
      <c r="G811" s="1">
        <f>[1]Industry!C$22</f>
        <v>8.5489922092106485E-2</v>
      </c>
      <c r="H811" s="1">
        <f>[1]Industry!D$22</f>
        <v>8.5039318044007689E-2</v>
      </c>
      <c r="I811" s="1">
        <f>[1]Industry!E$22</f>
        <v>8.5631529493535793E-2</v>
      </c>
      <c r="J811" s="1">
        <f>[1]Industry!F$22</f>
        <v>8.5635101547188536E-2</v>
      </c>
      <c r="K811" s="1">
        <f>[1]Industry!G$22</f>
        <v>5.5212067788736593E-2</v>
      </c>
      <c r="L811" s="1">
        <f>[1]Industry!H$22</f>
        <v>5.4127912501083578E-2</v>
      </c>
      <c r="M811" s="1">
        <f>[1]Industry!I$22</f>
        <v>5.3374174123445597E-2</v>
      </c>
      <c r="N811" s="1">
        <f>[1]Industry!J$22</f>
        <v>5.3231676925598694E-2</v>
      </c>
      <c r="O811" s="1">
        <f>[1]Industry!K$22</f>
        <v>5.3102599365798697E-2</v>
      </c>
      <c r="P811" s="1">
        <f>[1]Industry!L$22</f>
        <v>9.55974943051883E-3</v>
      </c>
      <c r="Q811" s="1">
        <f>[1]Industry!M$22</f>
        <v>3.7563599263686683E-4</v>
      </c>
      <c r="S811" s="3"/>
    </row>
    <row r="812" spans="2:19" x14ac:dyDescent="0.5">
      <c r="B812" s="5" t="str">
        <f t="shared" ref="B812" si="988">B811</f>
        <v>SPS1</v>
      </c>
      <c r="C812" s="5" t="str">
        <f t="shared" si="987"/>
        <v>CH</v>
      </c>
      <c r="D812" t="s">
        <v>956</v>
      </c>
      <c r="E812" t="s">
        <v>8</v>
      </c>
      <c r="F812" s="1">
        <f>F811</f>
        <v>6.763102136338818E-2</v>
      </c>
      <c r="G812" s="1">
        <f t="shared" ref="G812:K812" si="989">G811</f>
        <v>8.5489922092106485E-2</v>
      </c>
      <c r="H812" s="1">
        <f t="shared" si="989"/>
        <v>8.5039318044007689E-2</v>
      </c>
      <c r="I812" s="1">
        <f t="shared" si="989"/>
        <v>8.5631529493535793E-2</v>
      </c>
      <c r="J812" s="1">
        <f t="shared" si="989"/>
        <v>8.5635101547188536E-2</v>
      </c>
      <c r="K812" s="1">
        <f t="shared" si="989"/>
        <v>5.5212067788736593E-2</v>
      </c>
      <c r="L812" s="1">
        <f t="shared" ref="L812:O812" si="990">L811</f>
        <v>5.4127912501083578E-2</v>
      </c>
      <c r="M812" s="1">
        <f t="shared" si="990"/>
        <v>5.3374174123445597E-2</v>
      </c>
      <c r="N812" s="1">
        <f t="shared" si="990"/>
        <v>5.3231676925598694E-2</v>
      </c>
      <c r="O812" s="1">
        <f t="shared" si="990"/>
        <v>5.3102599365798697E-2</v>
      </c>
      <c r="P812" s="1">
        <f>P811</f>
        <v>9.55974943051883E-3</v>
      </c>
      <c r="Q812" s="1">
        <f>Q811</f>
        <v>3.7563599263686683E-4</v>
      </c>
      <c r="S812" s="3"/>
    </row>
    <row r="813" spans="2:19" x14ac:dyDescent="0.5">
      <c r="B813" s="5" t="str">
        <f>B812</f>
        <v>SPS1</v>
      </c>
      <c r="C813" s="5" t="str">
        <f t="shared" ref="C813:C814" si="991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5.0975692163006778E-2</v>
      </c>
      <c r="J813" s="1">
        <f>[1]Industry!F$23</f>
        <v>10.464480963566045</v>
      </c>
      <c r="K813" s="1">
        <f>[1]Industry!G$23</f>
        <v>10.490013240645874</v>
      </c>
      <c r="L813" s="1">
        <f>[1]Industry!H$23</f>
        <v>10.330419509482034</v>
      </c>
      <c r="M813" s="1">
        <f>[1]Industry!I$23</f>
        <v>17.978231275864921</v>
      </c>
      <c r="N813" s="1">
        <f>[1]Industry!J$23</f>
        <v>18.097961703979568</v>
      </c>
      <c r="O813" s="1">
        <f>[1]Industry!K$23</f>
        <v>18.105642362044033</v>
      </c>
      <c r="P813" s="1">
        <f>[1]Industry!L$23</f>
        <v>18.082113102172059</v>
      </c>
      <c r="Q813" s="1">
        <f>[1]Industry!M$23</f>
        <v>18.072816487229456</v>
      </c>
      <c r="S813" s="3"/>
    </row>
    <row r="814" spans="2:19" x14ac:dyDescent="0.5">
      <c r="B814" s="5" t="str">
        <f t="shared" ref="B814" si="992">B813</f>
        <v>SPS1</v>
      </c>
      <c r="C814" s="5" t="str">
        <f t="shared" si="991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93">G813</f>
        <v>0</v>
      </c>
      <c r="H814" s="1">
        <f t="shared" si="993"/>
        <v>0</v>
      </c>
      <c r="I814" s="1">
        <f t="shared" si="993"/>
        <v>5.0975692163006778E-2</v>
      </c>
      <c r="J814" s="1">
        <f t="shared" si="993"/>
        <v>10.464480963566045</v>
      </c>
      <c r="K814" s="1">
        <f t="shared" si="993"/>
        <v>10.490013240645874</v>
      </c>
      <c r="L814" s="1">
        <f t="shared" ref="L814:O814" si="994">L813</f>
        <v>10.330419509482034</v>
      </c>
      <c r="M814" s="1">
        <f t="shared" si="994"/>
        <v>17.978231275864921</v>
      </c>
      <c r="N814" s="1">
        <f t="shared" si="994"/>
        <v>18.097961703979568</v>
      </c>
      <c r="O814" s="1">
        <f t="shared" si="994"/>
        <v>18.105642362044033</v>
      </c>
      <c r="P814" s="1">
        <f>P813</f>
        <v>18.082113102172059</v>
      </c>
      <c r="Q814" s="1">
        <f>Q813</f>
        <v>18.072816487229456</v>
      </c>
      <c r="S814" s="3"/>
    </row>
    <row r="815" spans="2:19" x14ac:dyDescent="0.5">
      <c r="B815" s="5" t="str">
        <f>B814</f>
        <v>SPS1</v>
      </c>
      <c r="C815" s="5" t="str">
        <f t="shared" ref="C815:C816" si="995">C814</f>
        <v>CH</v>
      </c>
      <c r="D815" t="s">
        <v>959</v>
      </c>
      <c r="E815" t="s">
        <v>8</v>
      </c>
      <c r="F815" s="1">
        <f>[1]Industry!B$24</f>
        <v>0.74846853251533241</v>
      </c>
      <c r="G815" s="1">
        <f>[1]Industry!C$24</f>
        <v>0.94972861597432368</v>
      </c>
      <c r="H815" s="1">
        <f>[1]Industry!D$24</f>
        <v>2.4555200628510834</v>
      </c>
      <c r="I815" s="1">
        <f>[1]Industry!E$24</f>
        <v>4.0901695155712208</v>
      </c>
      <c r="J815" s="1">
        <f>[1]Industry!F$24</f>
        <v>5.6683735091012526</v>
      </c>
      <c r="K815" s="1">
        <f>[1]Industry!G$24</f>
        <v>6.1397388370237351</v>
      </c>
      <c r="L815" s="1">
        <f>[1]Industry!H$24</f>
        <v>8.9233636664860665</v>
      </c>
      <c r="M815" s="1">
        <f>[1]Industry!I$24</f>
        <v>9.2482276897001192</v>
      </c>
      <c r="N815" s="1">
        <f>[1]Industry!J$24</f>
        <v>9.3712064156907555</v>
      </c>
      <c r="O815" s="1">
        <f>[1]Industry!K$24</f>
        <v>9.3911722808779263</v>
      </c>
      <c r="P815" s="1">
        <f>[1]Industry!L$24</f>
        <v>9.3911713573839144</v>
      </c>
      <c r="Q815" s="1">
        <f>[1]Industry!M$24</f>
        <v>9.3911739514200843</v>
      </c>
      <c r="S815" s="3"/>
    </row>
    <row r="816" spans="2:19" x14ac:dyDescent="0.5">
      <c r="B816" s="5" t="str">
        <f t="shared" ref="B816" si="996">B815</f>
        <v>SPS1</v>
      </c>
      <c r="C816" s="5" t="str">
        <f t="shared" si="995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0.74846853251533241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0.94972861597432368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2.4543106570519986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4.0896315729081962</v>
      </c>
      <c r="J816" s="1" cm="1">
        <f t="array" ref="J816">SUMPRODUCT(([1]OUT_FinalEnergyCons!$B$4:$B$10000="Var_FOut")*1, ([1]OUT_FinalEnergyCons!$C$4:$C$10000="ITOT-SWHAelch")*1, (ISNUMBER(SEARCH("ITOT-SWHELCHP",[1]OUT_FinalEnergyCons!$A$4:$A$10000)))*1,[1]OUT_FinalEnergyCons!H$4:H$10000)-J766</f>
        <v>5.667923130984442</v>
      </c>
      <c r="K816" s="1" cm="1">
        <f t="array" ref="K816">SUMPRODUCT(([1]OUT_FinalEnergyCons!$B$4:$B$10000="Var_FOut")*1, ([1]OUT_FinalEnergyCons!$C$4:$C$10000="ITOT-SWHAelch")*1, (ISNUMBER(SEARCH("ITOT-SWHELCHP",[1]OUT_FinalEnergyCons!$A$4:$A$10000)))*1,[1]OUT_FinalEnergyCons!I$4:I$10000)-K766</f>
        <v>5.7141034549600462</v>
      </c>
      <c r="L816" s="1" cm="1">
        <f t="array" ref="L816">SUMPRODUCT(([1]OUT_FinalEnergyCons!$B$4:$B$10000="Var_FOut")*1, ([1]OUT_FinalEnergyCons!$C$4:$C$10000="ITOT-SWHAelch")*1, (ISNUMBER(SEARCH("ITOT-SWHELCHP",[1]OUT_FinalEnergyCons!$A$4:$A$10000)))*1,[1]OUT_FinalEnergyCons!J$4:J$10000)-L766</f>
        <v>8.4952650446697469</v>
      </c>
      <c r="M816" s="1" cm="1">
        <f t="array" ref="M816">SUMPRODUCT(([1]OUT_FinalEnergyCons!$B$4:$B$10000="Var_FOut")*1, ([1]OUT_FinalEnergyCons!$C$4:$C$10000="ITOT-SWHAelch")*1, (ISNUMBER(SEARCH("ITOT-SWHELCHP",[1]OUT_FinalEnergyCons!$A$4:$A$10000)))*1,[1]OUT_FinalEnergyCons!K$4:K$10000)-M766</f>
        <v>8.8571404303252663</v>
      </c>
      <c r="N816" s="1" cm="1">
        <f t="array" ref="N816">SUMPRODUCT(([1]OUT_FinalEnergyCons!$B$4:$B$10000="Var_FOut")*1, ([1]OUT_FinalEnergyCons!$C$4:$C$10000="ITOT-SWHAelch")*1, (ISNUMBER(SEARCH("ITOT-SWHELCHP",[1]OUT_FinalEnergyCons!$A$4:$A$10000)))*1,[1]OUT_FinalEnergyCons!L$4:L$10000)-N766</f>
        <v>9.3089663459959322</v>
      </c>
      <c r="O816" s="1" cm="1">
        <f t="array" ref="O816">SUMPRODUCT(([1]OUT_FinalEnergyCons!$B$4:$B$10000="Var_FOut")*1, ([1]OUT_FinalEnergyCons!$C$4:$C$10000="ITOT-SWHAelch")*1, (ISNUMBER(SEARCH("ITOT-SWHELCHP",[1]OUT_FinalEnergyCons!$A$4:$A$10000)))*1,[1]OUT_FinalEnergyCons!M$4:M$10000)-O766</f>
        <v>9.3823158416436119</v>
      </c>
      <c r="P816" s="1" cm="1">
        <f t="array" ref="P816">SUMPRODUCT(([1]OUT_FinalEnergyCons!$B$4:$B$10000="Var_FOut")*1, ([1]OUT_FinalEnergyCons!$C$4:$C$10000="ITOT-SWHAelch")*1, (ISNUMBER(SEARCH("ITOT-SWHELCHP",[1]OUT_FinalEnergyCons!$A$4:$A$10000)))*1,[1]OUT_FinalEnergyCons!N$4:N$10000)-P766</f>
        <v>9.3823160486022346</v>
      </c>
      <c r="Q816" s="1" cm="1">
        <f t="array" ref="Q816">SUMPRODUCT(([1]OUT_FinalEnergyCons!$B$4:$B$10000="Var_FOut")*1, ([1]OUT_FinalEnergyCons!$C$4:$C$10000="ITOT-SWHAelch")*1, (ISNUMBER(SEARCH("ITOT-SWHELCHP",[1]OUT_FinalEnergyCons!$A$4:$A$10000)))*1,[1]OUT_FinalEnergyCons!O$4:O$10000)-Q766</f>
        <v>9.3823200854272599</v>
      </c>
      <c r="S816" s="3"/>
    </row>
    <row r="817" spans="2:19" x14ac:dyDescent="0.5">
      <c r="B817" s="5" t="str">
        <f t="shared" ref="B817:B818" si="997">B816</f>
        <v>SPS1</v>
      </c>
      <c r="C817" s="5" t="str">
        <f t="shared" ref="C817:C825" si="998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99">G815-G816</f>
        <v>0</v>
      </c>
      <c r="H817" s="1">
        <f t="shared" si="999"/>
        <v>1.2094057990847951E-3</v>
      </c>
      <c r="I817" s="1">
        <f t="shared" si="999"/>
        <v>5.3794266302453764E-4</v>
      </c>
      <c r="J817" s="1">
        <f t="shared" si="999"/>
        <v>4.5037811681059026E-4</v>
      </c>
      <c r="K817" s="1">
        <f t="shared" si="999"/>
        <v>0.42563538206368889</v>
      </c>
      <c r="L817" s="1">
        <f t="shared" ref="L817:O817" si="1000">L815-L816</f>
        <v>0.42809862181631964</v>
      </c>
      <c r="M817" s="1">
        <f t="shared" si="1000"/>
        <v>0.39108725937485289</v>
      </c>
      <c r="N817" s="1">
        <f t="shared" si="1000"/>
        <v>6.2240069694823319E-2</v>
      </c>
      <c r="O817" s="1">
        <f t="shared" si="1000"/>
        <v>8.8564392343144505E-3</v>
      </c>
      <c r="P817" s="1">
        <f>P815-P816</f>
        <v>8.8553087816798381E-3</v>
      </c>
      <c r="Q817" s="1">
        <f>Q815-Q816</f>
        <v>8.8538659928243391E-3</v>
      </c>
      <c r="S817" s="3"/>
    </row>
    <row r="818" spans="2:19" x14ac:dyDescent="0.5">
      <c r="B818" s="9" t="str">
        <f t="shared" si="997"/>
        <v>SPS1</v>
      </c>
      <c r="C818" s="9" t="str">
        <f t="shared" si="998"/>
        <v>CH</v>
      </c>
      <c r="D818" s="2" t="s">
        <v>684</v>
      </c>
      <c r="E818" s="9" t="s">
        <v>8</v>
      </c>
      <c r="F818" s="17">
        <f>[1]Industry!B$71</f>
        <v>72.708204502173501</v>
      </c>
      <c r="G818" s="17">
        <f>[1]Industry!C$71</f>
        <v>74.352728049562657</v>
      </c>
      <c r="H818" s="17">
        <f>[1]Industry!D$71</f>
        <v>76.118935062675462</v>
      </c>
      <c r="I818" s="17">
        <f>[1]Industry!E$71</f>
        <v>77.130699183605273</v>
      </c>
      <c r="J818" s="17">
        <f>[1]Industry!F$71</f>
        <v>77.659826074209661</v>
      </c>
      <c r="K818" s="17">
        <f>[1]Industry!G$71</f>
        <v>78.299352270318124</v>
      </c>
      <c r="L818" s="17">
        <f>[1]Industry!H$71</f>
        <v>78.579110086253337</v>
      </c>
      <c r="M818" s="17">
        <f>[1]Industry!I$71</f>
        <v>78.857822787483883</v>
      </c>
      <c r="N818" s="17">
        <f>[1]Industry!J$71</f>
        <v>78.315163123645732</v>
      </c>
      <c r="O818" s="17">
        <f>[1]Industry!K$71</f>
        <v>80.465773128237714</v>
      </c>
      <c r="P818" s="17">
        <f>[1]Industry!L$71</f>
        <v>78.201128135160488</v>
      </c>
      <c r="Q818" s="17">
        <f>[1]Industry!M$71</f>
        <v>78.134917987732436</v>
      </c>
      <c r="S818" s="3"/>
    </row>
    <row r="819" spans="2:19" x14ac:dyDescent="0.5">
      <c r="B819" s="5" t="str">
        <f>B818</f>
        <v>SPS1</v>
      </c>
      <c r="C819" s="5" t="str">
        <f t="shared" si="998"/>
        <v>CH</v>
      </c>
      <c r="D819" t="s">
        <v>2031</v>
      </c>
      <c r="E819" t="s">
        <v>8</v>
      </c>
      <c r="F819" s="18">
        <f>SUM(F820:F822)</f>
        <v>58.985427565133193</v>
      </c>
      <c r="G819" s="18">
        <f t="shared" ref="G819:K819" si="1001">SUM(G820:G822)</f>
        <v>61.602249339486349</v>
      </c>
      <c r="H819" s="18">
        <f t="shared" si="1001"/>
        <v>65.453373636386686</v>
      </c>
      <c r="I819" s="18">
        <f t="shared" si="1001"/>
        <v>70.427449664850542</v>
      </c>
      <c r="J819" s="18">
        <f t="shared" si="1001"/>
        <v>72.736615742799131</v>
      </c>
      <c r="K819" s="18">
        <f t="shared" si="1001"/>
        <v>73.165576012750179</v>
      </c>
      <c r="L819" s="18">
        <f t="shared" ref="L819:O819" si="1002">SUM(L820:L822)</f>
        <v>77.67151935485532</v>
      </c>
      <c r="M819" s="18">
        <f t="shared" si="1002"/>
        <v>78.779584407267748</v>
      </c>
      <c r="N819" s="18">
        <f t="shared" si="1002"/>
        <v>80.210124290926885</v>
      </c>
      <c r="O819" s="18">
        <f t="shared" si="1002"/>
        <v>81.947947434039818</v>
      </c>
      <c r="P819" s="18">
        <f>SUM(P820:P822)</f>
        <v>80.475537315239691</v>
      </c>
      <c r="Q819" s="18">
        <f>SUM(Q820:Q822)</f>
        <v>80.595856202559844</v>
      </c>
      <c r="S819" s="3"/>
    </row>
    <row r="820" spans="2:19" x14ac:dyDescent="0.5">
      <c r="B820" s="5" t="str">
        <f t="shared" ref="B820:B825" si="1003">B819</f>
        <v>SPS1</v>
      </c>
      <c r="C820" s="5" t="str">
        <f t="shared" si="998"/>
        <v>CH</v>
      </c>
      <c r="D820" t="s">
        <v>2032</v>
      </c>
      <c r="E820" t="s">
        <v>8</v>
      </c>
      <c r="F820" s="1">
        <f>[1]Industry!B$55</f>
        <v>9.8138902317742289</v>
      </c>
      <c r="G820" s="1">
        <f>[1]Industry!C$55</f>
        <v>10.335082835766785</v>
      </c>
      <c r="H820" s="1">
        <f>[1]Industry!D$55</f>
        <v>10.337328994133125</v>
      </c>
      <c r="I820" s="1">
        <f>[1]Industry!E$55</f>
        <v>11.615439040443233</v>
      </c>
      <c r="J820" s="1">
        <f>[1]Industry!F$55</f>
        <v>11.615439229162458</v>
      </c>
      <c r="K820" s="1">
        <f>[1]Industry!G$55</f>
        <v>11.615439448892037</v>
      </c>
      <c r="L820" s="1">
        <f>[1]Industry!H$55</f>
        <v>11.6154396671127</v>
      </c>
      <c r="M820" s="1">
        <f>[1]Industry!I$55</f>
        <v>11.615439826448069</v>
      </c>
      <c r="N820" s="1">
        <f>[1]Industry!J$55</f>
        <v>11.615438255634475</v>
      </c>
      <c r="O820" s="1">
        <f>[1]Industry!K$55</f>
        <v>11.615494765458969</v>
      </c>
      <c r="P820" s="1">
        <f>[1]Industry!L$55</f>
        <v>11.615494109150823</v>
      </c>
      <c r="Q820" s="1">
        <f>[1]Industry!M$55</f>
        <v>11.615495095801611</v>
      </c>
      <c r="S820" s="3"/>
    </row>
    <row r="821" spans="2:19" x14ac:dyDescent="0.5">
      <c r="B821" s="5" t="str">
        <f t="shared" si="1003"/>
        <v>SPS1</v>
      </c>
      <c r="C821" s="5" t="str">
        <f t="shared" si="998"/>
        <v>CH</v>
      </c>
      <c r="D821" t="s">
        <v>2033</v>
      </c>
      <c r="E821" t="s">
        <v>8</v>
      </c>
      <c r="F821" s="1">
        <f>[1]Industry!B$56</f>
        <v>1.1081396811879705</v>
      </c>
      <c r="G821" s="1">
        <f>[1]Industry!C$56</f>
        <v>1.400790934344438</v>
      </c>
      <c r="H821" s="1">
        <f>[1]Industry!D$56</f>
        <v>3.5999142357648459</v>
      </c>
      <c r="I821" s="1">
        <f>[1]Industry!E$56</f>
        <v>5.9453777600137787</v>
      </c>
      <c r="J821" s="1">
        <f>[1]Industry!F$56</f>
        <v>8.1701408071837953</v>
      </c>
      <c r="K821" s="1">
        <f>[1]Industry!G$56</f>
        <v>8.1701416910649272</v>
      </c>
      <c r="L821" s="1">
        <f>[1]Industry!H$56</f>
        <v>12.052826112775165</v>
      </c>
      <c r="M821" s="1">
        <f>[1]Industry!I$56</f>
        <v>12.473274508124971</v>
      </c>
      <c r="N821" s="1">
        <f>[1]Industry!J$56</f>
        <v>13.109568887826725</v>
      </c>
      <c r="O821" s="1">
        <f>[1]Industry!K$56</f>
        <v>13.212865025157177</v>
      </c>
      <c r="P821" s="1">
        <f>[1]Industry!L$56</f>
        <v>13.212865316611483</v>
      </c>
      <c r="Q821" s="1">
        <f>[1]Industry!M$56</f>
        <v>13.212871001564448</v>
      </c>
      <c r="S821" s="3"/>
    </row>
    <row r="822" spans="2:19" x14ac:dyDescent="0.5">
      <c r="B822" s="5" t="str">
        <f t="shared" si="1003"/>
        <v>SPS1</v>
      </c>
      <c r="C822" s="5" t="str">
        <f t="shared" si="998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49.86637556937513</v>
      </c>
      <c r="H822" s="1">
        <f>[1]Industry!D$3-([1]Industry!D$6-[1]Industry!D$70)</f>
        <v>51.516130406488713</v>
      </c>
      <c r="I822" s="1">
        <f>[1]Industry!E$3-([1]Industry!E$6-[1]Industry!E$70)</f>
        <v>52.86663286439353</v>
      </c>
      <c r="J822" s="1">
        <f>[1]Industry!F$3-([1]Industry!F$6-[1]Industry!F$70)</f>
        <v>52.951035706452885</v>
      </c>
      <c r="K822" s="1">
        <f>[1]Industry!G$3-([1]Industry!G$6-[1]Industry!G$70)</f>
        <v>53.379994872793212</v>
      </c>
      <c r="L822" s="1">
        <f>[1]Industry!H$3-([1]Industry!H$6-[1]Industry!H$70)</f>
        <v>54.003253574967459</v>
      </c>
      <c r="M822" s="1">
        <f>[1]Industry!I$3-([1]Industry!I$6-[1]Industry!I$70)</f>
        <v>54.690870072694707</v>
      </c>
      <c r="N822" s="1">
        <f>[1]Industry!J$3-([1]Industry!J$6-[1]Industry!J$70)</f>
        <v>55.485117147465687</v>
      </c>
      <c r="O822" s="1">
        <f>[1]Industry!K$3-([1]Industry!K$6-[1]Industry!K$70)</f>
        <v>57.119587643423671</v>
      </c>
      <c r="P822" s="1">
        <f>[1]Industry!L$3-([1]Industry!L$6-[1]Industry!L$70)</f>
        <v>55.647177889477383</v>
      </c>
      <c r="Q822" s="1">
        <f>[1]Industry!M$3-([1]Industry!M$6-[1]Industry!M$70)</f>
        <v>55.767490105193794</v>
      </c>
      <c r="S822" s="3"/>
    </row>
    <row r="823" spans="2:19" x14ac:dyDescent="0.5">
      <c r="B823" s="5" t="str">
        <f t="shared" si="1003"/>
        <v>SPS1</v>
      </c>
      <c r="C823" s="5" t="str">
        <f t="shared" si="998"/>
        <v>CH</v>
      </c>
      <c r="D823" t="s">
        <v>2035</v>
      </c>
      <c r="E823" t="s">
        <v>8</v>
      </c>
      <c r="F823" s="1">
        <f>SUM(F824:F825)</f>
        <v>8.763527567224525</v>
      </c>
      <c r="G823" s="1">
        <f t="shared" ref="G823:K823" si="1004">SUM(G824:G825)</f>
        <v>8.0270961771356752</v>
      </c>
      <c r="H823" s="1">
        <f t="shared" si="1004"/>
        <v>6.2465876874084421</v>
      </c>
      <c r="I823" s="1">
        <f t="shared" si="1004"/>
        <v>5.0693160997247375</v>
      </c>
      <c r="J823" s="1">
        <f t="shared" si="1004"/>
        <v>3.8072119332105299</v>
      </c>
      <c r="K823" s="1">
        <f t="shared" si="1004"/>
        <v>2.8123457124520175</v>
      </c>
      <c r="L823" s="1">
        <f t="shared" ref="L823:O823" si="1005">SUM(L824:L825)</f>
        <v>1.416067479097715</v>
      </c>
      <c r="M823" s="1">
        <f t="shared" si="1005"/>
        <v>1.1336268752244747</v>
      </c>
      <c r="N823" s="1">
        <f t="shared" si="1005"/>
        <v>1.1273170475165992</v>
      </c>
      <c r="O823" s="1">
        <f t="shared" si="1005"/>
        <v>1.1273156587081443</v>
      </c>
      <c r="P823" s="1">
        <f>SUM(P824:P825)</f>
        <v>0.61479817088790056</v>
      </c>
      <c r="Q823" s="1">
        <f>SUM(Q824:Q825)</f>
        <v>0.61371541060126222</v>
      </c>
      <c r="S823" s="3"/>
    </row>
    <row r="824" spans="2:19" x14ac:dyDescent="0.5">
      <c r="B824" s="5" t="str">
        <f t="shared" si="1003"/>
        <v>SPS1</v>
      </c>
      <c r="C824" s="5" t="str">
        <f t="shared" si="998"/>
        <v>CH</v>
      </c>
      <c r="D824" t="s">
        <v>2036</v>
      </c>
      <c r="E824" t="s">
        <v>8</v>
      </c>
      <c r="F824" s="1">
        <f>[1]Industry!B$57</f>
        <v>6.9177055675995911</v>
      </c>
      <c r="G824" s="1">
        <f>[1]Industry!C$57</f>
        <v>6.3112844372163863</v>
      </c>
      <c r="H824" s="1">
        <f>[1]Industry!D$57</f>
        <v>6.2459448895386842</v>
      </c>
      <c r="I824" s="1">
        <f>[1]Industry!E$57</f>
        <v>5.0692245036305748</v>
      </c>
      <c r="J824" s="1">
        <f>[1]Industry!F$57</f>
        <v>3.8071527323790035</v>
      </c>
      <c r="K824" s="1">
        <f>[1]Industry!G$57</f>
        <v>2.8119530620023854</v>
      </c>
      <c r="L824" s="1">
        <f>[1]Industry!H$57</f>
        <v>1.4158243766409706</v>
      </c>
      <c r="M824" s="1">
        <f>[1]Industry!I$57</f>
        <v>1.1336268752244747</v>
      </c>
      <c r="N824" s="1">
        <f>[1]Industry!J$57</f>
        <v>1.1273170475165992</v>
      </c>
      <c r="O824" s="1">
        <f>[1]Industry!K$57</f>
        <v>1.1273156587081443</v>
      </c>
      <c r="P824" s="1">
        <f>[1]Industry!L$57</f>
        <v>0.61479817088790056</v>
      </c>
      <c r="Q824" s="1">
        <f>[1]Industry!M$57</f>
        <v>0.61371541060126222</v>
      </c>
      <c r="S824" s="3"/>
    </row>
    <row r="825" spans="2:19" x14ac:dyDescent="0.5">
      <c r="B825" s="5" t="str">
        <f t="shared" si="1003"/>
        <v>SPS1</v>
      </c>
      <c r="C825" s="5" t="str">
        <f t="shared" si="998"/>
        <v>CH</v>
      </c>
      <c r="D825" t="s">
        <v>2037</v>
      </c>
      <c r="E825" t="s">
        <v>8</v>
      </c>
      <c r="F825" s="1">
        <f>[1]Industry!B$58</f>
        <v>1.8458219996249334</v>
      </c>
      <c r="G825" s="1">
        <f>[1]Industry!C$58</f>
        <v>1.7158117399192887</v>
      </c>
      <c r="H825" s="1">
        <f>[1]Industry!D$58</f>
        <v>6.4279786975776512E-4</v>
      </c>
      <c r="I825" s="1">
        <f>[1]Industry!E$58</f>
        <v>9.1596094162410218E-5</v>
      </c>
      <c r="J825" s="1">
        <f>[1]Industry!F$58</f>
        <v>5.9200831526454418E-5</v>
      </c>
      <c r="K825" s="1">
        <f>[1]Industry!G$58</f>
        <v>3.926504496321421E-4</v>
      </c>
      <c r="L825" s="1">
        <f>[1]Industry!H$58</f>
        <v>2.4310245674437017E-4</v>
      </c>
      <c r="M825" s="1">
        <f>[1]Industry!I$58</f>
        <v>0</v>
      </c>
      <c r="N825" s="1">
        <f>[1]Industry!J$58</f>
        <v>0</v>
      </c>
      <c r="O825" s="1">
        <f>[1]Industry!K$58</f>
        <v>0</v>
      </c>
      <c r="P825" s="1">
        <f>[1]Industry!L$58</f>
        <v>0</v>
      </c>
      <c r="Q825" s="1">
        <f>[1]Industry!M$58</f>
        <v>0</v>
      </c>
      <c r="S825" s="3"/>
    </row>
    <row r="826" spans="2:19" x14ac:dyDescent="0.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28.930281253293458</v>
      </c>
      <c r="G826" s="1">
        <f t="shared" ref="G826:K826" si="1006">SUM(G827:G829)</f>
        <v>24.439931683574837</v>
      </c>
      <c r="H826" s="1">
        <f t="shared" si="1006"/>
        <v>29.76090464812928</v>
      </c>
      <c r="I826" s="1">
        <f t="shared" si="1006"/>
        <v>25.051610590117097</v>
      </c>
      <c r="J826" s="1">
        <f t="shared" si="1006"/>
        <v>15.077748545922361</v>
      </c>
      <c r="K826" s="1">
        <f t="shared" si="1006"/>
        <v>16.902241018168986</v>
      </c>
      <c r="L826" s="1">
        <f t="shared" ref="L826:O826" si="1007">SUM(L827:L829)</f>
        <v>13.21741508612137</v>
      </c>
      <c r="M826" s="1">
        <f t="shared" si="1007"/>
        <v>6.143243717626544</v>
      </c>
      <c r="N826" s="1">
        <f t="shared" si="1007"/>
        <v>4.9748302204018602</v>
      </c>
      <c r="O826" s="1">
        <f t="shared" si="1007"/>
        <v>5.3410702816272018</v>
      </c>
      <c r="P826" s="1">
        <f>SUM(P827:P829)</f>
        <v>4.9088409390919896</v>
      </c>
      <c r="Q826" s="1">
        <f>SUM(Q827:Q829)</f>
        <v>4.8728923999761973</v>
      </c>
      <c r="S826" s="3"/>
    </row>
    <row r="827" spans="2:19" x14ac:dyDescent="0.5">
      <c r="B827" s="5" t="str">
        <f t="shared" ref="B827:B856" si="1008">B826</f>
        <v>SPS1</v>
      </c>
      <c r="C827" s="5" t="str">
        <f t="shared" ref="C827:C856" si="1009">C826</f>
        <v>CH</v>
      </c>
      <c r="D827" t="s">
        <v>2039</v>
      </c>
      <c r="E827" t="s">
        <v>8</v>
      </c>
      <c r="F827" s="1">
        <f>[1]Industry!B$59</f>
        <v>28.619769181113579</v>
      </c>
      <c r="G827" s="1">
        <f>[1]Industry!C$59</f>
        <v>24.047413296108012</v>
      </c>
      <c r="H827" s="1">
        <f>[1]Industry!D$59</f>
        <v>27.793116302582302</v>
      </c>
      <c r="I827" s="1">
        <f>[1]Industry!E$59</f>
        <v>20.661303478055881</v>
      </c>
      <c r="J827" s="1">
        <f>[1]Industry!F$59</f>
        <v>10.687636266317915</v>
      </c>
      <c r="K827" s="1">
        <f>[1]Industry!G$59</f>
        <v>11.66003893623</v>
      </c>
      <c r="L827" s="1">
        <f>[1]Industry!H$59</f>
        <v>7.9578279431894368</v>
      </c>
      <c r="M827" s="1">
        <f>[1]Industry!I$59</f>
        <v>0.94176583734548891</v>
      </c>
      <c r="N827" s="1">
        <f>[1]Industry!J$59</f>
        <v>0.40964543761811467</v>
      </c>
      <c r="O827" s="1">
        <f>[1]Industry!K$59</f>
        <v>0.87916012859333803</v>
      </c>
      <c r="P827" s="1">
        <f>[1]Industry!L$59</f>
        <v>0.44693182278281174</v>
      </c>
      <c r="Q827" s="1">
        <f>[1]Industry!M$59</f>
        <v>0.41097520047244185</v>
      </c>
      <c r="S827" s="3"/>
    </row>
    <row r="828" spans="2:19" x14ac:dyDescent="0.5">
      <c r="B828" s="5" t="str">
        <f t="shared" si="1008"/>
        <v>SPS1</v>
      </c>
      <c r="C828" s="5" t="str">
        <f t="shared" si="1009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2.5753115436128802E-3</v>
      </c>
      <c r="I828" s="1">
        <f>[1]Industry!E$60</f>
        <v>1.1212300939512151E-3</v>
      </c>
      <c r="J828" s="1">
        <f>[1]Industry!F$60</f>
        <v>9.1996421260770716E-4</v>
      </c>
      <c r="K828" s="1">
        <f>[1]Industry!G$60</f>
        <v>0.85300937268460009</v>
      </c>
      <c r="L828" s="1">
        <f>[1]Industry!H$60</f>
        <v>0.84261446194527057</v>
      </c>
      <c r="M828" s="1">
        <f>[1]Industry!I$60</f>
        <v>0.75672477103810143</v>
      </c>
      <c r="N828" s="1">
        <f>[1]Industry!J$60</f>
        <v>0.12042990754671302</v>
      </c>
      <c r="O828" s="1">
        <f>[1]Industry!K$60</f>
        <v>1.7136551475783829E-2</v>
      </c>
      <c r="P828" s="1">
        <f>[1]Industry!L$60</f>
        <v>1.713436413397915E-2</v>
      </c>
      <c r="Q828" s="1">
        <f>[1]Industry!M$60</f>
        <v>1.7131572444806981E-2</v>
      </c>
      <c r="S828" s="3"/>
    </row>
    <row r="829" spans="2:19" x14ac:dyDescent="0.5">
      <c r="B829" s="5" t="str">
        <f t="shared" si="1008"/>
        <v>SPS1</v>
      </c>
      <c r="C829" s="5" t="str">
        <f t="shared" si="1009"/>
        <v>CH</v>
      </c>
      <c r="D829" t="s">
        <v>2041</v>
      </c>
      <c r="E829" t="s">
        <v>8</v>
      </c>
      <c r="F829" s="1">
        <f>[1]Industry!B$68</f>
        <v>0.31051207217987981</v>
      </c>
      <c r="G829" s="1">
        <f>[1]Industry!C$68</f>
        <v>0.39251838746682438</v>
      </c>
      <c r="H829" s="1">
        <f>[1]Industry!D$68</f>
        <v>1.9652130340033653</v>
      </c>
      <c r="I829" s="1">
        <f>[1]Industry!E$68</f>
        <v>4.3891858819672649</v>
      </c>
      <c r="J829" s="1">
        <f>[1]Industry!F$68</f>
        <v>4.3891923153918384</v>
      </c>
      <c r="K829" s="1">
        <f>[1]Industry!G$68</f>
        <v>4.3891927092543872</v>
      </c>
      <c r="L829" s="1">
        <f>[1]Industry!H$68</f>
        <v>4.416972680986663</v>
      </c>
      <c r="M829" s="1">
        <f>[1]Industry!I$68</f>
        <v>4.4447531092429537</v>
      </c>
      <c r="N829" s="1">
        <f>[1]Industry!J$68</f>
        <v>4.4447548752370327</v>
      </c>
      <c r="O829" s="1">
        <f>[1]Industry!K$68</f>
        <v>4.4447736015580794</v>
      </c>
      <c r="P829" s="1">
        <f>[1]Industry!L$68</f>
        <v>4.4447747521751984</v>
      </c>
      <c r="Q829" s="1">
        <f>[1]Industry!M$68</f>
        <v>4.4447856270589483</v>
      </c>
      <c r="S829" s="3"/>
    </row>
    <row r="830" spans="2:19" x14ac:dyDescent="0.5">
      <c r="B830" s="5" t="str">
        <f t="shared" si="1008"/>
        <v>SPS1</v>
      </c>
      <c r="C830" s="5" t="str">
        <f t="shared" si="1009"/>
        <v>CH</v>
      </c>
      <c r="D830" t="s">
        <v>2042</v>
      </c>
      <c r="E830" t="s">
        <v>8</v>
      </c>
      <c r="F830" s="1">
        <f>F831</f>
        <v>2.3674015107311077</v>
      </c>
      <c r="G830" s="1">
        <f t="shared" ref="G830:O830" si="1010">G831</f>
        <v>2.3075015032167929</v>
      </c>
      <c r="H830" s="1">
        <f t="shared" si="1010"/>
        <v>0.28001926873163996</v>
      </c>
      <c r="I830" s="1">
        <f t="shared" si="1010"/>
        <v>6.9550947818404772E-5</v>
      </c>
      <c r="J830" s="1">
        <f t="shared" si="1010"/>
        <v>4.1283559953692989E-5</v>
      </c>
      <c r="K830" s="1">
        <f t="shared" si="1010"/>
        <v>3.0210426265670534E-4</v>
      </c>
      <c r="L830" s="1">
        <f t="shared" si="1010"/>
        <v>1.6824676809643228E-4</v>
      </c>
      <c r="M830" s="1">
        <f t="shared" si="1010"/>
        <v>9.2068918914032418E-5</v>
      </c>
      <c r="N830" s="1">
        <f t="shared" si="1010"/>
        <v>1.1872273950169186E-4</v>
      </c>
      <c r="O830" s="1">
        <f t="shared" si="1010"/>
        <v>7.3524674648340973E-5</v>
      </c>
      <c r="P830" s="1">
        <f>P831</f>
        <v>8.2156927760400681E-5</v>
      </c>
      <c r="Q830" s="1">
        <f>Q831</f>
        <v>3.6990119729627142E-5</v>
      </c>
      <c r="S830" s="3"/>
    </row>
    <row r="831" spans="2:19" x14ac:dyDescent="0.5">
      <c r="B831" s="5" t="str">
        <f t="shared" si="1008"/>
        <v>SPS1</v>
      </c>
      <c r="C831" s="5" t="str">
        <f t="shared" si="1009"/>
        <v>CH</v>
      </c>
      <c r="D831" t="s">
        <v>2043</v>
      </c>
      <c r="E831" t="s">
        <v>8</v>
      </c>
      <c r="F831" s="1">
        <f>[1]Industry!B$61</f>
        <v>2.3674015107311077</v>
      </c>
      <c r="G831" s="1">
        <f>[1]Industry!C$61</f>
        <v>2.3075015032167929</v>
      </c>
      <c r="H831" s="1">
        <f>[1]Industry!D$61</f>
        <v>0.28001926873163996</v>
      </c>
      <c r="I831" s="1">
        <f>[1]Industry!E$61</f>
        <v>6.9550947818404772E-5</v>
      </c>
      <c r="J831" s="1">
        <f>[1]Industry!F$61</f>
        <v>4.1283559953692989E-5</v>
      </c>
      <c r="K831" s="1">
        <f>[1]Industry!G$61</f>
        <v>3.0210426265670534E-4</v>
      </c>
      <c r="L831" s="1">
        <f>[1]Industry!H$61</f>
        <v>1.6824676809643228E-4</v>
      </c>
      <c r="M831" s="1">
        <f>[1]Industry!I$61</f>
        <v>9.2068918914032418E-5</v>
      </c>
      <c r="N831" s="1">
        <f>[1]Industry!J$61</f>
        <v>1.1872273950169186E-4</v>
      </c>
      <c r="O831" s="1">
        <f>[1]Industry!K$61</f>
        <v>7.3524674648340973E-5</v>
      </c>
      <c r="P831" s="1">
        <f>[1]Industry!L$61</f>
        <v>8.2156927760400681E-5</v>
      </c>
      <c r="Q831" s="1">
        <f>[1]Industry!M$61</f>
        <v>3.6990119729627142E-5</v>
      </c>
      <c r="S831" s="3"/>
    </row>
    <row r="832" spans="2:19" x14ac:dyDescent="0.5">
      <c r="B832" s="5" t="str">
        <f t="shared" si="1008"/>
        <v>SPS1</v>
      </c>
      <c r="C832" s="5" t="str">
        <f t="shared" si="1009"/>
        <v>CH</v>
      </c>
      <c r="D832" t="s">
        <v>2044</v>
      </c>
      <c r="E832" t="s">
        <v>8</v>
      </c>
      <c r="F832" s="1">
        <f>F833+F843</f>
        <v>11.767329917701847</v>
      </c>
      <c r="G832" s="1">
        <f t="shared" ref="G832:K832" si="1011">G833+G843</f>
        <v>12.635407432182834</v>
      </c>
      <c r="H832" s="1">
        <f t="shared" si="1011"/>
        <v>12.429520881239206</v>
      </c>
      <c r="I832" s="1">
        <f t="shared" si="1011"/>
        <v>14.445086602523542</v>
      </c>
      <c r="J832" s="1">
        <f t="shared" si="1011"/>
        <v>14.054825893052957</v>
      </c>
      <c r="K832" s="1">
        <f t="shared" si="1011"/>
        <v>15.373294135587823</v>
      </c>
      <c r="L832" s="1">
        <f t="shared" ref="L832:O832" si="1012">L833+L843</f>
        <v>19.704868474987059</v>
      </c>
      <c r="M832" s="1">
        <f t="shared" si="1012"/>
        <v>20.431622384609756</v>
      </c>
      <c r="N832" s="1">
        <f t="shared" si="1012"/>
        <v>20.258852699505546</v>
      </c>
      <c r="O832" s="1">
        <f t="shared" si="1012"/>
        <v>21.200208223383221</v>
      </c>
      <c r="P832" s="1">
        <f>P833+P843</f>
        <v>20.627432530547708</v>
      </c>
      <c r="Q832" s="1">
        <f>Q833+Q843</f>
        <v>20.626949638533834</v>
      </c>
      <c r="S832" s="3"/>
    </row>
    <row r="833" spans="2:19" x14ac:dyDescent="0.5">
      <c r="B833" s="5" t="str">
        <f t="shared" si="1008"/>
        <v>SPS1</v>
      </c>
      <c r="C833" s="5" t="str">
        <f t="shared" si="1009"/>
        <v>CH</v>
      </c>
      <c r="D833" t="s">
        <v>2045</v>
      </c>
      <c r="E833" t="s">
        <v>8</v>
      </c>
      <c r="F833" s="1">
        <f>[1]Industry!B$62</f>
        <v>5.1850561350844693</v>
      </c>
      <c r="G833" s="1">
        <f>[1]Industry!C$62</f>
        <v>5.5675586340227543</v>
      </c>
      <c r="H833" s="1">
        <f>[1]Industry!D$62</f>
        <v>5.6974183111960404</v>
      </c>
      <c r="I833" s="1">
        <f>[1]Industry!E$62</f>
        <v>7.1881692355214852</v>
      </c>
      <c r="J833" s="1">
        <f>[1]Industry!F$62</f>
        <v>6.5451865930612616</v>
      </c>
      <c r="K833" s="1">
        <f>[1]Industry!G$62</f>
        <v>8.6450470628789127</v>
      </c>
      <c r="L833" s="1">
        <f>[1]Industry!H$62</f>
        <v>12.875501803682953</v>
      </c>
      <c r="M833" s="1">
        <f>[1]Industry!I$62</f>
        <v>13.503076724395022</v>
      </c>
      <c r="N833" s="1">
        <f>[1]Industry!J$62</f>
        <v>13.391588711947612</v>
      </c>
      <c r="O833" s="1">
        <f>[1]Industry!K$62</f>
        <v>13.327073960530759</v>
      </c>
      <c r="P833" s="1">
        <f>[1]Industry!L$62</f>
        <v>13.797141163877907</v>
      </c>
      <c r="Q833" s="1">
        <f>[1]Industry!M$62</f>
        <v>13.817592909924393</v>
      </c>
      <c r="S833" s="3"/>
    </row>
    <row r="834" spans="2:19" x14ac:dyDescent="0.5">
      <c r="B834" s="5" t="str">
        <f t="shared" si="1008"/>
        <v>SPS1</v>
      </c>
      <c r="C834" s="5" t="str">
        <f t="shared" si="1009"/>
        <v>CH</v>
      </c>
      <c r="D834" t="s">
        <v>2046</v>
      </c>
      <c r="E834" t="s">
        <v>8</v>
      </c>
      <c r="F834" s="1">
        <f>IFERROR(F793/F$792,0)*F$833</f>
        <v>1.1230180756574097</v>
      </c>
      <c r="G834" s="1">
        <f t="shared" ref="G834:K834" si="1013">IFERROR(G793/G$792,0)*G$833</f>
        <v>2.1999947091229348</v>
      </c>
      <c r="H834" s="1">
        <f t="shared" si="1013"/>
        <v>8.4966842253523564E-2</v>
      </c>
      <c r="I834" s="1">
        <f t="shared" si="1013"/>
        <v>1.2954557806807001</v>
      </c>
      <c r="J834" s="1">
        <f t="shared" si="1013"/>
        <v>0.79781648028425878</v>
      </c>
      <c r="K834" s="1">
        <f t="shared" si="1013"/>
        <v>0</v>
      </c>
      <c r="L834" s="1">
        <f t="shared" ref="L834:O834" si="1014">IFERROR(L793/L$792,0)*L$833</f>
        <v>0</v>
      </c>
      <c r="M834" s="1">
        <f t="shared" si="1014"/>
        <v>0</v>
      </c>
      <c r="N834" s="1">
        <f t="shared" si="1014"/>
        <v>4.4166497914096756E-3</v>
      </c>
      <c r="O834" s="1">
        <f t="shared" si="1014"/>
        <v>4.2984402393255782E-3</v>
      </c>
      <c r="P834" s="1">
        <f t="shared" ref="P834:Q842" si="1015">IFERROR(P793/P$792,0)*P$833</f>
        <v>0.35851961750450956</v>
      </c>
      <c r="Q834" s="1">
        <f t="shared" si="1015"/>
        <v>0.35740909699827966</v>
      </c>
      <c r="S834" s="3"/>
    </row>
    <row r="835" spans="2:19" x14ac:dyDescent="0.5">
      <c r="B835" s="5" t="str">
        <f t="shared" si="1008"/>
        <v>SPS1</v>
      </c>
      <c r="C835" s="5" t="str">
        <f t="shared" si="1009"/>
        <v>CH</v>
      </c>
      <c r="D835" t="s">
        <v>2047</v>
      </c>
      <c r="E835" t="s">
        <v>8</v>
      </c>
      <c r="F835" s="1">
        <f t="shared" ref="F835:K842" si="1016">IFERROR(F794/F$792,0)*F$833</f>
        <v>0.92696846763670837</v>
      </c>
      <c r="G835" s="1">
        <f t="shared" si="1016"/>
        <v>0.51424412450025236</v>
      </c>
      <c r="H835" s="1">
        <f t="shared" si="1016"/>
        <v>5.5031352043431778E-2</v>
      </c>
      <c r="I835" s="1">
        <f t="shared" si="1016"/>
        <v>0.38372184201338405</v>
      </c>
      <c r="J835" s="1">
        <f t="shared" si="1016"/>
        <v>0.33568648548572605</v>
      </c>
      <c r="K835" s="1">
        <f t="shared" si="1016"/>
        <v>0.71042329408759786</v>
      </c>
      <c r="L835" s="1">
        <f t="shared" ref="L835:O835" si="1017">IFERROR(L794/L$792,0)*L$833</f>
        <v>0.44750715427459725</v>
      </c>
      <c r="M835" s="1">
        <f t="shared" si="1017"/>
        <v>0.44398707502119761</v>
      </c>
      <c r="N835" s="1">
        <f t="shared" si="1017"/>
        <v>0.44370355946939638</v>
      </c>
      <c r="O835" s="1">
        <f t="shared" si="1017"/>
        <v>0.32476624648230473</v>
      </c>
      <c r="P835" s="1">
        <f t="shared" si="1015"/>
        <v>0.44298473701312902</v>
      </c>
      <c r="Q835" s="1">
        <f t="shared" si="1015"/>
        <v>0.44260537028943692</v>
      </c>
      <c r="S835" s="3"/>
    </row>
    <row r="836" spans="2:19" x14ac:dyDescent="0.5">
      <c r="B836" s="5" t="str">
        <f t="shared" si="1008"/>
        <v>SPS1</v>
      </c>
      <c r="C836" s="5" t="str">
        <f t="shared" si="1009"/>
        <v>CH</v>
      </c>
      <c r="D836" t="s">
        <v>2048</v>
      </c>
      <c r="E836" t="s">
        <v>8</v>
      </c>
      <c r="F836" s="1">
        <f t="shared" si="1016"/>
        <v>0</v>
      </c>
      <c r="G836" s="1">
        <f t="shared" si="1016"/>
        <v>0</v>
      </c>
      <c r="H836" s="1">
        <f t="shared" si="1016"/>
        <v>0</v>
      </c>
      <c r="I836" s="1">
        <f t="shared" si="1016"/>
        <v>0</v>
      </c>
      <c r="J836" s="1">
        <f t="shared" si="1016"/>
        <v>0</v>
      </c>
      <c r="K836" s="1">
        <f t="shared" si="1016"/>
        <v>1.857293740334109E-3</v>
      </c>
      <c r="L836" s="1">
        <f t="shared" ref="L836:O836" si="1018">IFERROR(L795/L$792,0)*L$833</f>
        <v>0.25874680261752542</v>
      </c>
      <c r="M836" s="1">
        <f t="shared" si="1018"/>
        <v>0.25671714494169745</v>
      </c>
      <c r="N836" s="1">
        <f t="shared" si="1018"/>
        <v>0.25654686106940255</v>
      </c>
      <c r="O836" s="1">
        <f t="shared" si="1018"/>
        <v>0.18778359660980412</v>
      </c>
      <c r="P836" s="1">
        <f t="shared" si="1015"/>
        <v>0.25613613626536824</v>
      </c>
      <c r="Q836" s="1">
        <f t="shared" si="1015"/>
        <v>0.25591418507703373</v>
      </c>
      <c r="S836" s="3"/>
    </row>
    <row r="837" spans="2:19" x14ac:dyDescent="0.5">
      <c r="B837" s="5" t="str">
        <f t="shared" si="1008"/>
        <v>SPS1</v>
      </c>
      <c r="C837" s="5" t="str">
        <f t="shared" si="1009"/>
        <v>CH</v>
      </c>
      <c r="D837" t="s">
        <v>2049</v>
      </c>
      <c r="E837" t="s">
        <v>8</v>
      </c>
      <c r="F837" s="1">
        <f t="shared" si="1016"/>
        <v>0</v>
      </c>
      <c r="G837" s="1">
        <f t="shared" si="1016"/>
        <v>0</v>
      </c>
      <c r="H837" s="1">
        <f t="shared" si="1016"/>
        <v>0</v>
      </c>
      <c r="I837" s="1">
        <f t="shared" si="1016"/>
        <v>5.8193509723612958E-5</v>
      </c>
      <c r="J837" s="1">
        <f t="shared" si="1016"/>
        <v>8.6297069561152971E-5</v>
      </c>
      <c r="K837" s="1">
        <f t="shared" si="1016"/>
        <v>7.1366970147791536E-4</v>
      </c>
      <c r="L837" s="1">
        <f t="shared" ref="L837:O837" si="1019">IFERROR(L796/L$792,0)*L$833</f>
        <v>4.8474023401900968E-4</v>
      </c>
      <c r="M837" s="1">
        <f t="shared" si="1019"/>
        <v>1.5245539612735647E-4</v>
      </c>
      <c r="N837" s="1">
        <f t="shared" si="1019"/>
        <v>2.6267584566729035E-4</v>
      </c>
      <c r="O837" s="1">
        <f t="shared" si="1019"/>
        <v>1.4564757217429912E-4</v>
      </c>
      <c r="P837" s="1">
        <f t="shared" si="1015"/>
        <v>1.4960162990067027E-4</v>
      </c>
      <c r="Q837" s="1">
        <f t="shared" si="1015"/>
        <v>1.3227122015610531E-4</v>
      </c>
      <c r="S837" s="3"/>
    </row>
    <row r="838" spans="2:19" x14ac:dyDescent="0.5">
      <c r="B838" s="5" t="str">
        <f t="shared" si="1008"/>
        <v>SPS1</v>
      </c>
      <c r="C838" s="5" t="str">
        <f t="shared" si="1009"/>
        <v>CH</v>
      </c>
      <c r="D838" t="s">
        <v>2050</v>
      </c>
      <c r="E838" t="s">
        <v>8</v>
      </c>
      <c r="F838" s="1">
        <f t="shared" si="1016"/>
        <v>2.3380376638082554</v>
      </c>
      <c r="G838" s="1">
        <f t="shared" si="1016"/>
        <v>1.9729123186821977</v>
      </c>
      <c r="H838" s="1">
        <f t="shared" si="1016"/>
        <v>2.3975260765441622</v>
      </c>
      <c r="I838" s="1">
        <f t="shared" si="1016"/>
        <v>2.2033810547236632</v>
      </c>
      <c r="J838" s="1">
        <f t="shared" si="1016"/>
        <v>1.824494620572422</v>
      </c>
      <c r="K838" s="1">
        <f t="shared" si="1016"/>
        <v>0.9379669658101738</v>
      </c>
      <c r="L838" s="1">
        <f t="shared" ref="L838:O838" si="1020">IFERROR(L797/L$792,0)*L$833</f>
        <v>2.5239253104859002E-4</v>
      </c>
      <c r="M838" s="1">
        <f t="shared" si="1020"/>
        <v>1.1255997082969028E-4</v>
      </c>
      <c r="N838" s="1">
        <f t="shared" si="1020"/>
        <v>1.4454642397286537E-4</v>
      </c>
      <c r="O838" s="1">
        <f t="shared" si="1020"/>
        <v>7.9300636383581455E-5</v>
      </c>
      <c r="P838" s="1">
        <f t="shared" si="1015"/>
        <v>1.3627670972130208E-4</v>
      </c>
      <c r="Q838" s="1">
        <f t="shared" si="1015"/>
        <v>5.8097001017715144E-5</v>
      </c>
      <c r="S838" s="3"/>
    </row>
    <row r="839" spans="2:19" x14ac:dyDescent="0.5">
      <c r="B839" s="5" t="str">
        <f t="shared" si="1008"/>
        <v>SPS1</v>
      </c>
      <c r="C839" s="5" t="str">
        <f t="shared" si="1009"/>
        <v>CH</v>
      </c>
      <c r="D839" t="s">
        <v>2051</v>
      </c>
      <c r="E839" t="s">
        <v>8</v>
      </c>
      <c r="F839" s="1">
        <f t="shared" si="1016"/>
        <v>0</v>
      </c>
      <c r="G839" s="1">
        <f t="shared" si="1016"/>
        <v>0</v>
      </c>
      <c r="H839" s="1">
        <f t="shared" si="1016"/>
        <v>0</v>
      </c>
      <c r="I839" s="1">
        <f t="shared" si="1016"/>
        <v>0</v>
      </c>
      <c r="J839" s="1">
        <f t="shared" si="1016"/>
        <v>0</v>
      </c>
      <c r="K839" s="1">
        <f t="shared" si="1016"/>
        <v>0.56084150690002055</v>
      </c>
      <c r="L839" s="1">
        <f t="shared" ref="L839:O839" si="1021">IFERROR(L798/L$792,0)*L$833</f>
        <v>2.3778058493744392</v>
      </c>
      <c r="M839" s="1">
        <f t="shared" si="1021"/>
        <v>1.9043713860891136</v>
      </c>
      <c r="N839" s="1">
        <f t="shared" si="1021"/>
        <v>1.9038663891075058</v>
      </c>
      <c r="O839" s="1">
        <f t="shared" si="1021"/>
        <v>1.9055208018307492</v>
      </c>
      <c r="P839" s="1">
        <f t="shared" si="1015"/>
        <v>1.9000371814841546</v>
      </c>
      <c r="Q839" s="1">
        <f t="shared" si="1015"/>
        <v>1.8983698549717172</v>
      </c>
      <c r="S839" s="3"/>
    </row>
    <row r="840" spans="2:19" x14ac:dyDescent="0.5">
      <c r="B840" s="5" t="str">
        <f t="shared" si="1008"/>
        <v>SPS1</v>
      </c>
      <c r="C840" s="5" t="str">
        <f t="shared" si="1009"/>
        <v>CH</v>
      </c>
      <c r="D840" t="s">
        <v>2052</v>
      </c>
      <c r="E840" t="s">
        <v>8</v>
      </c>
      <c r="F840" s="1">
        <f t="shared" si="1016"/>
        <v>0.79703192798209543</v>
      </c>
      <c r="G840" s="1">
        <f t="shared" si="1016"/>
        <v>0.88040748171736927</v>
      </c>
      <c r="H840" s="1">
        <f t="shared" si="1016"/>
        <v>3.1598940403549229</v>
      </c>
      <c r="I840" s="1">
        <f t="shared" si="1016"/>
        <v>3.3036632782635054</v>
      </c>
      <c r="J840" s="1">
        <f t="shared" si="1016"/>
        <v>3.157677703245755</v>
      </c>
      <c r="K840" s="1">
        <f t="shared" si="1016"/>
        <v>1.2660434974984556</v>
      </c>
      <c r="L840" s="1">
        <f t="shared" ref="L840:O840" si="1022">IFERROR(L799/L$792,0)*L$833</f>
        <v>0.4286892188293277</v>
      </c>
      <c r="M840" s="1">
        <f t="shared" si="1022"/>
        <v>6.6780633567069909E-4</v>
      </c>
      <c r="N840" s="1">
        <f t="shared" si="1022"/>
        <v>6.6805000975955699E-4</v>
      </c>
      <c r="O840" s="1">
        <f t="shared" si="1022"/>
        <v>1.0411796324989995E-3</v>
      </c>
      <c r="P840" s="1">
        <f t="shared" si="1015"/>
        <v>6.1051555201515272E-4</v>
      </c>
      <c r="Q840" s="1">
        <f t="shared" si="1015"/>
        <v>7.9728229644684446E-4</v>
      </c>
      <c r="S840" s="3"/>
    </row>
    <row r="841" spans="2:19" x14ac:dyDescent="0.5">
      <c r="B841" s="5" t="str">
        <f t="shared" si="1008"/>
        <v>SPS1</v>
      </c>
      <c r="C841" s="5" t="str">
        <f t="shared" si="1009"/>
        <v>CH</v>
      </c>
      <c r="D841" t="s">
        <v>2053</v>
      </c>
      <c r="E841" t="s">
        <v>8</v>
      </c>
      <c r="F841" s="1">
        <f t="shared" si="1016"/>
        <v>0</v>
      </c>
      <c r="G841" s="1">
        <f t="shared" si="1016"/>
        <v>0</v>
      </c>
      <c r="H841" s="1">
        <f t="shared" si="1016"/>
        <v>0</v>
      </c>
      <c r="I841" s="1">
        <f t="shared" si="1016"/>
        <v>0</v>
      </c>
      <c r="J841" s="1">
        <f t="shared" si="1016"/>
        <v>0</v>
      </c>
      <c r="K841" s="1">
        <f t="shared" si="1016"/>
        <v>3.2662820171585385</v>
      </c>
      <c r="L841" s="1">
        <f t="shared" ref="L841:O841" si="1023">IFERROR(L800/L$792,0)*L$833</f>
        <v>7.2338443300126229</v>
      </c>
      <c r="M841" s="1">
        <f t="shared" si="1023"/>
        <v>8.6034551072890366</v>
      </c>
      <c r="N841" s="1">
        <f t="shared" si="1023"/>
        <v>8.48883030142078</v>
      </c>
      <c r="O841" s="1">
        <f t="shared" si="1023"/>
        <v>8.6084845520811317</v>
      </c>
      <c r="P841" s="1">
        <f t="shared" si="1015"/>
        <v>8.5501367795073318</v>
      </c>
      <c r="Q841" s="1">
        <f t="shared" si="1015"/>
        <v>8.5760098268036433</v>
      </c>
      <c r="S841" s="3"/>
    </row>
    <row r="842" spans="2:19" x14ac:dyDescent="0.5">
      <c r="B842" s="5" t="str">
        <f t="shared" si="1008"/>
        <v>SPS1</v>
      </c>
      <c r="C842" s="5" t="str">
        <f t="shared" si="1009"/>
        <v>CH</v>
      </c>
      <c r="D842" t="s">
        <v>2054</v>
      </c>
      <c r="E842" t="s">
        <v>8</v>
      </c>
      <c r="F842" s="1">
        <f t="shared" si="1016"/>
        <v>0</v>
      </c>
      <c r="G842" s="1">
        <f t="shared" si="1016"/>
        <v>0</v>
      </c>
      <c r="H842" s="1">
        <f t="shared" si="1016"/>
        <v>0</v>
      </c>
      <c r="I842" s="1">
        <f t="shared" si="1016"/>
        <v>1.8890863305090185E-3</v>
      </c>
      <c r="J842" s="1">
        <f t="shared" si="1016"/>
        <v>0.42942500640353959</v>
      </c>
      <c r="K842" s="1">
        <f t="shared" si="1016"/>
        <v>1.9009188179823147</v>
      </c>
      <c r="L842" s="1">
        <f t="shared" ref="L842:O842" si="1024">IFERROR(L801/L$792,0)*L$833</f>
        <v>2.1281713158093756</v>
      </c>
      <c r="M842" s="1">
        <f t="shared" si="1024"/>
        <v>2.2936131893513503</v>
      </c>
      <c r="N842" s="1">
        <f t="shared" si="1024"/>
        <v>2.2931496788097179</v>
      </c>
      <c r="O842" s="1">
        <f t="shared" si="1024"/>
        <v>2.2949541954463855</v>
      </c>
      <c r="P842" s="1">
        <f t="shared" si="1015"/>
        <v>2.2884303182117764</v>
      </c>
      <c r="Q842" s="1">
        <f t="shared" si="1015"/>
        <v>2.2862969252666625</v>
      </c>
      <c r="S842" s="3"/>
    </row>
    <row r="843" spans="2:19" x14ac:dyDescent="0.5">
      <c r="B843" s="5" t="str">
        <f t="shared" si="1008"/>
        <v>SPS1</v>
      </c>
      <c r="C843" s="5" t="str">
        <f t="shared" si="1009"/>
        <v>CH</v>
      </c>
      <c r="D843" t="s">
        <v>2055</v>
      </c>
      <c r="E843" t="s">
        <v>8</v>
      </c>
      <c r="F843" s="1">
        <f>[1]Industry!B$63</f>
        <v>6.5822737826173769</v>
      </c>
      <c r="G843" s="1">
        <f>[1]Industry!C$63</f>
        <v>7.0678487981600799</v>
      </c>
      <c r="H843" s="1">
        <f>[1]Industry!D$63</f>
        <v>6.7321025700431658</v>
      </c>
      <c r="I843" s="1">
        <f>[1]Industry!E$63</f>
        <v>7.2569173670020559</v>
      </c>
      <c r="J843" s="1">
        <f>[1]Industry!F$63</f>
        <v>7.5096392999916945</v>
      </c>
      <c r="K843" s="1">
        <f>[1]Industry!G$63</f>
        <v>6.7282470727089096</v>
      </c>
      <c r="L843" s="1">
        <f>[1]Industry!H$63</f>
        <v>6.8293666713041059</v>
      </c>
      <c r="M843" s="1">
        <f>[1]Industry!I$63</f>
        <v>6.9285456602147342</v>
      </c>
      <c r="N843" s="1">
        <f>[1]Industry!J$63</f>
        <v>6.8672639875579335</v>
      </c>
      <c r="O843" s="1">
        <f>[1]Industry!K$63</f>
        <v>7.8731342628524636</v>
      </c>
      <c r="P843" s="1">
        <f>[1]Industry!L$63</f>
        <v>6.8302913666698002</v>
      </c>
      <c r="Q843" s="1">
        <f>[1]Industry!M$63</f>
        <v>6.8093567286094414</v>
      </c>
      <c r="S843" s="3"/>
    </row>
    <row r="844" spans="2:19" x14ac:dyDescent="0.5">
      <c r="B844" s="5" t="str">
        <f t="shared" si="1008"/>
        <v>SPS1</v>
      </c>
      <c r="C844" s="5" t="str">
        <f t="shared" si="1009"/>
        <v>CH</v>
      </c>
      <c r="D844" t="s">
        <v>2056</v>
      </c>
      <c r="E844" t="s">
        <v>8</v>
      </c>
      <c r="F844" s="1">
        <f>F845</f>
        <v>5.3111190699830884</v>
      </c>
      <c r="G844" s="1">
        <f t="shared" ref="G844:O844" si="1025">G845</f>
        <v>6.2669389681136023</v>
      </c>
      <c r="H844" s="1">
        <f t="shared" si="1025"/>
        <v>5.8302816561786273</v>
      </c>
      <c r="I844" s="1">
        <f t="shared" si="1025"/>
        <v>6.8144418864250076</v>
      </c>
      <c r="J844" s="1">
        <f t="shared" si="1025"/>
        <v>7.3023723079644451</v>
      </c>
      <c r="K844" s="1">
        <f t="shared" si="1025"/>
        <v>5.8385838123487206</v>
      </c>
      <c r="L844" s="1">
        <f t="shared" si="1025"/>
        <v>5.8653296218867785</v>
      </c>
      <c r="M844" s="1">
        <f t="shared" si="1025"/>
        <v>5.8896978194496317</v>
      </c>
      <c r="N844" s="1">
        <f t="shared" si="1025"/>
        <v>5.8316884879088837</v>
      </c>
      <c r="O844" s="1">
        <f t="shared" si="1025"/>
        <v>6.5020053237074693</v>
      </c>
      <c r="P844" s="1">
        <f>P845</f>
        <v>5.7984407033175041</v>
      </c>
      <c r="Q844" s="1">
        <f>Q845</f>
        <v>5.7789943700885607</v>
      </c>
      <c r="S844" s="3"/>
    </row>
    <row r="845" spans="2:19" x14ac:dyDescent="0.5">
      <c r="B845" s="5" t="str">
        <f t="shared" si="1008"/>
        <v>SPS1</v>
      </c>
      <c r="C845" s="5" t="str">
        <f t="shared" si="1009"/>
        <v>CH</v>
      </c>
      <c r="D845" t="s">
        <v>2057</v>
      </c>
      <c r="E845" t="s">
        <v>8</v>
      </c>
      <c r="F845" s="1">
        <f>[1]Industry!B$64</f>
        <v>5.3111190699830884</v>
      </c>
      <c r="G845" s="1">
        <f>[1]Industry!C$64</f>
        <v>6.2669389681136023</v>
      </c>
      <c r="H845" s="1">
        <f>[1]Industry!D$64</f>
        <v>5.8302816561786273</v>
      </c>
      <c r="I845" s="1">
        <f>[1]Industry!E$64</f>
        <v>6.8144418864250076</v>
      </c>
      <c r="J845" s="1">
        <f>[1]Industry!F$64</f>
        <v>7.3023723079644451</v>
      </c>
      <c r="K845" s="1">
        <f>[1]Industry!G$64</f>
        <v>5.8385838123487206</v>
      </c>
      <c r="L845" s="1">
        <f>[1]Industry!H$64</f>
        <v>5.8653296218867785</v>
      </c>
      <c r="M845" s="1">
        <f>[1]Industry!I$64</f>
        <v>5.8896978194496317</v>
      </c>
      <c r="N845" s="1">
        <f>[1]Industry!J$64</f>
        <v>5.8316884879088837</v>
      </c>
      <c r="O845" s="1">
        <f>[1]Industry!K$64</f>
        <v>6.5020053237074693</v>
      </c>
      <c r="P845" s="1">
        <f>[1]Industry!L$64</f>
        <v>5.7984407033175041</v>
      </c>
      <c r="Q845" s="1">
        <f>[1]Industry!M$64</f>
        <v>5.7789943700885607</v>
      </c>
      <c r="S845" s="3"/>
    </row>
    <row r="846" spans="2:19" x14ac:dyDescent="0.5">
      <c r="B846" s="5" t="str">
        <f t="shared" si="1008"/>
        <v>SPS1</v>
      </c>
      <c r="C846" s="5" t="str">
        <f t="shared" si="1009"/>
        <v>CH</v>
      </c>
      <c r="D846" t="s">
        <v>2058</v>
      </c>
      <c r="E846" t="s">
        <v>8</v>
      </c>
      <c r="F846" s="1">
        <f>F847</f>
        <v>0.46151837661242201</v>
      </c>
      <c r="G846" s="1">
        <f t="shared" ref="G846:O846" si="1026">G847</f>
        <v>0.54457506293519831</v>
      </c>
      <c r="H846" s="1">
        <f t="shared" si="1026"/>
        <v>0.54457534338132552</v>
      </c>
      <c r="I846" s="1">
        <f t="shared" si="1026"/>
        <v>0.54459932085929652</v>
      </c>
      <c r="J846" s="1">
        <f t="shared" si="1026"/>
        <v>0.54460141677465101</v>
      </c>
      <c r="K846" s="1">
        <f t="shared" si="1026"/>
        <v>0.54460327685755405</v>
      </c>
      <c r="L846" s="1">
        <f t="shared" si="1026"/>
        <v>0.54460653263532655</v>
      </c>
      <c r="M846" s="1">
        <f t="shared" si="1026"/>
        <v>0.54461961148379301</v>
      </c>
      <c r="N846" s="1">
        <f t="shared" si="1026"/>
        <v>0.54462418203018881</v>
      </c>
      <c r="O846" s="1">
        <f t="shared" si="1026"/>
        <v>0.54463050284310521</v>
      </c>
      <c r="P846" s="1">
        <f>P847</f>
        <v>0.54463725067709601</v>
      </c>
      <c r="Q846" s="1">
        <f>Q847</f>
        <v>0.54464473526490365</v>
      </c>
      <c r="S846" s="3"/>
    </row>
    <row r="847" spans="2:19" x14ac:dyDescent="0.5">
      <c r="B847" s="5" t="str">
        <f t="shared" si="1008"/>
        <v>SPS1</v>
      </c>
      <c r="C847" s="5" t="str">
        <f t="shared" si="1009"/>
        <v>CH</v>
      </c>
      <c r="D847" t="s">
        <v>2059</v>
      </c>
      <c r="E847" t="s">
        <v>8</v>
      </c>
      <c r="F847" s="1">
        <f>[1]Industry!B$65</f>
        <v>0.46151837661242201</v>
      </c>
      <c r="G847" s="1">
        <f>[1]Industry!C$65</f>
        <v>0.54457506293519831</v>
      </c>
      <c r="H847" s="1">
        <f>[1]Industry!D$65</f>
        <v>0.54457534338132552</v>
      </c>
      <c r="I847" s="1">
        <f>[1]Industry!E$65</f>
        <v>0.54459932085929652</v>
      </c>
      <c r="J847" s="1">
        <f>[1]Industry!F$65</f>
        <v>0.54460141677465101</v>
      </c>
      <c r="K847" s="1">
        <f>[1]Industry!G$65</f>
        <v>0.54460327685755405</v>
      </c>
      <c r="L847" s="1">
        <f>[1]Industry!H$65</f>
        <v>0.54460653263532655</v>
      </c>
      <c r="M847" s="1">
        <f>[1]Industry!I$65</f>
        <v>0.54461961148379301</v>
      </c>
      <c r="N847" s="1">
        <f>[1]Industry!J$65</f>
        <v>0.54462418203018881</v>
      </c>
      <c r="O847" s="1">
        <f>[1]Industry!K$65</f>
        <v>0.54463050284310521</v>
      </c>
      <c r="P847" s="1">
        <f>[1]Industry!L$65</f>
        <v>0.54463725067709601</v>
      </c>
      <c r="Q847" s="1">
        <f>[1]Industry!M$65</f>
        <v>0.54464473526490365</v>
      </c>
      <c r="S847" s="3"/>
    </row>
    <row r="848" spans="2:19" x14ac:dyDescent="0.5">
      <c r="B848" s="5" t="str">
        <f t="shared" si="1008"/>
        <v>SPS1</v>
      </c>
      <c r="C848" s="5" t="str">
        <f t="shared" si="1009"/>
        <v>CH</v>
      </c>
      <c r="D848" t="s">
        <v>2060</v>
      </c>
      <c r="E848" t="s">
        <v>8</v>
      </c>
      <c r="F848" s="1">
        <f>F849</f>
        <v>4.1173658723014723</v>
      </c>
      <c r="G848" s="1">
        <f t="shared" ref="G848:O848" si="1027">G849</f>
        <v>4.266316737020408</v>
      </c>
      <c r="H848" s="1">
        <f t="shared" si="1027"/>
        <v>2.9611644730867388</v>
      </c>
      <c r="I848" s="1">
        <f t="shared" si="1027"/>
        <v>2.9280926985193911</v>
      </c>
      <c r="J848" s="1">
        <f t="shared" si="1027"/>
        <v>2.8950245180013665</v>
      </c>
      <c r="K848" s="1">
        <f t="shared" si="1027"/>
        <v>2.8803925141178843</v>
      </c>
      <c r="L848" s="1">
        <f t="shared" si="1027"/>
        <v>1.4360528866444323E-3</v>
      </c>
      <c r="M848" s="1">
        <f t="shared" si="1027"/>
        <v>1.1428482317042267E-4</v>
      </c>
      <c r="N848" s="1">
        <f t="shared" si="1027"/>
        <v>3.7388108446473095E-4</v>
      </c>
      <c r="O848" s="1">
        <f t="shared" si="1027"/>
        <v>9.1875602204543946E-5</v>
      </c>
      <c r="P848" s="1">
        <f>P849</f>
        <v>1.3388352381306007E-4</v>
      </c>
      <c r="Q848" s="1">
        <f>Q849</f>
        <v>3.2455513947141057E-5</v>
      </c>
      <c r="S848" s="3"/>
    </row>
    <row r="849" spans="2:19" x14ac:dyDescent="0.5">
      <c r="B849" s="5" t="str">
        <f t="shared" si="1008"/>
        <v>SPS1</v>
      </c>
      <c r="C849" s="5" t="str">
        <f t="shared" si="1009"/>
        <v>CH</v>
      </c>
      <c r="D849" t="s">
        <v>2061</v>
      </c>
      <c r="E849" t="s">
        <v>8</v>
      </c>
      <c r="F849" s="1">
        <f>[1]Industry!B$66</f>
        <v>4.1173658723014723</v>
      </c>
      <c r="G849" s="1">
        <f>[1]Industry!C$66</f>
        <v>4.266316737020408</v>
      </c>
      <c r="H849" s="1">
        <f>[1]Industry!D$66</f>
        <v>2.9611644730867388</v>
      </c>
      <c r="I849" s="1">
        <f>[1]Industry!E$66</f>
        <v>2.9280926985193911</v>
      </c>
      <c r="J849" s="1">
        <f>[1]Industry!F$66</f>
        <v>2.8950245180013665</v>
      </c>
      <c r="K849" s="1">
        <f>[1]Industry!G$66</f>
        <v>2.8803925141178843</v>
      </c>
      <c r="L849" s="1">
        <f>[1]Industry!H$66</f>
        <v>1.4360528866444323E-3</v>
      </c>
      <c r="M849" s="1">
        <f>[1]Industry!I$66</f>
        <v>1.1428482317042267E-4</v>
      </c>
      <c r="N849" s="1">
        <f>[1]Industry!J$66</f>
        <v>3.7388108446473095E-4</v>
      </c>
      <c r="O849" s="1">
        <f>[1]Industry!K$66</f>
        <v>9.1875602204543946E-5</v>
      </c>
      <c r="P849" s="1">
        <f>[1]Industry!L$66</f>
        <v>1.3388352381306007E-4</v>
      </c>
      <c r="Q849" s="1">
        <f>[1]Industry!M$66</f>
        <v>3.2455513947141057E-5</v>
      </c>
      <c r="S849" s="3"/>
    </row>
    <row r="850" spans="2:19" x14ac:dyDescent="0.5">
      <c r="B850" s="5" t="str">
        <f t="shared" si="1008"/>
        <v>SPS1</v>
      </c>
      <c r="C850" s="5" t="str">
        <f t="shared" si="1009"/>
        <v>CH</v>
      </c>
      <c r="D850" t="s">
        <v>2062</v>
      </c>
      <c r="E850" t="s">
        <v>8</v>
      </c>
      <c r="F850" s="1">
        <f>F851</f>
        <v>6.763102136338818E-2</v>
      </c>
      <c r="G850" s="1">
        <f t="shared" ref="G850:O850" si="1028">G851</f>
        <v>8.5489922092106485E-2</v>
      </c>
      <c r="H850" s="1">
        <f t="shared" si="1028"/>
        <v>8.5039318044007689E-2</v>
      </c>
      <c r="I850" s="1">
        <f t="shared" si="1028"/>
        <v>8.5631529493535793E-2</v>
      </c>
      <c r="J850" s="1">
        <f t="shared" si="1028"/>
        <v>8.5635101547188536E-2</v>
      </c>
      <c r="K850" s="1">
        <f t="shared" si="1028"/>
        <v>5.5212067788736593E-2</v>
      </c>
      <c r="L850" s="1">
        <f t="shared" si="1028"/>
        <v>5.4127912501083578E-2</v>
      </c>
      <c r="M850" s="1">
        <f t="shared" si="1028"/>
        <v>5.3374174123445597E-2</v>
      </c>
      <c r="N850" s="1">
        <f t="shared" si="1028"/>
        <v>5.3231676925598694E-2</v>
      </c>
      <c r="O850" s="1">
        <f t="shared" si="1028"/>
        <v>5.3102599365798697E-2</v>
      </c>
      <c r="P850" s="1">
        <f>P851</f>
        <v>9.55974943051883E-3</v>
      </c>
      <c r="Q850" s="1">
        <f>Q851</f>
        <v>3.7563599263686683E-4</v>
      </c>
      <c r="S850" s="3"/>
    </row>
    <row r="851" spans="2:19" x14ac:dyDescent="0.5">
      <c r="B851" s="5" t="str">
        <f t="shared" si="1008"/>
        <v>SPS1</v>
      </c>
      <c r="C851" s="5" t="str">
        <f t="shared" si="1009"/>
        <v>CH</v>
      </c>
      <c r="D851" t="s">
        <v>2063</v>
      </c>
      <c r="E851" t="s">
        <v>8</v>
      </c>
      <c r="F851" s="1">
        <f>[1]Industry!B$67</f>
        <v>6.763102136338818E-2</v>
      </c>
      <c r="G851" s="1">
        <f>[1]Industry!C$67</f>
        <v>8.5489922092106485E-2</v>
      </c>
      <c r="H851" s="1">
        <f>[1]Industry!D$67</f>
        <v>8.5039318044007689E-2</v>
      </c>
      <c r="I851" s="1">
        <f>[1]Industry!E$67</f>
        <v>8.5631529493535793E-2</v>
      </c>
      <c r="J851" s="1">
        <f>[1]Industry!F$67</f>
        <v>8.5635101547188536E-2</v>
      </c>
      <c r="K851" s="1">
        <f>[1]Industry!G$67</f>
        <v>5.5212067788736593E-2</v>
      </c>
      <c r="L851" s="1">
        <f>[1]Industry!H$67</f>
        <v>5.4127912501083578E-2</v>
      </c>
      <c r="M851" s="1">
        <f>[1]Industry!I$67</f>
        <v>5.3374174123445597E-2</v>
      </c>
      <c r="N851" s="1">
        <f>[1]Industry!J$67</f>
        <v>5.3231676925598694E-2</v>
      </c>
      <c r="O851" s="1">
        <f>[1]Industry!K$67</f>
        <v>5.3102599365798697E-2</v>
      </c>
      <c r="P851" s="1">
        <f>[1]Industry!L$67</f>
        <v>9.55974943051883E-3</v>
      </c>
      <c r="Q851" s="1">
        <f>[1]Industry!M$67</f>
        <v>3.7563599263686683E-4</v>
      </c>
      <c r="S851" s="3"/>
    </row>
    <row r="852" spans="2:19" x14ac:dyDescent="0.5">
      <c r="B852" s="5" t="str">
        <f t="shared" si="1008"/>
        <v>SPS1</v>
      </c>
      <c r="C852" s="5" t="str">
        <f t="shared" si="1009"/>
        <v>CH</v>
      </c>
      <c r="D852" t="s">
        <v>2064</v>
      </c>
      <c r="E852" t="s">
        <v>8</v>
      </c>
      <c r="F852" s="1">
        <f>F853</f>
        <v>0</v>
      </c>
      <c r="G852" s="1">
        <f t="shared" ref="G852:O852" si="1029">G853</f>
        <v>0</v>
      </c>
      <c r="H852" s="1">
        <f t="shared" si="1029"/>
        <v>0</v>
      </c>
      <c r="I852" s="1">
        <f t="shared" si="1029"/>
        <v>1.9257274867104688E-2</v>
      </c>
      <c r="J852" s="1">
        <f t="shared" si="1029"/>
        <v>8.1231534416669717</v>
      </c>
      <c r="K852" s="1">
        <f t="shared" si="1029"/>
        <v>8.1231533757630068</v>
      </c>
      <c r="L852" s="1">
        <f t="shared" si="1029"/>
        <v>8.1231562394434871</v>
      </c>
      <c r="M852" s="1">
        <f t="shared" si="1029"/>
        <v>14.562201813130669</v>
      </c>
      <c r="N852" s="1">
        <f t="shared" si="1029"/>
        <v>14.689228598308063</v>
      </c>
      <c r="O852" s="1">
        <f t="shared" si="1029"/>
        <v>14.689233518550893</v>
      </c>
      <c r="P852" s="1">
        <f>P853</f>
        <v>14.68922506720785</v>
      </c>
      <c r="Q852" s="1">
        <f>Q853</f>
        <v>14.689227867192967</v>
      </c>
      <c r="S852" s="3"/>
    </row>
    <row r="853" spans="2:19" x14ac:dyDescent="0.5">
      <c r="B853" s="5" t="str">
        <f t="shared" si="1008"/>
        <v>SPS1</v>
      </c>
      <c r="C853" s="5" t="str">
        <f t="shared" si="1009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1.9257274867104688E-2</v>
      </c>
      <c r="J853" s="1">
        <f>[1]Industry!F$69</f>
        <v>8.1231534416669717</v>
      </c>
      <c r="K853" s="1">
        <f>[1]Industry!G$69</f>
        <v>8.1231533757630068</v>
      </c>
      <c r="L853" s="1">
        <f>[1]Industry!H$69</f>
        <v>8.1231562394434871</v>
      </c>
      <c r="M853" s="1">
        <f>[1]Industry!I$69</f>
        <v>14.562201813130669</v>
      </c>
      <c r="N853" s="1">
        <f>[1]Industry!J$69</f>
        <v>14.689228598308063</v>
      </c>
      <c r="O853" s="1">
        <f>[1]Industry!K$69</f>
        <v>14.689233518550893</v>
      </c>
      <c r="P853" s="1">
        <f>[1]Industry!L$69</f>
        <v>14.68922506720785</v>
      </c>
      <c r="Q853" s="1">
        <f>[1]Industry!M$69</f>
        <v>14.689227867192967</v>
      </c>
      <c r="S853" s="3"/>
    </row>
    <row r="854" spans="2:19" x14ac:dyDescent="0.5">
      <c r="B854" s="5" t="str">
        <f t="shared" si="1008"/>
        <v>SPS1</v>
      </c>
      <c r="C854" s="5" t="str">
        <f t="shared" si="1009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1030">SUM(G855:G856)</f>
        <v>4.8941907885929172</v>
      </c>
      <c r="H854" s="1">
        <f t="shared" si="1030"/>
        <v>4.8941929229321683</v>
      </c>
      <c r="I854" s="1">
        <f t="shared" si="1030"/>
        <v>5.5820176976596629</v>
      </c>
      <c r="J854" s="1">
        <f t="shared" si="1030"/>
        <v>7.8376037322008409</v>
      </c>
      <c r="K854" s="1">
        <f t="shared" si="1030"/>
        <v>7.9524988583903724</v>
      </c>
      <c r="L854" s="1">
        <f t="shared" ref="L854:O854" si="1031">SUM(L855:L856)</f>
        <v>8.0213130330209523</v>
      </c>
      <c r="M854" s="1">
        <f t="shared" si="1031"/>
        <v>8.0526064629846079</v>
      </c>
      <c r="N854" s="1">
        <f t="shared" si="1031"/>
        <v>8.0525492499518236</v>
      </c>
      <c r="O854" s="1">
        <f t="shared" si="1031"/>
        <v>8.0526395313448731</v>
      </c>
      <c r="P854" s="1">
        <f>SUM(P855:P856)</f>
        <v>8.052571078578012</v>
      </c>
      <c r="Q854" s="1">
        <f>SUM(Q855:Q856)</f>
        <v>8.0526830496584871</v>
      </c>
      <c r="S854" s="3"/>
    </row>
    <row r="855" spans="2:19" x14ac:dyDescent="0.5">
      <c r="B855" s="5" t="str">
        <f t="shared" si="1008"/>
        <v>SPS1</v>
      </c>
      <c r="C855" s="5" t="str">
        <f t="shared" si="1009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0.8505939954129218</v>
      </c>
      <c r="H855" s="1">
        <f>[1]Industry!D$6-H856</f>
        <v>0.85059436635394636</v>
      </c>
      <c r="I855" s="1">
        <f>[1]Industry!E$6-I856</f>
        <v>0.9702408679889265</v>
      </c>
      <c r="J855" s="1">
        <f>[1]Industry!F$6-J856</f>
        <v>1.8539721360378563</v>
      </c>
      <c r="K855" s="1">
        <f>[1]Industry!G$6-K856</f>
        <v>1.9688557453766036</v>
      </c>
      <c r="L855" s="1">
        <f>[1]Industry!H$6-L856</f>
        <v>2.0376443729830429</v>
      </c>
      <c r="M855" s="1">
        <f>[1]Industry!I$6-M856</f>
        <v>2.0420907594641671</v>
      </c>
      <c r="N855" s="1">
        <f>[1]Industry!J$6-N856</f>
        <v>1.9426587861879874</v>
      </c>
      <c r="O855" s="1">
        <f>[1]Industry!K$6-O856</f>
        <v>1.8729577021859951</v>
      </c>
      <c r="P855" s="1">
        <f>[1]Industry!L$6-P856</f>
        <v>1.8729528207919852</v>
      </c>
      <c r="Q855" s="1">
        <f>[1]Industry!M$6-Q856</f>
        <v>1.8730006625761551</v>
      </c>
      <c r="S855" s="3"/>
    </row>
    <row r="856" spans="2:19" x14ac:dyDescent="0.5">
      <c r="B856" s="5" t="str">
        <f t="shared" si="1008"/>
        <v>SPS1</v>
      </c>
      <c r="C856" s="5" t="str">
        <f t="shared" si="1009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4.0435967931799954</v>
      </c>
      <c r="H856" s="1">
        <f>[1]Industry!D$70</f>
        <v>4.043598556578222</v>
      </c>
      <c r="I856" s="1">
        <f>[1]Industry!E$70</f>
        <v>4.6117768296707364</v>
      </c>
      <c r="J856" s="1">
        <f>[1]Industry!F$70</f>
        <v>5.9836315961629847</v>
      </c>
      <c r="K856" s="1">
        <f>[1]Industry!G$70</f>
        <v>5.9836431130137688</v>
      </c>
      <c r="L856" s="1">
        <f>[1]Industry!H$70</f>
        <v>5.9836686600379094</v>
      </c>
      <c r="M856" s="1">
        <f>[1]Industry!I$70</f>
        <v>6.0105157035204408</v>
      </c>
      <c r="N856" s="1">
        <f>[1]Industry!J$70</f>
        <v>6.1098904637638363</v>
      </c>
      <c r="O856" s="1">
        <f>[1]Industry!K$70</f>
        <v>6.179681829158878</v>
      </c>
      <c r="P856" s="1">
        <f>[1]Industry!L$70</f>
        <v>6.1796182577860268</v>
      </c>
      <c r="Q856" s="1">
        <f>[1]Industry!M$70</f>
        <v>6.1796823870823321</v>
      </c>
      <c r="S856" s="3"/>
    </row>
    <row r="857" spans="2:19" x14ac:dyDescent="0.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M857" s="1" t="s">
        <v>292</v>
      </c>
      <c r="N857" s="1" t="s">
        <v>292</v>
      </c>
      <c r="O857" s="1" t="s">
        <v>292</v>
      </c>
      <c r="P857" s="1" t="s">
        <v>292</v>
      </c>
      <c r="Q857" s="1" t="s">
        <v>292</v>
      </c>
      <c r="S857" s="3"/>
    </row>
    <row r="858" spans="2:19" x14ac:dyDescent="0.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0.84261542941328371</v>
      </c>
      <c r="G858" s="4">
        <f t="shared" ref="G858:K858" si="1032">IFERROR(G820/G765,"-")</f>
        <v>0.84306236513985211</v>
      </c>
      <c r="H858" s="4">
        <f t="shared" si="1032"/>
        <v>0.84373276872970593</v>
      </c>
      <c r="I858" s="4">
        <f t="shared" si="1032"/>
        <v>0.84485010804612992</v>
      </c>
      <c r="J858" s="4">
        <f t="shared" si="1032"/>
        <v>0.84596744736255269</v>
      </c>
      <c r="K858" s="4">
        <f t="shared" si="1032"/>
        <v>0.84708478667897602</v>
      </c>
      <c r="L858" s="4">
        <f t="shared" ref="L858:O858" si="1033">IFERROR(L820/L765,"-")</f>
        <v>0.84820212599540079</v>
      </c>
      <c r="M858" s="4">
        <f t="shared" si="1033"/>
        <v>0.84931946531182212</v>
      </c>
      <c r="N858" s="4">
        <f t="shared" si="1033"/>
        <v>0.84931946531182301</v>
      </c>
      <c r="O858" s="4">
        <f t="shared" si="1033"/>
        <v>0.84931946531182223</v>
      </c>
      <c r="P858" s="4">
        <f t="shared" ref="P858:Q860" si="1034">IFERROR(P820/P765,"-")</f>
        <v>0.84931946531182356</v>
      </c>
      <c r="Q858" s="4">
        <f t="shared" si="1034"/>
        <v>0.84931946531182256</v>
      </c>
      <c r="S858" s="3"/>
    </row>
    <row r="859" spans="2:19" x14ac:dyDescent="0.5">
      <c r="B859" s="5" t="str">
        <f t="shared" ref="B859:B881" si="1035">B858</f>
        <v>SPS1</v>
      </c>
      <c r="C859" s="5" t="str">
        <f t="shared" ref="C859:C881" si="1036">C858</f>
        <v>CH</v>
      </c>
      <c r="D859" t="s">
        <v>2070</v>
      </c>
      <c r="E859" t="s">
        <v>240</v>
      </c>
      <c r="F859" s="4">
        <f t="shared" ref="F859:K859" si="1037">IFERROR(F821/F766,"-")</f>
        <v>3.0809801822513321</v>
      </c>
      <c r="G859" s="4">
        <f t="shared" si="1037"/>
        <v>3.1055374774069118</v>
      </c>
      <c r="H859" s="4">
        <f t="shared" si="1037"/>
        <v>3.1423734201402898</v>
      </c>
      <c r="I859" s="4">
        <f t="shared" si="1037"/>
        <v>3.2037666580292519</v>
      </c>
      <c r="J859" s="4">
        <f t="shared" si="1037"/>
        <v>3.265159895918214</v>
      </c>
      <c r="K859" s="4">
        <f t="shared" si="1037"/>
        <v>3.3265531338071712</v>
      </c>
      <c r="L859" s="4">
        <f t="shared" ref="L859:O859" si="1038">IFERROR(L821/L766,"-")</f>
        <v>3.3879463716961316</v>
      </c>
      <c r="M859" s="4">
        <f t="shared" si="1038"/>
        <v>3.4493396095850901</v>
      </c>
      <c r="N859" s="4">
        <f t="shared" si="1038"/>
        <v>3.4493396095850892</v>
      </c>
      <c r="O859" s="4">
        <f t="shared" si="1038"/>
        <v>3.4493396095850937</v>
      </c>
      <c r="P859" s="4">
        <f t="shared" si="1034"/>
        <v>3.4493396095850932</v>
      </c>
      <c r="Q859" s="4">
        <f t="shared" si="1034"/>
        <v>3.449339609585087</v>
      </c>
      <c r="S859" s="3"/>
    </row>
    <row r="860" spans="2:19" x14ac:dyDescent="0.5">
      <c r="B860" s="5" t="str">
        <f t="shared" si="1035"/>
        <v>SPS1</v>
      </c>
      <c r="C860" s="5" t="str">
        <f t="shared" si="1036"/>
        <v>CH</v>
      </c>
      <c r="D860" t="s">
        <v>2071</v>
      </c>
      <c r="E860" t="s">
        <v>240</v>
      </c>
      <c r="F860" s="4">
        <f t="shared" ref="F860:K860" si="1039">IFERROR(F822/F767,"-")</f>
        <v>1</v>
      </c>
      <c r="G860" s="4">
        <f t="shared" si="1039"/>
        <v>0.99999999602156164</v>
      </c>
      <c r="H860" s="4">
        <f t="shared" si="1039"/>
        <v>0.99999999595397837</v>
      </c>
      <c r="I860" s="4">
        <f t="shared" si="1039"/>
        <v>1.000000449176907</v>
      </c>
      <c r="J860" s="4">
        <f t="shared" si="1039"/>
        <v>1.0000014315261549</v>
      </c>
      <c r="K860" s="4">
        <f t="shared" si="1039"/>
        <v>1.000001760780804</v>
      </c>
      <c r="L860" s="4">
        <f t="shared" ref="L860:O860" si="1040">IFERROR(L822/L767,"-")</f>
        <v>0.96216556795098196</v>
      </c>
      <c r="M860" s="4">
        <f t="shared" si="1040"/>
        <v>0.96348919968077851</v>
      </c>
      <c r="N860" s="4">
        <f t="shared" si="1040"/>
        <v>0.96402208376924481</v>
      </c>
      <c r="O860" s="4">
        <f t="shared" si="1040"/>
        <v>0.96501417340602413</v>
      </c>
      <c r="P860" s="4">
        <f t="shared" si="1034"/>
        <v>0.96390878612812392</v>
      </c>
      <c r="Q860" s="4">
        <f t="shared" si="1034"/>
        <v>0.96284855342886355</v>
      </c>
      <c r="S860" s="3"/>
    </row>
    <row r="861" spans="2:19" x14ac:dyDescent="0.5">
      <c r="B861" s="5" t="str">
        <f t="shared" si="1035"/>
        <v>SPS1</v>
      </c>
      <c r="C861" s="5" t="str">
        <f t="shared" si="1036"/>
        <v>CH</v>
      </c>
      <c r="D861" t="s">
        <v>2072</v>
      </c>
      <c r="E861" t="s">
        <v>240</v>
      </c>
      <c r="F861" s="4">
        <f>IFERROR(F824/F769,"-")</f>
        <v>0.77746213224363492</v>
      </c>
      <c r="G861" s="4">
        <f t="shared" ref="G861:K862" si="1041">IFERROR(G824/G769,"-")</f>
        <v>0.77871988564932249</v>
      </c>
      <c r="H861" s="4">
        <f t="shared" si="1041"/>
        <v>0.78060651575785589</v>
      </c>
      <c r="I861" s="4">
        <f t="shared" si="1041"/>
        <v>0.78375089927207764</v>
      </c>
      <c r="J861" s="4">
        <f t="shared" si="1041"/>
        <v>0.78689528278629794</v>
      </c>
      <c r="K861" s="4">
        <f t="shared" si="1041"/>
        <v>0.79003966630051903</v>
      </c>
      <c r="L861" s="4">
        <f t="shared" ref="L861:O861" si="1042">IFERROR(L824/L769,"-")</f>
        <v>0.79318404981474022</v>
      </c>
      <c r="M861" s="4">
        <f t="shared" si="1042"/>
        <v>0.7963284333289613</v>
      </c>
      <c r="N861" s="4">
        <f t="shared" si="1042"/>
        <v>0.79632843332896086</v>
      </c>
      <c r="O861" s="4">
        <f t="shared" si="1042"/>
        <v>0.79632843332896142</v>
      </c>
      <c r="P861" s="4">
        <f>IFERROR(P824/P769,"-")</f>
        <v>0.79632843332896108</v>
      </c>
      <c r="Q861" s="4">
        <f>IFERROR(Q824/Q769,"-")</f>
        <v>0.79632843332896086</v>
      </c>
      <c r="S861" s="3"/>
    </row>
    <row r="862" spans="2:19" x14ac:dyDescent="0.5">
      <c r="B862" s="5" t="str">
        <f t="shared" si="1035"/>
        <v>SPS1</v>
      </c>
      <c r="C862" s="5" t="str">
        <f t="shared" si="1036"/>
        <v>CH</v>
      </c>
      <c r="D862" t="s">
        <v>2073</v>
      </c>
      <c r="E862" t="s">
        <v>240</v>
      </c>
      <c r="F862" s="4">
        <f>IFERROR(F825/F770,"-")</f>
        <v>0.6761250000000002</v>
      </c>
      <c r="G862" s="4">
        <f t="shared" si="1041"/>
        <v>0.67904999999999993</v>
      </c>
      <c r="H862" s="4">
        <f t="shared" si="1041"/>
        <v>0.68343749999999981</v>
      </c>
      <c r="I862" s="4">
        <f t="shared" si="1041"/>
        <v>0.69075000000000031</v>
      </c>
      <c r="J862" s="4">
        <f t="shared" si="1041"/>
        <v>0.6980624999999997</v>
      </c>
      <c r="K862" s="4">
        <f t="shared" si="1041"/>
        <v>0.7053749999999992</v>
      </c>
      <c r="L862" s="4">
        <f t="shared" ref="L862:O862" si="1043">IFERROR(L825/L770,"-")</f>
        <v>0.71268750000000003</v>
      </c>
      <c r="M862" s="4" t="str">
        <f t="shared" si="1043"/>
        <v>-</v>
      </c>
      <c r="N862" s="4" t="str">
        <f t="shared" si="1043"/>
        <v>-</v>
      </c>
      <c r="O862" s="4" t="str">
        <f t="shared" si="1043"/>
        <v>-</v>
      </c>
      <c r="P862" s="4" t="str">
        <f>IFERROR(P825/P770,"-")</f>
        <v>-</v>
      </c>
      <c r="Q862" s="4" t="str">
        <f>IFERROR(Q825/Q770,"-")</f>
        <v>-</v>
      </c>
      <c r="S862" s="3"/>
    </row>
    <row r="863" spans="2:19" x14ac:dyDescent="0.5">
      <c r="B863" s="5" t="str">
        <f t="shared" si="1035"/>
        <v>SPS1</v>
      </c>
      <c r="C863" s="5" t="str">
        <f t="shared" si="1036"/>
        <v>CH</v>
      </c>
      <c r="D863" t="s">
        <v>2074</v>
      </c>
      <c r="E863" t="s">
        <v>240</v>
      </c>
      <c r="F863" s="4">
        <f>IFERROR(F827/F779,"-")</f>
        <v>0.80501396395710012</v>
      </c>
      <c r="G863" s="4">
        <f t="shared" ref="G863:K865" si="1044">IFERROR(G827/G779,"-")</f>
        <v>0.81741261229403828</v>
      </c>
      <c r="H863" s="4">
        <f t="shared" si="1044"/>
        <v>0.81655763174039386</v>
      </c>
      <c r="I863" s="4">
        <f t="shared" si="1044"/>
        <v>0.82112590918486972</v>
      </c>
      <c r="J863" s="4">
        <f t="shared" si="1044"/>
        <v>0.83913312954379882</v>
      </c>
      <c r="K863" s="4">
        <f t="shared" si="1044"/>
        <v>0.81341241838339984</v>
      </c>
      <c r="L863" s="4">
        <f t="shared" ref="L863:O863" si="1045">IFERROR(L827/L779,"-")</f>
        <v>0.80550435012655819</v>
      </c>
      <c r="M863" s="4">
        <f t="shared" si="1045"/>
        <v>0.64218193512126098</v>
      </c>
      <c r="N863" s="4">
        <f t="shared" si="1045"/>
        <v>0.75338236993480401</v>
      </c>
      <c r="O863" s="4">
        <f t="shared" si="1045"/>
        <v>0.8341124754627065</v>
      </c>
      <c r="P863" s="4">
        <f t="shared" ref="P863:Q865" si="1046">IFERROR(P827/P779,"-")</f>
        <v>0.82807418878024674</v>
      </c>
      <c r="Q863" s="4">
        <f t="shared" si="1046"/>
        <v>0.82672681864407804</v>
      </c>
      <c r="S863" s="3"/>
    </row>
    <row r="864" spans="2:19" x14ac:dyDescent="0.5">
      <c r="B864" s="5" t="str">
        <f t="shared" si="1035"/>
        <v>SPS1</v>
      </c>
      <c r="C864" s="5" t="str">
        <f t="shared" si="1036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1044"/>
        <v>0</v>
      </c>
      <c r="H864" s="4">
        <f t="shared" si="1044"/>
        <v>6.2128181707404228E-3</v>
      </c>
      <c r="I864" s="4">
        <f t="shared" si="1044"/>
        <v>3.0665072870965904E-3</v>
      </c>
      <c r="J864" s="4">
        <f t="shared" si="1044"/>
        <v>1.5809705724722838E-2</v>
      </c>
      <c r="K864" s="4">
        <f t="shared" si="1044"/>
        <v>103.01905913939085</v>
      </c>
      <c r="L864" s="4">
        <f t="shared" ref="L864:O864" si="1047">IFERROR(L828/L780,"-")</f>
        <v>101.77664311802177</v>
      </c>
      <c r="M864" s="4">
        <f t="shared" si="1047"/>
        <v>91.417202993078902</v>
      </c>
      <c r="N864" s="4" t="str">
        <f t="shared" si="1047"/>
        <v>-</v>
      </c>
      <c r="O864" s="4" t="str">
        <f t="shared" si="1047"/>
        <v>-</v>
      </c>
      <c r="P864" s="4" t="str">
        <f t="shared" si="1046"/>
        <v>-</v>
      </c>
      <c r="Q864" s="4" t="str">
        <f t="shared" si="1046"/>
        <v>-</v>
      </c>
      <c r="S864" s="3"/>
    </row>
    <row r="865" spans="2:19" x14ac:dyDescent="0.5">
      <c r="B865" s="5" t="str">
        <f t="shared" si="1035"/>
        <v>SPS1</v>
      </c>
      <c r="C865" s="5" t="str">
        <f t="shared" si="1036"/>
        <v>CH</v>
      </c>
      <c r="D865" t="s">
        <v>2076</v>
      </c>
      <c r="E865" t="s">
        <v>240</v>
      </c>
      <c r="F865" s="4">
        <f>IFERROR(F829/F781,"-")</f>
        <v>0.71023632386285418</v>
      </c>
      <c r="G865" s="4">
        <f t="shared" si="1044"/>
        <v>0.40075828511411737</v>
      </c>
      <c r="H865" s="4">
        <f t="shared" si="1044"/>
        <v>0.61827761036290085</v>
      </c>
      <c r="I865" s="4">
        <f t="shared" si="1044"/>
        <v>0.67124278084567435</v>
      </c>
      <c r="J865" s="4">
        <f t="shared" si="1044"/>
        <v>0.70436062486508777</v>
      </c>
      <c r="K865" s="4">
        <f t="shared" si="1044"/>
        <v>0.71004762353697148</v>
      </c>
      <c r="L865" s="4">
        <f t="shared" ref="L865:O865" si="1048">IFERROR(L829/L781,"-")</f>
        <v>0.71454171806523881</v>
      </c>
      <c r="M865" s="4">
        <f t="shared" si="1048"/>
        <v>0.7190358481958079</v>
      </c>
      <c r="N865" s="4">
        <f t="shared" si="1048"/>
        <v>0.71999999999999986</v>
      </c>
      <c r="O865" s="4">
        <f t="shared" si="1048"/>
        <v>0.71999999999999975</v>
      </c>
      <c r="P865" s="4">
        <f t="shared" si="1046"/>
        <v>0.72000000000000008</v>
      </c>
      <c r="Q865" s="4">
        <f t="shared" si="1046"/>
        <v>0.72000000000000008</v>
      </c>
      <c r="S865" s="3"/>
    </row>
    <row r="866" spans="2:19" x14ac:dyDescent="0.5">
      <c r="B866" s="5" t="str">
        <f t="shared" si="1035"/>
        <v>SPS1</v>
      </c>
      <c r="C866" s="5" t="str">
        <f t="shared" si="1036"/>
        <v>CH</v>
      </c>
      <c r="D866" t="s">
        <v>2077</v>
      </c>
      <c r="E866" t="s">
        <v>240</v>
      </c>
      <c r="F866" s="4">
        <f>IFERROR(F831/F790,"-")</f>
        <v>0.6650000000000007</v>
      </c>
      <c r="G866" s="4">
        <f t="shared" ref="G866:K866" si="1049">IFERROR(G831/G790,"-")</f>
        <v>0.66600000000000037</v>
      </c>
      <c r="H866" s="4">
        <f t="shared" si="1049"/>
        <v>0.66749999999999965</v>
      </c>
      <c r="I866" s="4">
        <f t="shared" si="1049"/>
        <v>0.67000000000000071</v>
      </c>
      <c r="J866" s="4">
        <f t="shared" si="1049"/>
        <v>0.6725000000000001</v>
      </c>
      <c r="K866" s="4">
        <f t="shared" si="1049"/>
        <v>0.6749999999999996</v>
      </c>
      <c r="L866" s="4">
        <f t="shared" ref="L866:O866" si="1050">IFERROR(L831/L790,"-")</f>
        <v>0.67750000000000021</v>
      </c>
      <c r="M866" s="4">
        <f t="shared" si="1050"/>
        <v>0.68000000000000038</v>
      </c>
      <c r="N866" s="4">
        <f t="shared" si="1050"/>
        <v>0.67999999999999983</v>
      </c>
      <c r="O866" s="4">
        <f t="shared" si="1050"/>
        <v>0.68000000000000016</v>
      </c>
      <c r="P866" s="4">
        <f>IFERROR(P831/P790,"-")</f>
        <v>0.68000000000000049</v>
      </c>
      <c r="Q866" s="4">
        <f>IFERROR(Q831/Q790,"-")</f>
        <v>0.68000000000000049</v>
      </c>
      <c r="S866" s="3"/>
    </row>
    <row r="867" spans="2:19" x14ac:dyDescent="0.5">
      <c r="B867" s="5" t="str">
        <f t="shared" si="1035"/>
        <v>SPS1</v>
      </c>
      <c r="C867" s="5" t="str">
        <f t="shared" si="1036"/>
        <v>CH</v>
      </c>
      <c r="D867" t="s">
        <v>2078</v>
      </c>
      <c r="E867" t="s">
        <v>240</v>
      </c>
      <c r="F867" s="4">
        <f>IFERROR(F834/F793,"-")</f>
        <v>1.2084192202110962</v>
      </c>
      <c r="G867" s="4">
        <f t="shared" ref="G867:K867" si="1051">IFERROR(G834/G793,"-")</f>
        <v>1.0614098573720032</v>
      </c>
      <c r="H867" s="4">
        <f t="shared" si="1051"/>
        <v>0.94010094356981366</v>
      </c>
      <c r="I867" s="4">
        <f t="shared" si="1051"/>
        <v>0.98219235145133632</v>
      </c>
      <c r="J867" s="4">
        <f t="shared" si="1051"/>
        <v>0.93917125223145226</v>
      </c>
      <c r="K867" s="4" t="str">
        <f t="shared" si="1051"/>
        <v>-</v>
      </c>
      <c r="L867" s="4" t="str">
        <f t="shared" ref="L867:O867" si="1052">IFERROR(L834/L793,"-")</f>
        <v>-</v>
      </c>
      <c r="M867" s="4" t="str">
        <f t="shared" si="1052"/>
        <v>-</v>
      </c>
      <c r="N867" s="4">
        <f t="shared" si="1052"/>
        <v>0.94662273014100118</v>
      </c>
      <c r="O867" s="4">
        <f t="shared" si="1052"/>
        <v>0.94736775719253619</v>
      </c>
      <c r="P867" s="4">
        <f t="shared" ref="P867:Q876" si="1053">IFERROR(P834/P793,"-")</f>
        <v>0.94467454500785719</v>
      </c>
      <c r="Q867" s="4">
        <f t="shared" si="1053"/>
        <v>0.94379365567269202</v>
      </c>
      <c r="S867" s="3"/>
    </row>
    <row r="868" spans="2:19" x14ac:dyDescent="0.5">
      <c r="B868" s="5" t="str">
        <f t="shared" si="1035"/>
        <v>SPS1</v>
      </c>
      <c r="C868" s="5" t="str">
        <f t="shared" si="1036"/>
        <v>CH</v>
      </c>
      <c r="D868" t="s">
        <v>2079</v>
      </c>
      <c r="E868" t="s">
        <v>240</v>
      </c>
      <c r="F868" s="4">
        <f t="shared" ref="F868:K876" si="1054">IFERROR(F835/F794,"-")</f>
        <v>1.2084192202110962</v>
      </c>
      <c r="G868" s="4">
        <f t="shared" si="1054"/>
        <v>1.0614098573720032</v>
      </c>
      <c r="H868" s="4">
        <f t="shared" si="1054"/>
        <v>0.94010094356981366</v>
      </c>
      <c r="I868" s="4">
        <f t="shared" si="1054"/>
        <v>0.98219235145133621</v>
      </c>
      <c r="J868" s="4">
        <f t="shared" si="1054"/>
        <v>0.93917125223145215</v>
      </c>
      <c r="K868" s="4">
        <f t="shared" si="1054"/>
        <v>0.94103759886950988</v>
      </c>
      <c r="L868" s="4">
        <f t="shared" ref="L868:O868" si="1055">IFERROR(L835/L794,"-")</f>
        <v>0.94378891168124912</v>
      </c>
      <c r="M868" s="4">
        <f t="shared" si="1055"/>
        <v>0.9468146769268887</v>
      </c>
      <c r="N868" s="4">
        <f t="shared" si="1055"/>
        <v>0.94662273014100107</v>
      </c>
      <c r="O868" s="4">
        <f t="shared" si="1055"/>
        <v>0.9473677571925363</v>
      </c>
      <c r="P868" s="4">
        <f t="shared" si="1053"/>
        <v>0.94467454500785719</v>
      </c>
      <c r="Q868" s="4">
        <f t="shared" si="1053"/>
        <v>0.94379365567269202</v>
      </c>
      <c r="S868" s="3"/>
    </row>
    <row r="869" spans="2:19" x14ac:dyDescent="0.5">
      <c r="B869" s="5" t="str">
        <f t="shared" si="1035"/>
        <v>SPS1</v>
      </c>
      <c r="C869" s="5" t="str">
        <f t="shared" si="1036"/>
        <v>CH</v>
      </c>
      <c r="D869" t="s">
        <v>2080</v>
      </c>
      <c r="E869" t="s">
        <v>240</v>
      </c>
      <c r="F869" s="4" t="str">
        <f t="shared" si="1054"/>
        <v>-</v>
      </c>
      <c r="G869" s="4" t="str">
        <f t="shared" si="1054"/>
        <v>-</v>
      </c>
      <c r="H869" s="4" t="str">
        <f t="shared" si="1054"/>
        <v>-</v>
      </c>
      <c r="I869" s="4" t="str">
        <f t="shared" si="1054"/>
        <v>-</v>
      </c>
      <c r="J869" s="4" t="str">
        <f t="shared" si="1054"/>
        <v>-</v>
      </c>
      <c r="K869" s="4">
        <f t="shared" si="1054"/>
        <v>0.94103759886950999</v>
      </c>
      <c r="L869" s="4">
        <f t="shared" ref="L869:O869" si="1056">IFERROR(L836/L795,"-")</f>
        <v>0.94378891168124923</v>
      </c>
      <c r="M869" s="4">
        <f t="shared" si="1056"/>
        <v>0.94681467692688859</v>
      </c>
      <c r="N869" s="4">
        <f t="shared" si="1056"/>
        <v>0.94662273014100118</v>
      </c>
      <c r="O869" s="4">
        <f t="shared" si="1056"/>
        <v>0.9473677571925363</v>
      </c>
      <c r="P869" s="4">
        <f t="shared" si="1053"/>
        <v>0.94467454500785719</v>
      </c>
      <c r="Q869" s="4">
        <f t="shared" si="1053"/>
        <v>0.94379365567269213</v>
      </c>
      <c r="S869" s="3"/>
    </row>
    <row r="870" spans="2:19" x14ac:dyDescent="0.5">
      <c r="B870" s="5" t="str">
        <f t="shared" si="1035"/>
        <v>SPS1</v>
      </c>
      <c r="C870" s="5" t="str">
        <f t="shared" si="1036"/>
        <v>CH</v>
      </c>
      <c r="D870" t="s">
        <v>2081</v>
      </c>
      <c r="E870" t="s">
        <v>240</v>
      </c>
      <c r="F870" s="4" t="str">
        <f t="shared" si="1054"/>
        <v>-</v>
      </c>
      <c r="G870" s="4" t="str">
        <f t="shared" si="1054"/>
        <v>-</v>
      </c>
      <c r="H870" s="4" t="str">
        <f t="shared" si="1054"/>
        <v>-</v>
      </c>
      <c r="I870" s="4">
        <f t="shared" si="1054"/>
        <v>0.98219235145133621</v>
      </c>
      <c r="J870" s="4">
        <f t="shared" si="1054"/>
        <v>0.93917125223145215</v>
      </c>
      <c r="K870" s="4">
        <f t="shared" si="1054"/>
        <v>0.94103759886950988</v>
      </c>
      <c r="L870" s="4">
        <f t="shared" ref="L870:O870" si="1057">IFERROR(L837/L796,"-")</f>
        <v>0.94378891168124923</v>
      </c>
      <c r="M870" s="4">
        <f t="shared" si="1057"/>
        <v>0.94681467692688859</v>
      </c>
      <c r="N870" s="4">
        <f t="shared" si="1057"/>
        <v>0.94662273014100107</v>
      </c>
      <c r="O870" s="4">
        <f t="shared" si="1057"/>
        <v>0.94736775719253619</v>
      </c>
      <c r="P870" s="4">
        <f t="shared" si="1053"/>
        <v>0.94467454500785719</v>
      </c>
      <c r="Q870" s="4">
        <f t="shared" si="1053"/>
        <v>0.94379365567269213</v>
      </c>
      <c r="S870" s="3"/>
    </row>
    <row r="871" spans="2:19" x14ac:dyDescent="0.5">
      <c r="B871" s="5" t="str">
        <f t="shared" si="1035"/>
        <v>SPS1</v>
      </c>
      <c r="C871" s="5" t="str">
        <f t="shared" si="1036"/>
        <v>CH</v>
      </c>
      <c r="D871" t="s">
        <v>2082</v>
      </c>
      <c r="E871" t="s">
        <v>240</v>
      </c>
      <c r="F871" s="4">
        <f t="shared" si="1054"/>
        <v>1.2084192202110962</v>
      </c>
      <c r="G871" s="4">
        <f t="shared" si="1054"/>
        <v>1.0614098573720032</v>
      </c>
      <c r="H871" s="4">
        <f t="shared" si="1054"/>
        <v>0.94010094356981377</v>
      </c>
      <c r="I871" s="4">
        <f t="shared" si="1054"/>
        <v>0.98219235145133621</v>
      </c>
      <c r="J871" s="4">
        <f t="shared" si="1054"/>
        <v>0.93917125223145226</v>
      </c>
      <c r="K871" s="4">
        <f t="shared" si="1054"/>
        <v>0.94103759886950988</v>
      </c>
      <c r="L871" s="4">
        <f t="shared" ref="L871:O871" si="1058">IFERROR(L838/L797,"-")</f>
        <v>0.94378891168124923</v>
      </c>
      <c r="M871" s="4">
        <f t="shared" si="1058"/>
        <v>0.9468146769268887</v>
      </c>
      <c r="N871" s="4">
        <f t="shared" si="1058"/>
        <v>0.94662273014100118</v>
      </c>
      <c r="O871" s="4">
        <f t="shared" si="1058"/>
        <v>0.9473677571925363</v>
      </c>
      <c r="P871" s="4">
        <f t="shared" si="1053"/>
        <v>0.94467454500785719</v>
      </c>
      <c r="Q871" s="4">
        <f t="shared" si="1053"/>
        <v>0.94379365567269191</v>
      </c>
      <c r="S871" s="3"/>
    </row>
    <row r="872" spans="2:19" x14ac:dyDescent="0.5">
      <c r="B872" s="5" t="str">
        <f t="shared" si="1035"/>
        <v>SPS1</v>
      </c>
      <c r="C872" s="5" t="str">
        <f t="shared" si="1036"/>
        <v>CH</v>
      </c>
      <c r="D872" t="s">
        <v>2083</v>
      </c>
      <c r="E872" t="s">
        <v>240</v>
      </c>
      <c r="F872" s="4" t="str">
        <f t="shared" si="1054"/>
        <v>-</v>
      </c>
      <c r="G872" s="4" t="str">
        <f t="shared" si="1054"/>
        <v>-</v>
      </c>
      <c r="H872" s="4" t="str">
        <f t="shared" si="1054"/>
        <v>-</v>
      </c>
      <c r="I872" s="4" t="str">
        <f t="shared" si="1054"/>
        <v>-</v>
      </c>
      <c r="J872" s="4" t="str">
        <f t="shared" si="1054"/>
        <v>-</v>
      </c>
      <c r="K872" s="4">
        <f t="shared" si="1054"/>
        <v>0.94103759886950988</v>
      </c>
      <c r="L872" s="4">
        <f t="shared" ref="L872:O872" si="1059">IFERROR(L839/L798,"-")</f>
        <v>0.94378891168124923</v>
      </c>
      <c r="M872" s="4">
        <f t="shared" si="1059"/>
        <v>0.94681467692688859</v>
      </c>
      <c r="N872" s="4">
        <f t="shared" si="1059"/>
        <v>0.94662273014100107</v>
      </c>
      <c r="O872" s="4">
        <f t="shared" si="1059"/>
        <v>0.94736775719253641</v>
      </c>
      <c r="P872" s="4">
        <f t="shared" si="1053"/>
        <v>0.94467454500785708</v>
      </c>
      <c r="Q872" s="4">
        <f t="shared" si="1053"/>
        <v>0.94379365567269202</v>
      </c>
      <c r="S872" s="3"/>
    </row>
    <row r="873" spans="2:19" x14ac:dyDescent="0.5">
      <c r="B873" s="5" t="str">
        <f t="shared" si="1035"/>
        <v>SPS1</v>
      </c>
      <c r="C873" s="5" t="str">
        <f t="shared" si="1036"/>
        <v>CH</v>
      </c>
      <c r="D873" t="s">
        <v>2084</v>
      </c>
      <c r="E873" t="s">
        <v>240</v>
      </c>
      <c r="F873" s="4">
        <f t="shared" si="1054"/>
        <v>1.2084192202110962</v>
      </c>
      <c r="G873" s="4">
        <f t="shared" si="1054"/>
        <v>1.0614098573720032</v>
      </c>
      <c r="H873" s="4">
        <f t="shared" si="1054"/>
        <v>0.94010094356981377</v>
      </c>
      <c r="I873" s="4">
        <f t="shared" si="1054"/>
        <v>0.98219235145133621</v>
      </c>
      <c r="J873" s="4">
        <f t="shared" si="1054"/>
        <v>0.93917125223145226</v>
      </c>
      <c r="K873" s="4">
        <f t="shared" si="1054"/>
        <v>0.94103759886950999</v>
      </c>
      <c r="L873" s="4">
        <f t="shared" ref="L873:O873" si="1060">IFERROR(L840/L799,"-")</f>
        <v>0.94378891168124901</v>
      </c>
      <c r="M873" s="4">
        <f t="shared" si="1060"/>
        <v>0.94681467692688859</v>
      </c>
      <c r="N873" s="4">
        <f t="shared" si="1060"/>
        <v>0.94662273014100118</v>
      </c>
      <c r="O873" s="4">
        <f t="shared" si="1060"/>
        <v>0.94736775719253619</v>
      </c>
      <c r="P873" s="4">
        <f t="shared" si="1053"/>
        <v>0.94467454500785708</v>
      </c>
      <c r="Q873" s="4">
        <f t="shared" si="1053"/>
        <v>0.94379365567269202</v>
      </c>
      <c r="S873" s="3"/>
    </row>
    <row r="874" spans="2:19" x14ac:dyDescent="0.5">
      <c r="B874" s="5" t="str">
        <f t="shared" si="1035"/>
        <v>SPS1</v>
      </c>
      <c r="C874" s="5" t="str">
        <f t="shared" si="1036"/>
        <v>CH</v>
      </c>
      <c r="D874" t="s">
        <v>2085</v>
      </c>
      <c r="E874" t="s">
        <v>240</v>
      </c>
      <c r="F874" s="4" t="str">
        <f t="shared" si="1054"/>
        <v>-</v>
      </c>
      <c r="G874" s="4" t="str">
        <f t="shared" si="1054"/>
        <v>-</v>
      </c>
      <c r="H874" s="4" t="str">
        <f t="shared" si="1054"/>
        <v>-</v>
      </c>
      <c r="I874" s="4" t="str">
        <f t="shared" si="1054"/>
        <v>-</v>
      </c>
      <c r="J874" s="4" t="str">
        <f t="shared" si="1054"/>
        <v>-</v>
      </c>
      <c r="K874" s="4">
        <f t="shared" si="1054"/>
        <v>0.94103759886950999</v>
      </c>
      <c r="L874" s="4">
        <f t="shared" ref="L874:O874" si="1061">IFERROR(L841/L800,"-")</f>
        <v>0.94378891168124934</v>
      </c>
      <c r="M874" s="4">
        <f t="shared" si="1061"/>
        <v>0.94681467692688859</v>
      </c>
      <c r="N874" s="4">
        <f t="shared" si="1061"/>
        <v>0.94662273014100096</v>
      </c>
      <c r="O874" s="4">
        <f t="shared" si="1061"/>
        <v>0.94736775719253619</v>
      </c>
      <c r="P874" s="4">
        <f t="shared" si="1053"/>
        <v>0.94467454500785719</v>
      </c>
      <c r="Q874" s="4">
        <f t="shared" si="1053"/>
        <v>0.94379365567269202</v>
      </c>
      <c r="S874" s="3"/>
    </row>
    <row r="875" spans="2:19" x14ac:dyDescent="0.5">
      <c r="B875" s="5" t="str">
        <f t="shared" si="1035"/>
        <v>SPS1</v>
      </c>
      <c r="C875" s="5" t="str">
        <f t="shared" si="1036"/>
        <v>CH</v>
      </c>
      <c r="D875" t="s">
        <v>2086</v>
      </c>
      <c r="E875" t="s">
        <v>240</v>
      </c>
      <c r="F875" s="4" t="str">
        <f t="shared" si="1054"/>
        <v>-</v>
      </c>
      <c r="G875" s="4" t="str">
        <f t="shared" si="1054"/>
        <v>-</v>
      </c>
      <c r="H875" s="4" t="str">
        <f t="shared" si="1054"/>
        <v>-</v>
      </c>
      <c r="I875" s="4">
        <f t="shared" si="1054"/>
        <v>0.98219235145133632</v>
      </c>
      <c r="J875" s="4">
        <f t="shared" si="1054"/>
        <v>0.93917125223145226</v>
      </c>
      <c r="K875" s="4">
        <f t="shared" si="1054"/>
        <v>0.94103759886950999</v>
      </c>
      <c r="L875" s="4">
        <f t="shared" ref="L875:O875" si="1062">IFERROR(L842/L801,"-")</f>
        <v>0.94378891168124912</v>
      </c>
      <c r="M875" s="4">
        <f t="shared" si="1062"/>
        <v>0.9468146769268887</v>
      </c>
      <c r="N875" s="4">
        <f t="shared" si="1062"/>
        <v>0.94662273014100107</v>
      </c>
      <c r="O875" s="4">
        <f t="shared" si="1062"/>
        <v>0.94736775719253641</v>
      </c>
      <c r="P875" s="4">
        <f t="shared" si="1053"/>
        <v>0.94467454500785719</v>
      </c>
      <c r="Q875" s="4">
        <f t="shared" si="1053"/>
        <v>0.94379365567269202</v>
      </c>
      <c r="S875" s="3"/>
    </row>
    <row r="876" spans="2:19" x14ac:dyDescent="0.5">
      <c r="B876" s="5" t="str">
        <f t="shared" si="1035"/>
        <v>SPS1</v>
      </c>
      <c r="C876" s="5" t="str">
        <f t="shared" si="1036"/>
        <v>CH</v>
      </c>
      <c r="D876" t="s">
        <v>2087</v>
      </c>
      <c r="E876" t="s">
        <v>240</v>
      </c>
      <c r="F876" s="4">
        <f t="shared" si="1054"/>
        <v>0.92447626236575153</v>
      </c>
      <c r="G876" s="4">
        <f t="shared" si="1054"/>
        <v>0.92645636412827126</v>
      </c>
      <c r="H876" s="4">
        <f t="shared" si="1054"/>
        <v>0.92942651677205357</v>
      </c>
      <c r="I876" s="4">
        <f t="shared" si="1054"/>
        <v>0.93437677117835793</v>
      </c>
      <c r="J876" s="4">
        <f t="shared" si="1054"/>
        <v>0.93932702558466197</v>
      </c>
      <c r="K876" s="4">
        <f>IFERROR(K843/K802,"-")</f>
        <v>0.94427727999096522</v>
      </c>
      <c r="L876" s="4">
        <f t="shared" ref="L876:O876" si="1063">IFERROR(L843/L802,"-")</f>
        <v>0.94713863999548276</v>
      </c>
      <c r="M876" s="4">
        <f t="shared" si="1063"/>
        <v>0.94999999999999896</v>
      </c>
      <c r="N876" s="4">
        <f t="shared" si="1063"/>
        <v>0.95000000000000051</v>
      </c>
      <c r="O876" s="4">
        <f t="shared" si="1063"/>
        <v>0.94999999999999951</v>
      </c>
      <c r="P876" s="4">
        <f t="shared" si="1053"/>
        <v>0.9499999999999994</v>
      </c>
      <c r="Q876" s="4">
        <f t="shared" si="1053"/>
        <v>0.94999999999999962</v>
      </c>
      <c r="S876" s="3"/>
    </row>
    <row r="877" spans="2:19" x14ac:dyDescent="0.5">
      <c r="B877" s="5" t="str">
        <f t="shared" si="1035"/>
        <v>SPS1</v>
      </c>
      <c r="C877" s="5" t="str">
        <f t="shared" si="1036"/>
        <v>CH</v>
      </c>
      <c r="D877" t="s">
        <v>2088</v>
      </c>
      <c r="E877" t="s">
        <v>240</v>
      </c>
      <c r="F877" s="4">
        <f>IFERROR(F845/F804,"-")</f>
        <v>0.58999999999999986</v>
      </c>
      <c r="G877" s="4">
        <f t="shared" ref="G877:K877" si="1064">IFERROR(G845/G804,"-")</f>
        <v>0.59066666666666645</v>
      </c>
      <c r="H877" s="4">
        <f t="shared" si="1064"/>
        <v>0.59166666666666612</v>
      </c>
      <c r="I877" s="4">
        <f t="shared" si="1064"/>
        <v>0.59333333333333316</v>
      </c>
      <c r="J877" s="4">
        <f t="shared" si="1064"/>
        <v>0.59499999999999964</v>
      </c>
      <c r="K877" s="4">
        <f t="shared" si="1064"/>
        <v>0.59666666666666723</v>
      </c>
      <c r="L877" s="4">
        <f t="shared" ref="L877:O877" si="1065">IFERROR(L845/L804,"-")</f>
        <v>0.59833333333333327</v>
      </c>
      <c r="M877" s="4">
        <f t="shared" si="1065"/>
        <v>0.60000000000000009</v>
      </c>
      <c r="N877" s="4">
        <f t="shared" si="1065"/>
        <v>0.6</v>
      </c>
      <c r="O877" s="4">
        <f t="shared" si="1065"/>
        <v>0.59999999999999987</v>
      </c>
      <c r="P877" s="4">
        <f>IFERROR(P845/P804,"-")</f>
        <v>0.60000000000000009</v>
      </c>
      <c r="Q877" s="4">
        <f>IFERROR(Q845/Q804,"-")</f>
        <v>0.59999999999999976</v>
      </c>
      <c r="S877" s="3"/>
    </row>
    <row r="878" spans="2:19" x14ac:dyDescent="0.5">
      <c r="B878" s="5" t="str">
        <f t="shared" si="1035"/>
        <v>SPS1</v>
      </c>
      <c r="C878" s="5" t="str">
        <f t="shared" si="1036"/>
        <v>CH</v>
      </c>
      <c r="D878" t="s">
        <v>2089</v>
      </c>
      <c r="E878" t="s">
        <v>240</v>
      </c>
      <c r="F878" s="4">
        <f>IFERROR(F847/F806,"-")</f>
        <v>0.73750000000000049</v>
      </c>
      <c r="G878" s="4">
        <f t="shared" ref="G878:K878" si="1066">IFERROR(G847/G806,"-")</f>
        <v>0.73833333333333373</v>
      </c>
      <c r="H878" s="4">
        <f t="shared" si="1066"/>
        <v>0.73958333333333293</v>
      </c>
      <c r="I878" s="4">
        <f t="shared" si="1066"/>
        <v>0.74166666666666681</v>
      </c>
      <c r="J878" s="4">
        <f t="shared" si="1066"/>
        <v>0.74374999999999947</v>
      </c>
      <c r="K878" s="4">
        <f t="shared" si="1066"/>
        <v>0.74583333333333268</v>
      </c>
      <c r="L878" s="4">
        <f t="shared" ref="L878:O878" si="1067">IFERROR(L847/L806,"-")</f>
        <v>0.74791666666666579</v>
      </c>
      <c r="M878" s="4">
        <f t="shared" si="1067"/>
        <v>0.75000000000000033</v>
      </c>
      <c r="N878" s="4">
        <f t="shared" si="1067"/>
        <v>0.75</v>
      </c>
      <c r="O878" s="4">
        <f t="shared" si="1067"/>
        <v>0.75000000000000011</v>
      </c>
      <c r="P878" s="4">
        <f>IFERROR(P847/P806,"-")</f>
        <v>0.75</v>
      </c>
      <c r="Q878" s="4">
        <f>IFERROR(Q847/Q806,"-")</f>
        <v>0.75000000000000011</v>
      </c>
      <c r="S878" s="3"/>
    </row>
    <row r="879" spans="2:19" x14ac:dyDescent="0.5">
      <c r="B879" s="5" t="str">
        <f t="shared" si="1035"/>
        <v>SPS1</v>
      </c>
      <c r="C879" s="5" t="str">
        <f t="shared" si="1036"/>
        <v>CH</v>
      </c>
      <c r="D879" t="s">
        <v>2090</v>
      </c>
      <c r="E879" t="s">
        <v>240</v>
      </c>
      <c r="F879" s="4">
        <f>IFERROR(F849/F808,"-")</f>
        <v>0.52800000000000036</v>
      </c>
      <c r="G879" s="4">
        <f t="shared" ref="G879:K879" si="1068">IFERROR(G849/G808,"-")</f>
        <v>0.52800000000000036</v>
      </c>
      <c r="H879" s="4">
        <f t="shared" si="1068"/>
        <v>0.52800000000000002</v>
      </c>
      <c r="I879" s="4">
        <f t="shared" si="1068"/>
        <v>0.52800000000000058</v>
      </c>
      <c r="J879" s="4">
        <f t="shared" si="1068"/>
        <v>0.52800000000000047</v>
      </c>
      <c r="K879" s="4">
        <f t="shared" si="1068"/>
        <v>0.52800000000000036</v>
      </c>
      <c r="L879" s="4">
        <f t="shared" ref="L879:O879" si="1069">IFERROR(L849/L808,"-")</f>
        <v>0.53600000000000003</v>
      </c>
      <c r="M879" s="4">
        <f t="shared" si="1069"/>
        <v>0.54399999999999948</v>
      </c>
      <c r="N879" s="4">
        <f t="shared" si="1069"/>
        <v>0.54400000000000037</v>
      </c>
      <c r="O879" s="4">
        <f t="shared" si="1069"/>
        <v>0.54400000000000037</v>
      </c>
      <c r="P879" s="4">
        <f>IFERROR(P849/P808,"-")</f>
        <v>0.54400000000000037</v>
      </c>
      <c r="Q879" s="4">
        <f>IFERROR(Q849/Q808,"-")</f>
        <v>0.54399999999999971</v>
      </c>
      <c r="S879" s="3"/>
    </row>
    <row r="880" spans="2:19" x14ac:dyDescent="0.5">
      <c r="B880" s="5" t="str">
        <f t="shared" si="1035"/>
        <v>SPS1</v>
      </c>
      <c r="C880" s="5" t="str">
        <f t="shared" si="1036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70">IFERROR(G851/G812,"-")</f>
        <v>1</v>
      </c>
      <c r="H880" s="4">
        <f t="shared" si="1070"/>
        <v>1</v>
      </c>
      <c r="I880" s="4">
        <f t="shared" si="1070"/>
        <v>1</v>
      </c>
      <c r="J880" s="4">
        <f t="shared" si="1070"/>
        <v>1</v>
      </c>
      <c r="K880" s="4">
        <f t="shared" si="1070"/>
        <v>1</v>
      </c>
      <c r="L880" s="4">
        <f t="shared" ref="L880:O880" si="1071">IFERROR(L851/L812,"-")</f>
        <v>1</v>
      </c>
      <c r="M880" s="4">
        <f t="shared" si="1071"/>
        <v>1</v>
      </c>
      <c r="N880" s="4">
        <f t="shared" si="1071"/>
        <v>1</v>
      </c>
      <c r="O880" s="4">
        <f t="shared" si="1071"/>
        <v>1</v>
      </c>
      <c r="P880" s="4">
        <f>IFERROR(P851/P812,"-")</f>
        <v>1</v>
      </c>
      <c r="Q880" s="4">
        <f>IFERROR(Q851/Q812,"-")</f>
        <v>1</v>
      </c>
      <c r="S880" s="3"/>
    </row>
    <row r="881" spans="2:19" x14ac:dyDescent="0.5">
      <c r="B881" s="5" t="str">
        <f t="shared" si="1035"/>
        <v>SPS1</v>
      </c>
      <c r="C881" s="5" t="str">
        <f t="shared" si="1036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72">IFERROR(G853/G814,"-")</f>
        <v>-</v>
      </c>
      <c r="H881" s="4" t="str">
        <f t="shared" si="1072"/>
        <v>-</v>
      </c>
      <c r="I881" s="4">
        <f t="shared" si="1072"/>
        <v>0.37777368094434144</v>
      </c>
      <c r="J881" s="4">
        <f t="shared" si="1072"/>
        <v>0.77625956508967597</v>
      </c>
      <c r="K881" s="4">
        <f t="shared" si="1072"/>
        <v>0.774370173746593</v>
      </c>
      <c r="L881" s="4">
        <f t="shared" ref="L881:O881" si="1073">IFERROR(L853/L814,"-")</f>
        <v>0.78633362681810204</v>
      </c>
      <c r="M881" s="4">
        <f t="shared" si="1073"/>
        <v>0.80999079329232238</v>
      </c>
      <c r="N881" s="4">
        <f t="shared" si="1073"/>
        <v>0.81165099355238679</v>
      </c>
      <c r="O881" s="4">
        <f t="shared" si="1073"/>
        <v>0.81130695198889113</v>
      </c>
      <c r="P881" s="4">
        <f>IFERROR(P853/P814,"-")</f>
        <v>0.81236219374401275</v>
      </c>
      <c r="Q881" s="4">
        <f>IFERROR(Q853/Q814,"-")</f>
        <v>0.81278022590295274</v>
      </c>
      <c r="S881" s="3"/>
    </row>
    <row r="882" spans="2:19" x14ac:dyDescent="0.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74">F883+F887+F894+F905+F913+F915+F917+F919+F923</f>
        <v>140.10106361685126</v>
      </c>
      <c r="G882" s="17">
        <f t="shared" si="1074"/>
        <v>139.80836891529506</v>
      </c>
      <c r="H882" s="17">
        <f t="shared" si="1074"/>
        <v>142.90866856602767</v>
      </c>
      <c r="I882" s="17">
        <f t="shared" si="1074"/>
        <v>136.33433304291981</v>
      </c>
      <c r="J882" s="17">
        <f t="shared" si="1074"/>
        <v>133.83076831342945</v>
      </c>
      <c r="K882" s="17">
        <f t="shared" si="1074"/>
        <v>132.69949180269825</v>
      </c>
      <c r="L882" s="17">
        <f t="shared" ref="L882:O882" si="1075">L883+L887+L894+L905+L913+L915+L917+L919+L923</f>
        <v>128.20514021355206</v>
      </c>
      <c r="M882" s="17">
        <f t="shared" si="1075"/>
        <v>113.82686459710079</v>
      </c>
      <c r="N882" s="17">
        <f t="shared" si="1075"/>
        <v>112.96497627125936</v>
      </c>
      <c r="O882" s="17">
        <f t="shared" si="1075"/>
        <v>114.23262173971239</v>
      </c>
      <c r="P882" s="17">
        <f>P883+P887+P894+P905+P913+P915+P917+P919+P923</f>
        <v>115.26677485557222</v>
      </c>
      <c r="Q882" s="17">
        <f>Q883+Q887+Q894+Q905+Q913+Q915+Q917+Q919+Q923</f>
        <v>116.42362387636487</v>
      </c>
      <c r="S882" s="3"/>
    </row>
    <row r="883" spans="2:19" x14ac:dyDescent="0.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60.950002439462899</v>
      </c>
      <c r="G883" s="1">
        <f>[1]Services!C$11</f>
        <v>60.447699805178857</v>
      </c>
      <c r="H883" s="1">
        <f>[1]Services!D$11</f>
        <v>65.489936521360207</v>
      </c>
      <c r="I883" s="1">
        <f>[1]Services!E$11</f>
        <v>65.625148748234665</v>
      </c>
      <c r="J883" s="1">
        <f>[1]Services!F$11</f>
        <v>65.588156367426279</v>
      </c>
      <c r="K883" s="1">
        <f>[1]Services!G$11</f>
        <v>65.756453319346349</v>
      </c>
      <c r="L883" s="1">
        <f>[1]Services!H$11</f>
        <v>64.88346493524142</v>
      </c>
      <c r="M883" s="1">
        <f>[1]Services!I$11</f>
        <v>65.7789783933829</v>
      </c>
      <c r="N883" s="1">
        <f>[1]Services!J$11</f>
        <v>66.801179852339587</v>
      </c>
      <c r="O883" s="1">
        <f>[1]Services!K$11</f>
        <v>66.697656840538301</v>
      </c>
      <c r="P883" s="1">
        <f>[1]Services!L$11</f>
        <v>67.50783974209223</v>
      </c>
      <c r="Q883" s="1">
        <f>[1]Services!M$11</f>
        <v>68.473730577638747</v>
      </c>
      <c r="S883" s="3"/>
    </row>
    <row r="884" spans="2:19" x14ac:dyDescent="0.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2.6236005910100406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0.32060479393567198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2.4886316468671823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2.0251857385157916</v>
      </c>
      <c r="J884" s="1" cm="1">
        <f t="array" ref="J884">SUMPRODUCT(([1]OUT_FinalEnergyCons!$B$4:$B$10000="Var_Fin")*1, ISNUMBER(SEARCH("SCOM_ELC",[1]OUT_FinalEnergyCons!$C$4:$C$10000))*1, (ISNUMBER(SEARCH("SCOM-SHELCBR",[1]OUT_FinalEnergyCons!$A$4:$A$10000)))*1,[1]OUT_FinalEnergyCons!H$4:H$10000)</f>
        <v>1.6967249679264025</v>
      </c>
      <c r="K884" s="1" cm="1">
        <f t="array" ref="K884">SUMPRODUCT(([1]OUT_FinalEnergyCons!$B$4:$B$10000="Var_Fin")*1, ISNUMBER(SEARCH("SCOM_ELC",[1]OUT_FinalEnergyCons!$C$4:$C$10000))*1, (ISNUMBER(SEARCH("SCOM-SHELCBR",[1]OUT_FinalEnergyCons!$A$4:$A$10000)))*1,[1]OUT_FinalEnergyCons!I$4:I$10000)</f>
        <v>1.4248594606687135</v>
      </c>
      <c r="L884" s="1" cm="1">
        <f t="array" ref="L884">SUMPRODUCT(([1]OUT_FinalEnergyCons!$B$4:$B$10000="Var_Fin")*1, ISNUMBER(SEARCH("SCOM_ELC",[1]OUT_FinalEnergyCons!$C$4:$C$10000))*1, (ISNUMBER(SEARCH("SCOM-SHELCBR",[1]OUT_FinalEnergyCons!$A$4:$A$10000)))*1,[1]OUT_FinalEnergyCons!J$4:J$10000)</f>
        <v>1.1195605069871413</v>
      </c>
      <c r="M884" s="1" cm="1">
        <f t="array" ref="M884">SUMPRODUCT(([1]OUT_FinalEnergyCons!$B$4:$B$10000="Var_Fin")*1, ISNUMBER(SEARCH("SCOM_ELC",[1]OUT_FinalEnergyCons!$C$4:$C$10000))*1, (ISNUMBER(SEARCH("SCOM-SHELCBR",[1]OUT_FinalEnergyCons!$A$4:$A$10000)))*1,[1]OUT_FinalEnergyCons!K$4:K$10000)</f>
        <v>1.6911629535392254</v>
      </c>
      <c r="N884" s="1" cm="1">
        <f t="array" ref="N884">SUMPRODUCT(([1]OUT_FinalEnergyCons!$B$4:$B$10000="Var_Fin")*1, ISNUMBER(SEARCH("SCOM_ELC",[1]OUT_FinalEnergyCons!$C$4:$C$10000))*1, (ISNUMBER(SEARCH("SCOM-SHELCBR",[1]OUT_FinalEnergyCons!$A$4:$A$10000)))*1,[1]OUT_FinalEnergyCons!L$4:L$10000)</f>
        <v>1.6657543927564591</v>
      </c>
      <c r="O884" s="1" cm="1">
        <f t="array" ref="O884">SUMPRODUCT(([1]OUT_FinalEnergyCons!$B$4:$B$10000="Var_Fin")*1, ISNUMBER(SEARCH("SCOM_ELC",[1]OUT_FinalEnergyCons!$C$4:$C$10000))*1, (ISNUMBER(SEARCH("SCOM-SHELCBR",[1]OUT_FinalEnergyCons!$A$4:$A$10000)))*1,[1]OUT_FinalEnergyCons!M$4:M$10000)</f>
        <v>0.70729202732791341</v>
      </c>
      <c r="P884" s="1" cm="1">
        <f t="array" ref="P884">SUMPRODUCT(([1]OUT_FinalEnergyCons!$B$4:$B$10000="Var_Fin")*1, ISNUMBER(SEARCH("SCOM_ELC",[1]OUT_FinalEnergyCons!$C$4:$C$10000))*1, (ISNUMBER(SEARCH("SCOM-SHELCBR",[1]OUT_FinalEnergyCons!$A$4:$A$10000)))*1,[1]OUT_FinalEnergyCons!N$4:N$10000)</f>
        <v>0.70742727475326472</v>
      </c>
      <c r="Q884" s="1" cm="1">
        <f t="array" ref="Q884">SUMPRODUCT(([1]OUT_FinalEnergyCons!$B$4:$B$10000="Var_Fin")*1, ISNUMBER(SEARCH("SCOM_ELC",[1]OUT_FinalEnergyCons!$C$4:$C$10000))*1, (ISNUMBER(SEARCH("SCOM-SHELCBR",[1]OUT_FinalEnergyCons!$A$4:$A$10000)))*1,[1]OUT_FinalEnergyCons!O$4:O$10000)</f>
        <v>0.70763282426536511</v>
      </c>
      <c r="S884" s="3"/>
    </row>
    <row r="885" spans="2:19" x14ac:dyDescent="0.5">
      <c r="B885" s="5" t="str">
        <f t="shared" ref="B885:B924" si="1076">B884</f>
        <v>SPS1</v>
      </c>
      <c r="C885" s="5" t="str">
        <f t="shared" ref="C885:C924" si="1077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1.3316272735404169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1.4252004097668727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1.4630223225995287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1.5297610676551918</v>
      </c>
      <c r="J885" s="1" cm="1">
        <f t="array" ref="J885">SUMPRODUCT(([1]OUT_FinalEnergyCons!$B$4:$B$10000="Var_Fin")*1, ISNUMBER(SEARCH("SCOM_ELC",[1]OUT_FinalEnergyCons!$C$4:$C$10000))*1,(ISNUMBER(SEARCH("SCOM-SHELCHP",[1]OUT_FinalEnergyCons!$A$4:$A$10000)))*1,[1]OUT_FinalEnergyCons!H$4:H$10000)</f>
        <v>1.5985985135835767</v>
      </c>
      <c r="K885" s="1" cm="1">
        <f t="array" ref="K885">SUMPRODUCT(([1]OUT_FinalEnergyCons!$B$4:$B$10000="Var_Fin")*1, ISNUMBER(SEARCH("SCOM_ELC",[1]OUT_FinalEnergyCons!$C$4:$C$10000))*1,(ISNUMBER(SEARCH("SCOM-SHELCHP",[1]OUT_FinalEnergyCons!$A$4:$A$10000)))*1,[1]OUT_FinalEnergyCons!I$4:I$10000)</f>
        <v>1.6731180275867081</v>
      </c>
      <c r="L885" s="1" cm="1">
        <f t="array" ref="L885">SUMPRODUCT(([1]OUT_FinalEnergyCons!$B$4:$B$10000="Var_Fin")*1, ISNUMBER(SEARCH("SCOM_ELC",[1]OUT_FinalEnergyCons!$C$4:$C$10000))*1,(ISNUMBER(SEARCH("SCOM-SHELCHP",[1]OUT_FinalEnergyCons!$A$4:$A$10000)))*1,[1]OUT_FinalEnergyCons!J$4:J$10000)</f>
        <v>1.6279102253325402</v>
      </c>
      <c r="M885" s="1" cm="1">
        <f t="array" ref="M885">SUMPRODUCT(([1]OUT_FinalEnergyCons!$B$4:$B$10000="Var_Fin")*1, ISNUMBER(SEARCH("SCOM_ELC",[1]OUT_FinalEnergyCons!$C$4:$C$10000))*1,(ISNUMBER(SEARCH("SCOM-SHELCHP",[1]OUT_FinalEnergyCons!$A$4:$A$10000)))*1,[1]OUT_FinalEnergyCons!K$4:K$10000)</f>
        <v>2.4743121995979402</v>
      </c>
      <c r="N885" s="1" cm="1">
        <f t="array" ref="N885">SUMPRODUCT(([1]OUT_FinalEnergyCons!$B$4:$B$10000="Var_Fin")*1, ISNUMBER(SEARCH("SCOM_ELC",[1]OUT_FinalEnergyCons!$C$4:$C$10000))*1,(ISNUMBER(SEARCH("SCOM-SHELCHP",[1]OUT_FinalEnergyCons!$A$4:$A$10000)))*1,[1]OUT_FinalEnergyCons!L$4:L$10000)</f>
        <v>2.4743120251518977</v>
      </c>
      <c r="O885" s="1" cm="1">
        <f t="array" ref="O885">SUMPRODUCT(([1]OUT_FinalEnergyCons!$B$4:$B$10000="Var_Fin")*1, ISNUMBER(SEARCH("SCOM_ELC",[1]OUT_FinalEnergyCons!$C$4:$C$10000))*1,(ISNUMBER(SEARCH("SCOM-SHELCHP",[1]OUT_FinalEnergyCons!$A$4:$A$10000)))*1,[1]OUT_FinalEnergyCons!M$4:M$10000)</f>
        <v>2.4743125004973692</v>
      </c>
      <c r="P885" s="1" cm="1">
        <f t="array" ref="P885">SUMPRODUCT(([1]OUT_FinalEnergyCons!$B$4:$B$10000="Var_Fin")*1, ISNUMBER(SEARCH("SCOM_ELC",[1]OUT_FinalEnergyCons!$C$4:$C$10000))*1,(ISNUMBER(SEARCH("SCOM-SHELCHP",[1]OUT_FinalEnergyCons!$A$4:$A$10000)))*1,[1]OUT_FinalEnergyCons!N$4:N$10000)</f>
        <v>2.4743125536999102</v>
      </c>
      <c r="Q885" s="1" cm="1">
        <f t="array" ref="Q885">SUMPRODUCT(([1]OUT_FinalEnergyCons!$B$4:$B$10000="Var_Fin")*1, ISNUMBER(SEARCH("SCOM_ELC",[1]OUT_FinalEnergyCons!$C$4:$C$10000))*1,(ISNUMBER(SEARCH("SCOM-SHELCHP",[1]OUT_FinalEnergyCons!$A$4:$A$10000)))*1,[1]OUT_FinalEnergyCons!O$4:O$10000)</f>
        <v>2.6655365772249362</v>
      </c>
      <c r="S885" s="3"/>
    </row>
    <row r="886" spans="2:19" x14ac:dyDescent="0.5">
      <c r="B886" s="5" t="str">
        <f t="shared" si="1076"/>
        <v>SPS1</v>
      </c>
      <c r="C886" s="5" t="str">
        <f t="shared" si="1077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58.701894601476312</v>
      </c>
      <c r="H886" s="1">
        <f>[1]Services!D$11-[1]Services!D$28</f>
        <v>61.538282551893495</v>
      </c>
      <c r="I886" s="1">
        <f>[1]Services!E$11-[1]Services!E$28</f>
        <v>62.070201942063683</v>
      </c>
      <c r="J886" s="1">
        <f>[1]Services!F$11-[1]Services!F$28</f>
        <v>62.292832885916297</v>
      </c>
      <c r="K886" s="1">
        <f>[1]Services!G$11-[1]Services!G$28</f>
        <v>62.658475831090925</v>
      </c>
      <c r="L886" s="1">
        <f>[1]Services!H$11-[1]Services!H$28</f>
        <v>62.135994202921736</v>
      </c>
      <c r="M886" s="1">
        <f>[1]Services!I$11-[1]Services!I$28</f>
        <v>61.613503240245734</v>
      </c>
      <c r="N886" s="1">
        <f>[1]Services!J$11-[1]Services!J$28</f>
        <v>62.661113434431229</v>
      </c>
      <c r="O886" s="1">
        <f>[1]Services!K$11-[1]Services!K$28</f>
        <v>63.516052312713015</v>
      </c>
      <c r="P886" s="1">
        <f>[1]Services!L$11-[1]Services!L$28</f>
        <v>64.326099913639055</v>
      </c>
      <c r="Q886" s="1">
        <f>[1]Services!M$11-[1]Services!M$28</f>
        <v>65.100561176148446</v>
      </c>
      <c r="S886" s="3"/>
    </row>
    <row r="887" spans="2:19" x14ac:dyDescent="0.5">
      <c r="B887" s="5" t="str">
        <f t="shared" si="1076"/>
        <v>SPS1</v>
      </c>
      <c r="C887" s="5" t="str">
        <f t="shared" si="1077"/>
        <v>CH</v>
      </c>
      <c r="D887" t="s">
        <v>499</v>
      </c>
      <c r="E887" t="s">
        <v>8</v>
      </c>
      <c r="F887" s="1">
        <f>F888</f>
        <v>30.256634348009488</v>
      </c>
      <c r="G887" s="1">
        <f t="shared" ref="G887:O887" si="1078">G888</f>
        <v>26.593110735479414</v>
      </c>
      <c r="H887" s="1">
        <f t="shared" si="1078"/>
        <v>25.062296503556279</v>
      </c>
      <c r="I887" s="1">
        <f t="shared" si="1078"/>
        <v>20.973962256174357</v>
      </c>
      <c r="J887" s="1">
        <f t="shared" si="1078"/>
        <v>14.489003499419281</v>
      </c>
      <c r="K887" s="1">
        <f t="shared" si="1078"/>
        <v>7.5871251163467397</v>
      </c>
      <c r="L887" s="1">
        <f t="shared" si="1078"/>
        <v>4.1335523939468546</v>
      </c>
      <c r="M887" s="1">
        <f t="shared" si="1078"/>
        <v>0.8703759017586522</v>
      </c>
      <c r="N887" s="1">
        <f t="shared" si="1078"/>
        <v>1.0526977208833614</v>
      </c>
      <c r="O887" s="1">
        <f t="shared" si="1078"/>
        <v>0.86329243471081873</v>
      </c>
      <c r="P887" s="1">
        <f>P888</f>
        <v>0.8635296893204828</v>
      </c>
      <c r="Q887" s="1">
        <f>Q888</f>
        <v>0.86378236847573542</v>
      </c>
      <c r="S887" s="3"/>
    </row>
    <row r="888" spans="2:19" x14ac:dyDescent="0.5">
      <c r="B888" s="5" t="str">
        <f t="shared" si="1076"/>
        <v>SPS1</v>
      </c>
      <c r="C888" s="5" t="str">
        <f t="shared" si="1077"/>
        <v>CH</v>
      </c>
      <c r="D888" t="s">
        <v>500</v>
      </c>
      <c r="E888" t="s">
        <v>8</v>
      </c>
      <c r="F888" s="1">
        <f>SUM(F891,F893)</f>
        <v>30.256634348009488</v>
      </c>
      <c r="G888" s="1">
        <f t="shared" ref="G888:K888" si="1079">SUM(G891,G893)</f>
        <v>26.593110735479414</v>
      </c>
      <c r="H888" s="1">
        <f t="shared" si="1079"/>
        <v>25.062296503556279</v>
      </c>
      <c r="I888" s="1">
        <f t="shared" si="1079"/>
        <v>20.973962256174357</v>
      </c>
      <c r="J888" s="1">
        <f t="shared" si="1079"/>
        <v>14.489003499419281</v>
      </c>
      <c r="K888" s="1">
        <f t="shared" si="1079"/>
        <v>7.5871251163467397</v>
      </c>
      <c r="L888" s="1">
        <f t="shared" ref="L888:O888" si="1080">SUM(L891,L893)</f>
        <v>4.1335523939468546</v>
      </c>
      <c r="M888" s="1">
        <f t="shared" si="1080"/>
        <v>0.8703759017586522</v>
      </c>
      <c r="N888" s="1">
        <f t="shared" si="1080"/>
        <v>1.0526977208833614</v>
      </c>
      <c r="O888" s="1">
        <f t="shared" si="1080"/>
        <v>0.86329243471081873</v>
      </c>
      <c r="P888" s="1">
        <f>SUM(P891,P893)</f>
        <v>0.8635296893204828</v>
      </c>
      <c r="Q888" s="1">
        <f>SUM(Q891,Q893)</f>
        <v>0.86378236847573542</v>
      </c>
      <c r="S888" s="3"/>
    </row>
    <row r="889" spans="2:19" x14ac:dyDescent="0.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30.256634348009488</v>
      </c>
      <c r="G889" s="1">
        <f t="shared" ref="G889:O889" si="1081">G890</f>
        <v>26.593110735479414</v>
      </c>
      <c r="H889" s="1">
        <f t="shared" si="1081"/>
        <v>25.06227777430421</v>
      </c>
      <c r="I889" s="1">
        <f t="shared" si="1081"/>
        <v>20.973824839460075</v>
      </c>
      <c r="J889" s="1">
        <f t="shared" si="1081"/>
        <v>14.488791365590451</v>
      </c>
      <c r="K889" s="1">
        <f t="shared" si="1081"/>
        <v>7.5870613665875144</v>
      </c>
      <c r="L889" s="1">
        <f t="shared" si="1081"/>
        <v>4.1332670363234048</v>
      </c>
      <c r="M889" s="1">
        <f t="shared" si="1081"/>
        <v>0</v>
      </c>
      <c r="N889" s="1">
        <f t="shared" si="1081"/>
        <v>6.368062057482887E-5</v>
      </c>
      <c r="O889" s="1">
        <f t="shared" si="1081"/>
        <v>9.5448642549156147E-5</v>
      </c>
      <c r="P889" s="1">
        <f>P890</f>
        <v>9.075731978633531E-5</v>
      </c>
      <c r="Q889" s="1">
        <f>Q890</f>
        <v>1.4222850345013195E-4</v>
      </c>
      <c r="S889" s="3"/>
    </row>
    <row r="890" spans="2:19" x14ac:dyDescent="0.5">
      <c r="B890" s="5" t="str">
        <f t="shared" si="1076"/>
        <v>SPS1</v>
      </c>
      <c r="C890" s="5" t="str">
        <f t="shared" si="1077"/>
        <v>CH</v>
      </c>
      <c r="D890" t="s">
        <v>528</v>
      </c>
      <c r="E890" t="s">
        <v>8</v>
      </c>
      <c r="F890" s="1">
        <f>[1]Services!B$12</f>
        <v>30.256634348009488</v>
      </c>
      <c r="G890" s="1">
        <f>[1]Services!C$12</f>
        <v>26.593110735479414</v>
      </c>
      <c r="H890" s="1">
        <f>[1]Services!D$12</f>
        <v>25.06227777430421</v>
      </c>
      <c r="I890" s="1">
        <f>[1]Services!E$12</f>
        <v>20.973824839460075</v>
      </c>
      <c r="J890" s="1">
        <f>[1]Services!F$12</f>
        <v>14.488791365590451</v>
      </c>
      <c r="K890" s="1">
        <f>[1]Services!G$12</f>
        <v>7.5870613665875144</v>
      </c>
      <c r="L890" s="1">
        <f>[1]Services!H$12</f>
        <v>4.1332670363234048</v>
      </c>
      <c r="M890" s="1">
        <f>[1]Services!I$12</f>
        <v>0</v>
      </c>
      <c r="N890" s="1">
        <f>[1]Services!J$12</f>
        <v>6.368062057482887E-5</v>
      </c>
      <c r="O890" s="1">
        <f>[1]Services!K$12</f>
        <v>9.5448642549156147E-5</v>
      </c>
      <c r="P890" s="1">
        <f>[1]Services!L$12</f>
        <v>9.075731978633531E-5</v>
      </c>
      <c r="Q890" s="1">
        <f>[1]Services!M$12</f>
        <v>1.4222850345013195E-4</v>
      </c>
      <c r="S890" s="3"/>
    </row>
    <row r="891" spans="2:19" x14ac:dyDescent="0.5">
      <c r="B891" s="5" t="str">
        <f>B890</f>
        <v>SPS1</v>
      </c>
      <c r="C891" s="5" t="str">
        <f t="shared" si="1077"/>
        <v>CH</v>
      </c>
      <c r="D891" t="s">
        <v>529</v>
      </c>
      <c r="E891" t="s">
        <v>8</v>
      </c>
      <c r="F891" s="1">
        <f>F890</f>
        <v>30.256634348009488</v>
      </c>
      <c r="G891" s="1">
        <f t="shared" ref="G891:K891" si="1082">G890</f>
        <v>26.593110735479414</v>
      </c>
      <c r="H891" s="1">
        <f t="shared" si="1082"/>
        <v>25.06227777430421</v>
      </c>
      <c r="I891" s="1">
        <f t="shared" si="1082"/>
        <v>20.973824839460075</v>
      </c>
      <c r="J891" s="1">
        <f t="shared" si="1082"/>
        <v>14.488791365590451</v>
      </c>
      <c r="K891" s="1">
        <f t="shared" si="1082"/>
        <v>7.5870613665875144</v>
      </c>
      <c r="L891" s="1">
        <f t="shared" ref="L891:O891" si="1083">L890</f>
        <v>4.1332670363234048</v>
      </c>
      <c r="M891" s="1">
        <f t="shared" si="1083"/>
        <v>0</v>
      </c>
      <c r="N891" s="1">
        <f t="shared" si="1083"/>
        <v>6.368062057482887E-5</v>
      </c>
      <c r="O891" s="1">
        <f t="shared" si="1083"/>
        <v>9.5448642549156147E-5</v>
      </c>
      <c r="P891" s="1">
        <f>P890</f>
        <v>9.075731978633531E-5</v>
      </c>
      <c r="Q891" s="1">
        <f>Q890</f>
        <v>1.4222850345013195E-4</v>
      </c>
      <c r="S891" s="3"/>
    </row>
    <row r="892" spans="2:19" x14ac:dyDescent="0.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O892" si="1084">G893</f>
        <v>0</v>
      </c>
      <c r="H892">
        <f t="shared" si="1084"/>
        <v>1.8729252070257398E-5</v>
      </c>
      <c r="I892">
        <f t="shared" si="1084"/>
        <v>1.374167142814262E-4</v>
      </c>
      <c r="J892">
        <f t="shared" si="1084"/>
        <v>2.1213382882932438E-4</v>
      </c>
      <c r="K892">
        <f t="shared" si="1084"/>
        <v>6.3749759224859443E-5</v>
      </c>
      <c r="L892">
        <f t="shared" si="1084"/>
        <v>2.8535762345022328E-4</v>
      </c>
      <c r="M892">
        <f t="shared" si="1084"/>
        <v>0.8703759017586522</v>
      </c>
      <c r="N892">
        <f t="shared" si="1084"/>
        <v>1.0526340402627865</v>
      </c>
      <c r="O892">
        <f t="shared" si="1084"/>
        <v>0.86319698606826956</v>
      </c>
      <c r="P892">
        <f>P893</f>
        <v>0.86343893200069644</v>
      </c>
      <c r="Q892">
        <f>Q893</f>
        <v>0.86364013997228528</v>
      </c>
      <c r="S892" s="3"/>
    </row>
    <row r="893" spans="2:19" x14ac:dyDescent="0.5">
      <c r="B893" s="5" t="str">
        <f t="shared" si="1076"/>
        <v>SPS1</v>
      </c>
      <c r="C893" s="5" t="str">
        <f t="shared" si="1077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1.8729252070257398E-5</v>
      </c>
      <c r="I893">
        <f>[1]Services!E$13</f>
        <v>1.374167142814262E-4</v>
      </c>
      <c r="J893">
        <f>[1]Services!F$13</f>
        <v>2.1213382882932438E-4</v>
      </c>
      <c r="K893">
        <f>[1]Services!G$13</f>
        <v>6.3749759224859443E-5</v>
      </c>
      <c r="L893">
        <f>[1]Services!H$13</f>
        <v>2.8535762345022328E-4</v>
      </c>
      <c r="M893">
        <f>[1]Services!I$13</f>
        <v>0.8703759017586522</v>
      </c>
      <c r="N893">
        <f>[1]Services!J$13</f>
        <v>1.0526340402627865</v>
      </c>
      <c r="O893">
        <f>[1]Services!K$13</f>
        <v>0.86319698606826956</v>
      </c>
      <c r="P893">
        <f>[1]Services!L$13</f>
        <v>0.86343893200069644</v>
      </c>
      <c r="Q893">
        <f>[1]Services!M$13</f>
        <v>0.86364013997228528</v>
      </c>
      <c r="S893" s="3"/>
    </row>
    <row r="894" spans="2:19" x14ac:dyDescent="0.5">
      <c r="B894" s="5" t="str">
        <f t="shared" si="1076"/>
        <v>SPS1</v>
      </c>
      <c r="C894" s="5" t="str">
        <f t="shared" si="1077"/>
        <v>CH</v>
      </c>
      <c r="D894" t="s">
        <v>501</v>
      </c>
      <c r="E894" t="s">
        <v>8</v>
      </c>
      <c r="F894" s="1">
        <f>SUM(F895:F897)</f>
        <v>26.950965054492698</v>
      </c>
      <c r="G894" s="1">
        <f t="shared" ref="G894:K894" si="1085">SUM(G895:G897)</f>
        <v>28.287004436566814</v>
      </c>
      <c r="H894" s="1">
        <f t="shared" si="1085"/>
        <v>27.518785169333498</v>
      </c>
      <c r="I894" s="1">
        <f t="shared" si="1085"/>
        <v>26.804286375827772</v>
      </c>
      <c r="J894" s="1">
        <f t="shared" si="1085"/>
        <v>28.733664830392158</v>
      </c>
      <c r="K894" s="1">
        <f t="shared" si="1085"/>
        <v>30.76499600394682</v>
      </c>
      <c r="L894" s="1">
        <f t="shared" ref="L894:O894" si="1086">SUM(L895:L897)</f>
        <v>32.739746743666473</v>
      </c>
      <c r="M894" s="1">
        <f t="shared" si="1086"/>
        <v>16.78430485684229</v>
      </c>
      <c r="N894" s="1">
        <f t="shared" si="1086"/>
        <v>19.23870577121038</v>
      </c>
      <c r="O894" s="1">
        <f t="shared" si="1086"/>
        <v>20.786789793629186</v>
      </c>
      <c r="P894" s="1">
        <f>SUM(P895:P897)</f>
        <v>22.684445541306637</v>
      </c>
      <c r="Q894" s="1">
        <f>SUM(Q895:Q897)</f>
        <v>22.488446129730573</v>
      </c>
      <c r="S894" s="3"/>
    </row>
    <row r="895" spans="2:19" x14ac:dyDescent="0.5">
      <c r="B895" s="5" t="str">
        <f t="shared" si="1076"/>
        <v>SPS1</v>
      </c>
      <c r="C895" s="5" t="str">
        <f t="shared" si="1077"/>
        <v>CH</v>
      </c>
      <c r="D895" t="s">
        <v>681</v>
      </c>
      <c r="E895" t="s">
        <v>8</v>
      </c>
      <c r="F895" s="1">
        <f>SUM([1]Services!B$14:B$15)-F896</f>
        <v>25.548687466403656</v>
      </c>
      <c r="G895" s="1">
        <f>SUM([1]Services!C$14:C$15)</f>
        <v>26.749780929813923</v>
      </c>
      <c r="H895" s="1">
        <f>SUM([1]Services!D$14:D$15)</f>
        <v>25.962123849329085</v>
      </c>
      <c r="I895" s="1">
        <f>SUM([1]Services!E$14:E$15)</f>
        <v>25.257943965212021</v>
      </c>
      <c r="J895" s="1">
        <f>SUM([1]Services!F$14:F$15)</f>
        <v>25.602410607538495</v>
      </c>
      <c r="K895" s="1">
        <f>SUM([1]Services!G$14:G$15)</f>
        <v>26.403161134965035</v>
      </c>
      <c r="L895" s="1">
        <f>SUM([1]Services!H$14:H$15)</f>
        <v>24.424330914630225</v>
      </c>
      <c r="M895" s="1">
        <f>SUM([1]Services!I$14:I$15)</f>
        <v>4.1300935773441507</v>
      </c>
      <c r="N895" s="1">
        <f>SUM([1]Services!J$14:J$15)</f>
        <v>4.8787802804718048</v>
      </c>
      <c r="O895" s="1">
        <f>SUM([1]Services!K$14:K$15)</f>
        <v>3.0673364909060745</v>
      </c>
      <c r="P895" s="1">
        <f>SUM([1]Services!L$14:L$15)</f>
        <v>2.5459642185674811</v>
      </c>
      <c r="Q895" s="1">
        <f>SUM([1]Services!M$14:M$15)</f>
        <v>2.3638691284808155</v>
      </c>
      <c r="S895" s="3"/>
    </row>
    <row r="896" spans="2:19" x14ac:dyDescent="0.5">
      <c r="B896" s="5" t="str">
        <f t="shared" ref="B896" si="1087">B895</f>
        <v>SPS1</v>
      </c>
      <c r="C896" s="5" t="str">
        <f t="shared" ref="C896" si="1088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3.0491814679777098E-4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2.7495182999818715E-4</v>
      </c>
      <c r="J896" s="1" cm="1">
        <f t="array" ref="J896">SUMPRODUCT(([1]OUT_FinalEnergyCons!$B$4:$B$10000="Var_Fin")*1, ([1]OUT_FinalEnergyCons!$C$4:$C$10000="SNGA")*1,(ISNUMBER(SEARCH("SCOM-SHngahp",[1]OUT_FinalEnergyCons!$A$4:$A$10000)))*1,[1]OUT_FinalEnergyCons!H$4:H$10000)</f>
        <v>4.1267340583735152E-3</v>
      </c>
      <c r="K896" s="1" cm="1">
        <f t="array" ref="K896">SUMPRODUCT(([1]OUT_FinalEnergyCons!$B$4:$B$10000="Var_Fin")*1, ([1]OUT_FinalEnergyCons!$C$4:$C$10000="SNGA")*1,(ISNUMBER(SEARCH("SCOM-SHngahp",[1]OUT_FinalEnergyCons!$A$4:$A$10000)))*1,[1]OUT_FinalEnergyCons!I$4:I$10000)</f>
        <v>6.3048750985724832E-3</v>
      </c>
      <c r="L896" s="1" cm="1">
        <f t="array" ref="L896">SUMPRODUCT(([1]OUT_FinalEnergyCons!$B$4:$B$10000="Var_Fin")*1, ([1]OUT_FinalEnergyCons!$C$4:$C$10000="SNGA")*1,(ISNUMBER(SEARCH("SCOM-SHngahp",[1]OUT_FinalEnergyCons!$A$4:$A$10000)))*1,[1]OUT_FinalEnergyCons!J$4:J$10000)</f>
        <v>0.21627437783672201</v>
      </c>
      <c r="M896" s="1" cm="1">
        <f t="array" ref="M896">SUMPRODUCT(([1]OUT_FinalEnergyCons!$B$4:$B$10000="Var_Fin")*1, ([1]OUT_FinalEnergyCons!$C$4:$C$10000="SNGA")*1,(ISNUMBER(SEARCH("SCOM-SHngahp",[1]OUT_FinalEnergyCons!$A$4:$A$10000)))*1,[1]OUT_FinalEnergyCons!K$4:K$10000)</f>
        <v>0.54381737288006937</v>
      </c>
      <c r="N896" s="1" cm="1">
        <f t="array" ref="N896">SUMPRODUCT(([1]OUT_FinalEnergyCons!$B$4:$B$10000="Var_Fin")*1, ([1]OUT_FinalEnergyCons!$C$4:$C$10000="SNGA")*1,(ISNUMBER(SEARCH("SCOM-SHngahp",[1]OUT_FinalEnergyCons!$A$4:$A$10000)))*1,[1]OUT_FinalEnergyCons!L$4:L$10000)</f>
        <v>0.90455286896232734</v>
      </c>
      <c r="O896" s="1" cm="1">
        <f t="array" ref="O896">SUMPRODUCT(([1]OUT_FinalEnergyCons!$B$4:$B$10000="Var_Fin")*1, ([1]OUT_FinalEnergyCons!$C$4:$C$10000="SNGA")*1,(ISNUMBER(SEARCH("SCOM-SHngahp",[1]OUT_FinalEnergyCons!$A$4:$A$10000)))*1,[1]OUT_FinalEnergyCons!M$4:M$10000)</f>
        <v>1.2931704630256093</v>
      </c>
      <c r="P896" s="1" cm="1">
        <f t="array" ref="P896">SUMPRODUCT(([1]OUT_FinalEnergyCons!$B$4:$B$10000="Var_Fin")*1, ([1]OUT_FinalEnergyCons!$C$4:$C$10000="SNGA")*1,(ISNUMBER(SEARCH("SCOM-SHngahp",[1]OUT_FinalEnergyCons!$A$4:$A$10000)))*1,[1]OUT_FinalEnergyCons!N$4:N$10000)</f>
        <v>1.711817156516003</v>
      </c>
      <c r="Q896" s="1" cm="1">
        <f t="array" ref="Q896">SUMPRODUCT(([1]OUT_FinalEnergyCons!$B$4:$B$10000="Var_Fin")*1, ([1]OUT_FinalEnergyCons!$C$4:$C$10000="SNGA")*1,(ISNUMBER(SEARCH("SCOM-SHngahp",[1]OUT_FinalEnergyCons!$A$4:$A$10000)))*1,[1]OUT_FinalEnergyCons!O$4:O$10000)</f>
        <v>1.844117013070683</v>
      </c>
      <c r="S896" s="3"/>
    </row>
    <row r="897" spans="2:19" x14ac:dyDescent="0.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1.4022775880890419</v>
      </c>
      <c r="G897" s="1">
        <f>[1]Services!C$16</f>
        <v>1.5372235067528914</v>
      </c>
      <c r="H897" s="1">
        <f>[1]Services!D$16</f>
        <v>1.5563564018576146</v>
      </c>
      <c r="I897" s="1">
        <f>[1]Services!E$16</f>
        <v>1.5460674587857517</v>
      </c>
      <c r="J897" s="1">
        <f>[1]Services!F$16</f>
        <v>3.1271274887952898</v>
      </c>
      <c r="K897" s="1">
        <f>[1]Services!G$16</f>
        <v>4.3555299938832128</v>
      </c>
      <c r="L897" s="1">
        <f>[1]Services!H$16</f>
        <v>8.0991414511995234</v>
      </c>
      <c r="M897" s="1">
        <f>[1]Services!I$16</f>
        <v>12.11039390661807</v>
      </c>
      <c r="N897" s="1">
        <f>[1]Services!J$16</f>
        <v>13.455372621776249</v>
      </c>
      <c r="O897" s="1">
        <f>[1]Services!K$16</f>
        <v>16.426282839697503</v>
      </c>
      <c r="P897" s="1">
        <f>[1]Services!L$16</f>
        <v>18.426664166223155</v>
      </c>
      <c r="Q897" s="1">
        <f>[1]Services!M$16</f>
        <v>18.280459988179075</v>
      </c>
      <c r="S897" s="3"/>
    </row>
    <row r="898" spans="2:19" x14ac:dyDescent="0.5">
      <c r="B898" s="5" t="str">
        <f t="shared" si="1076"/>
        <v>SPS1</v>
      </c>
      <c r="C898" s="5" t="str">
        <f t="shared" si="1077"/>
        <v>CH</v>
      </c>
      <c r="D898" t="s">
        <v>966</v>
      </c>
      <c r="E898" t="s">
        <v>8</v>
      </c>
      <c r="F898" s="1">
        <f>[1]Services!B$14</f>
        <v>25.259838564350456</v>
      </c>
      <c r="G898" s="1">
        <f>[1]Services!C$14</f>
        <v>23.614741190531657</v>
      </c>
      <c r="H898" s="1">
        <f>[1]Services!D$14</f>
        <v>25.954298271505245</v>
      </c>
      <c r="I898" s="1">
        <f>[1]Services!E$14</f>
        <v>25.257874989129132</v>
      </c>
      <c r="J898" s="1">
        <f>[1]Services!F$14</f>
        <v>25.602301372435033</v>
      </c>
      <c r="K898" s="1">
        <f>[1]Services!G$14</f>
        <v>26.268530569982715</v>
      </c>
      <c r="L898" s="1">
        <f>[1]Services!H$14</f>
        <v>24.281202918808535</v>
      </c>
      <c r="M898" s="1">
        <f>[1]Services!I$14</f>
        <v>3.8567270379970009</v>
      </c>
      <c r="N898" s="1">
        <f>[1]Services!J$14</f>
        <v>4.6055732415577202</v>
      </c>
      <c r="O898" s="1">
        <f>[1]Services!K$14</f>
        <v>2.7942139308488105</v>
      </c>
      <c r="P898" s="1">
        <f>[1]Services!L$14</f>
        <v>2.267407877077654</v>
      </c>
      <c r="Q898" s="1">
        <f>[1]Services!M$14</f>
        <v>2.0854618744907762</v>
      </c>
      <c r="S898" s="3"/>
    </row>
    <row r="899" spans="2:19" x14ac:dyDescent="0.5">
      <c r="B899" s="5" t="str">
        <f t="shared" si="1076"/>
        <v>SPS1</v>
      </c>
      <c r="C899" s="5" t="str">
        <f t="shared" si="1077"/>
        <v>CH</v>
      </c>
      <c r="D899" t="s">
        <v>682</v>
      </c>
      <c r="E899" t="s">
        <v>8</v>
      </c>
      <c r="F899" s="1">
        <f>[1]Services!B$14*IFERROR(F895/SUM(F895:F896),0)</f>
        <v>25.259838564350456</v>
      </c>
      <c r="G899" s="1">
        <f>[1]Services!C$14*IFERROR(G895/SUM(G895:G896),0)</f>
        <v>23.614741190531657</v>
      </c>
      <c r="H899" s="1">
        <f>[1]Services!D$14*IFERROR(H895/SUM(H895:H896),0)</f>
        <v>25.953993448847807</v>
      </c>
      <c r="I899" s="1">
        <f>[1]Services!E$14*IFERROR(I895/SUM(I895:I896),0)</f>
        <v>25.257600041043009</v>
      </c>
      <c r="J899" s="1">
        <f>[1]Services!F$14*IFERROR(J895/SUM(J895:J896),0)</f>
        <v>25.598175321042884</v>
      </c>
      <c r="K899" s="1">
        <f>[1]Services!G$14*IFERROR(K895/SUM(K895:K896),0)</f>
        <v>26.262259341166363</v>
      </c>
      <c r="L899" s="1">
        <f>[1]Services!H$14*IFERROR(L895/SUM(L895:L896),0)</f>
        <v>24.068083070815273</v>
      </c>
      <c r="M899" s="1">
        <f>[1]Services!I$14*IFERROR(M895/SUM(M895:M896),0)</f>
        <v>3.4079903829654268</v>
      </c>
      <c r="N899" s="1">
        <f>[1]Services!J$14*IFERROR(N895/SUM(N895:N896),0)</f>
        <v>3.8852300793667642</v>
      </c>
      <c r="O899" s="1">
        <f>[1]Services!K$14*IFERROR(O895/SUM(O895:O896),0)</f>
        <v>1.9655499794038254</v>
      </c>
      <c r="P899" s="1">
        <f>[1]Services!L$14*IFERROR(P895/SUM(P895:P896),0)</f>
        <v>1.3558092385202782</v>
      </c>
      <c r="Q899" s="1">
        <f>[1]Services!M$14*IFERROR(Q895/SUM(Q895:Q896),0)</f>
        <v>1.1715245197824868</v>
      </c>
      <c r="S899" s="3"/>
    </row>
    <row r="900" spans="2:19" x14ac:dyDescent="0.5">
      <c r="B900" s="5" t="str">
        <f>B899</f>
        <v>SPS1</v>
      </c>
      <c r="C900" s="5" t="str">
        <f t="shared" ref="C900" si="1089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90">G898-G899</f>
        <v>0</v>
      </c>
      <c r="H900" s="1">
        <f t="shared" si="1090"/>
        <v>3.0482265743714265E-4</v>
      </c>
      <c r="I900" s="1">
        <f t="shared" si="1090"/>
        <v>2.7494808612260613E-4</v>
      </c>
      <c r="J900" s="1">
        <f t="shared" si="1090"/>
        <v>4.1260513921486108E-3</v>
      </c>
      <c r="K900" s="1">
        <f t="shared" si="1090"/>
        <v>6.2712288163524477E-3</v>
      </c>
      <c r="L900" s="1">
        <f t="shared" ref="L900:O900" si="1091">L898-L899</f>
        <v>0.21311984799326211</v>
      </c>
      <c r="M900" s="1">
        <f t="shared" si="1091"/>
        <v>0.44873665503157412</v>
      </c>
      <c r="N900" s="1">
        <f t="shared" si="1091"/>
        <v>0.72034316219095595</v>
      </c>
      <c r="O900" s="1">
        <f t="shared" si="1091"/>
        <v>0.82866395144498517</v>
      </c>
      <c r="P900" s="1">
        <f>P898-P899</f>
        <v>0.91159863855737577</v>
      </c>
      <c r="Q900" s="1">
        <f>Q898-Q899</f>
        <v>0.91393735470828941</v>
      </c>
      <c r="S900" s="3"/>
    </row>
    <row r="901" spans="2:19" x14ac:dyDescent="0.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1.6911264901422411</v>
      </c>
      <c r="G901" s="1">
        <f>[1]Services!C$15+G904</f>
        <v>4.6722632460351594</v>
      </c>
      <c r="H901" s="1">
        <f>[1]Services!D$15+H904</f>
        <v>1.5641819796814556</v>
      </c>
      <c r="I901" s="1">
        <f>[1]Services!E$15+I904</f>
        <v>1.5461364348686431</v>
      </c>
      <c r="J901" s="1">
        <f>[1]Services!F$15+J904</f>
        <v>3.1272367238987524</v>
      </c>
      <c r="K901" s="1">
        <f>[1]Services!G$15+K904</f>
        <v>4.4901605588655329</v>
      </c>
      <c r="L901" s="1">
        <f>[1]Services!H$15+L904</f>
        <v>8.2422694470212114</v>
      </c>
      <c r="M901" s="1">
        <f>[1]Services!I$15+M904</f>
        <v>12.383760445965219</v>
      </c>
      <c r="N901" s="1">
        <f>[1]Services!J$15+N904</f>
        <v>13.728579660690334</v>
      </c>
      <c r="O901" s="1">
        <f>[1]Services!K$15+O904</f>
        <v>16.699405399754767</v>
      </c>
      <c r="P901" s="1">
        <f>[1]Services!L$15+P904</f>
        <v>18.705220507712983</v>
      </c>
      <c r="Q901" s="1">
        <f>[1]Services!M$15+Q904</f>
        <v>18.558867242169114</v>
      </c>
      <c r="S901" s="3"/>
    </row>
    <row r="902" spans="2:19" x14ac:dyDescent="0.5">
      <c r="B902" s="5" t="str">
        <f t="shared" si="1076"/>
        <v>SPS1</v>
      </c>
      <c r="C902" s="5" t="str">
        <f t="shared" si="1077"/>
        <v>CH</v>
      </c>
      <c r="D902" t="s">
        <v>683</v>
      </c>
      <c r="E902" t="s">
        <v>8</v>
      </c>
      <c r="F902" s="1">
        <f>[1]Services!B$15*F895/SUM(F895:F896)</f>
        <v>0.28884890205319935</v>
      </c>
      <c r="G902" s="1">
        <f>[1]Services!C$15*G895/SUM(G895:G896)</f>
        <v>3.1350397392822678</v>
      </c>
      <c r="H902" s="1">
        <f>[1]Services!D$15*H895/SUM(H895:H896)</f>
        <v>7.8254859156182081E-3</v>
      </c>
      <c r="I902" s="1">
        <f>[1]Services!E$15*I895/SUM(I895:I896)</f>
        <v>6.8975332042719867E-5</v>
      </c>
      <c r="J902" s="1">
        <f>[1]Services!F$15*J895/SUM(J895:J896)</f>
        <v>1.0921749919924983E-4</v>
      </c>
      <c r="K902" s="1">
        <f>[1]Services!G$15*K895/SUM(K895:K896)</f>
        <v>0.13459842389713739</v>
      </c>
      <c r="L902" s="1">
        <f>[1]Services!H$15*L895/SUM(L895:L896)</f>
        <v>0.14187173941564934</v>
      </c>
      <c r="M902" s="1">
        <f>[1]Services!I$15*M895/SUM(M895:M896)</f>
        <v>0.2415598843115094</v>
      </c>
      <c r="N902" s="1">
        <f>[1]Services!J$15*N895/SUM(N895:N896)</f>
        <v>0.23047558898981096</v>
      </c>
      <c r="O902" s="1">
        <f>[1]Services!K$15*O895/SUM(O895:O896)</f>
        <v>0.19212417358902728</v>
      </c>
      <c r="P902" s="1">
        <f>[1]Services!L$15*P895/SUM(P895:P896)</f>
        <v>0.16656432442453881</v>
      </c>
      <c r="Q902" s="1">
        <f>[1]Services!M$15*Q895/SUM(Q895:Q896)</f>
        <v>0.15639745253759821</v>
      </c>
      <c r="S902" s="3"/>
    </row>
    <row r="903" spans="2:19" x14ac:dyDescent="0.5">
      <c r="B903" s="5" t="str">
        <f>B902</f>
        <v>SPS1</v>
      </c>
      <c r="C903" s="5" t="str">
        <f t="shared" ref="C903" si="1092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9.1908222802967054E-8</v>
      </c>
      <c r="I903" s="1">
        <f>[1]Services!E$15*I896/SUM(I895:I896)</f>
        <v>7.5084867541075136E-10</v>
      </c>
      <c r="J903" s="1">
        <f>[1]Services!F$15*J896/SUM(J895:J896)</f>
        <v>1.7604263154158492E-8</v>
      </c>
      <c r="K903" s="1">
        <f>[1]Services!G$15*K896/SUM(K895:K896)</f>
        <v>3.2141085182878E-5</v>
      </c>
      <c r="L903" s="1">
        <f>[1]Services!H$15*L896/SUM(L895:L896)</f>
        <v>1.256256406039512E-3</v>
      </c>
      <c r="M903" s="1">
        <f>[1]Services!I$15*M896/SUM(M895:M896)</f>
        <v>3.1806655035640188E-2</v>
      </c>
      <c r="N903" s="1">
        <f>[1]Services!J$15*N896/SUM(N895:N896)</f>
        <v>4.2731449924273857E-2</v>
      </c>
      <c r="O903" s="1">
        <f>[1]Services!K$15*O896/SUM(O895:O896)</f>
        <v>8.0998386468236608E-2</v>
      </c>
      <c r="P903" s="1">
        <f>[1]Services!L$15*P896/SUM(P895:P896)</f>
        <v>0.11199201706528841</v>
      </c>
      <c r="Q903" s="1">
        <f>[1]Services!M$15*Q896/SUM(Q895:Q896)</f>
        <v>0.1220098014524412</v>
      </c>
      <c r="S903" s="3"/>
    </row>
    <row r="904" spans="2:19" x14ac:dyDescent="0.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1.4022775880890419</v>
      </c>
      <c r="G904" s="1">
        <f>[1]Services!C$16</f>
        <v>1.5372235067528914</v>
      </c>
      <c r="H904" s="1">
        <f>[1]Services!D$16</f>
        <v>1.5563564018576146</v>
      </c>
      <c r="I904" s="1">
        <f>[1]Services!E$16</f>
        <v>1.5460674587857517</v>
      </c>
      <c r="J904" s="1">
        <f>[1]Services!F$16</f>
        <v>3.1271274887952898</v>
      </c>
      <c r="K904" s="1">
        <f>[1]Services!G$16</f>
        <v>4.3555299938832128</v>
      </c>
      <c r="L904" s="1">
        <f>[1]Services!H$16</f>
        <v>8.0991414511995234</v>
      </c>
      <c r="M904" s="1">
        <f>[1]Services!I$16</f>
        <v>12.11039390661807</v>
      </c>
      <c r="N904" s="1">
        <f>[1]Services!J$16</f>
        <v>13.455372621776249</v>
      </c>
      <c r="O904" s="1">
        <f>[1]Services!K$16</f>
        <v>16.426282839697503</v>
      </c>
      <c r="P904" s="1">
        <f>[1]Services!L$16</f>
        <v>18.426664166223155</v>
      </c>
      <c r="Q904" s="1">
        <f>[1]Services!M$16</f>
        <v>18.280459988179075</v>
      </c>
      <c r="S904" s="3"/>
    </row>
    <row r="905" spans="2:19" x14ac:dyDescent="0.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7.7268857222761724</v>
      </c>
      <c r="G905" s="1">
        <f>[1]Services!C$17</f>
        <v>8.3696930398502136</v>
      </c>
      <c r="H905" s="1">
        <f>[1]Services!D$17</f>
        <v>8.6637716730799958</v>
      </c>
      <c r="I905" s="1">
        <f>[1]Services!E$17</f>
        <v>8.6637693616068958</v>
      </c>
      <c r="J905" s="1">
        <f>[1]Services!F$17</f>
        <v>8.3463142473693921</v>
      </c>
      <c r="K905" s="1">
        <f>[1]Services!G$17</f>
        <v>8.0918489934880231</v>
      </c>
      <c r="L905" s="1">
        <f>[1]Services!H$17</f>
        <v>9.5468034414809146</v>
      </c>
      <c r="M905" s="1">
        <f>[1]Services!I$17</f>
        <v>10.666080735249921</v>
      </c>
      <c r="N905" s="1">
        <f>[1]Services!J$17</f>
        <v>10.707885444440425</v>
      </c>
      <c r="O905" s="1">
        <f>[1]Services!K$17</f>
        <v>10.744135050834778</v>
      </c>
      <c r="P905" s="1">
        <f>[1]Services!L$17</f>
        <v>10.691076872364183</v>
      </c>
      <c r="Q905" s="1">
        <f>[1]Services!M$17</f>
        <v>10.781101146183923</v>
      </c>
      <c r="S905" s="3"/>
    </row>
    <row r="906" spans="2:19" x14ac:dyDescent="0.5">
      <c r="B906" s="5" t="str">
        <f t="shared" si="1076"/>
        <v>SPS1</v>
      </c>
      <c r="C906" s="5" t="str">
        <f t="shared" si="1077"/>
        <v>CH</v>
      </c>
      <c r="D906" t="s">
        <v>969</v>
      </c>
      <c r="E906" t="s">
        <v>8</v>
      </c>
      <c r="F906" s="1">
        <f>[1]Services!B$51/0.99</f>
        <v>2.1168844285817681</v>
      </c>
      <c r="G906" s="1">
        <f>[1]Services!C$51/0.99</f>
        <v>2.2929899868137977</v>
      </c>
      <c r="H906" s="1">
        <f>[1]Services!D$51/0.99</f>
        <v>2.5870685385329213</v>
      </c>
      <c r="I906" s="1">
        <f>[1]Services!E$51/0.99</f>
        <v>2.5870662739107324</v>
      </c>
      <c r="J906" s="1">
        <f>[1]Services!F$51/0.99</f>
        <v>2.2696113790033952</v>
      </c>
      <c r="K906" s="1">
        <f>[1]Services!G$51/0.99</f>
        <v>1.7840705174683751</v>
      </c>
      <c r="L906" s="1">
        <f>[1]Services!H$51/0.99</f>
        <v>1.6101731846043772</v>
      </c>
      <c r="M906" s="1">
        <f>[1]Services!I$51/0.99</f>
        <v>2.3189700764411643</v>
      </c>
      <c r="N906" s="1">
        <f>[1]Services!J$51/0.99</f>
        <v>2.3607748166312161</v>
      </c>
      <c r="O906" s="1">
        <f>[1]Services!K$51/0.99</f>
        <v>2.3970237909594894</v>
      </c>
      <c r="P906" s="1">
        <f>[1]Services!L$51/0.99</f>
        <v>2.3439652923027867</v>
      </c>
      <c r="Q906" s="1">
        <f>[1]Services!M$51/0.99</f>
        <v>2.4339880727301515</v>
      </c>
      <c r="S906" s="3"/>
    </row>
    <row r="907" spans="2:19" x14ac:dyDescent="0.5">
      <c r="B907" s="5" t="str">
        <f t="shared" si="1076"/>
        <v>SPS1</v>
      </c>
      <c r="C907" s="5" t="str">
        <f t="shared" si="1077"/>
        <v>CH</v>
      </c>
      <c r="D907" t="s">
        <v>507</v>
      </c>
      <c r="E907" t="s">
        <v>8</v>
      </c>
      <c r="F907" s="1">
        <f>IF(F906-SUM(F908:F911)&lt;0,0,F906-SUM(F908:F911))</f>
        <v>1.4243069021953443</v>
      </c>
      <c r="G907" s="1">
        <f t="shared" ref="G907:K907" si="1093">IF(G906-SUM(G908:G911)&lt;0,0,G906-SUM(G908:G911))</f>
        <v>1.5542390669322588</v>
      </c>
      <c r="H907" s="1">
        <f t="shared" si="1093"/>
        <v>1.4302275894016985</v>
      </c>
      <c r="I907" s="1">
        <f t="shared" si="1093"/>
        <v>1.2353666934889114</v>
      </c>
      <c r="J907" s="1">
        <f t="shared" si="1093"/>
        <v>1.0215499135708266</v>
      </c>
      <c r="K907" s="1">
        <f t="shared" si="1093"/>
        <v>1.0135414209383784</v>
      </c>
      <c r="L907" s="1">
        <f t="shared" ref="L907:O907" si="1094">IF(L906-SUM(L908:L911)&lt;0,0,L906-SUM(L908:L911))</f>
        <v>1.6062147787272052</v>
      </c>
      <c r="M907" s="1">
        <f t="shared" si="1094"/>
        <v>2.3087353946178575</v>
      </c>
      <c r="N907" s="1">
        <f t="shared" si="1094"/>
        <v>2.3437043675378986</v>
      </c>
      <c r="O907" s="1">
        <f t="shared" si="1094"/>
        <v>2.3804207173573833</v>
      </c>
      <c r="P907" s="1">
        <f>IF(P906-SUM(P908:P911)&lt;0,0,P906-SUM(P908:P911))</f>
        <v>2.3365291410179885</v>
      </c>
      <c r="Q907" s="1">
        <f>IF(Q906-SUM(Q908:Q911)&lt;0,0,Q906-SUM(Q908:Q911))</f>
        <v>2.3941815176406775</v>
      </c>
      <c r="S907" s="3"/>
    </row>
    <row r="908" spans="2:19" x14ac:dyDescent="0.5">
      <c r="B908" s="5" t="str">
        <f t="shared" si="1076"/>
        <v>SPS1</v>
      </c>
      <c r="C908" s="5" t="str">
        <f t="shared" si="1077"/>
        <v>CH</v>
      </c>
      <c r="D908" t="s">
        <v>503</v>
      </c>
      <c r="E908" t="s">
        <v>8</v>
      </c>
      <c r="F908" s="1">
        <f t="shared" ref="F908:K908" si="1095">F249*F906/SUM(F248:F250)</f>
        <v>0.69257752638642378</v>
      </c>
      <c r="G908" s="1">
        <f t="shared" si="1095"/>
        <v>0.73875091988153896</v>
      </c>
      <c r="H908" s="1">
        <f t="shared" si="1095"/>
        <v>1.1568409491312228</v>
      </c>
      <c r="I908" s="1">
        <f t="shared" si="1095"/>
        <v>1.3510024103253822</v>
      </c>
      <c r="J908" s="1">
        <f t="shared" si="1095"/>
        <v>1.2465470050440115</v>
      </c>
      <c r="K908" s="1">
        <f t="shared" si="1095"/>
        <v>0.76612512819379219</v>
      </c>
      <c r="L908" s="1">
        <f t="shared" ref="L908:O908" si="1096">L249*L906/SUM(L248:L250)</f>
        <v>0</v>
      </c>
      <c r="M908" s="1">
        <f t="shared" si="1096"/>
        <v>0</v>
      </c>
      <c r="N908" s="1">
        <f t="shared" si="1096"/>
        <v>7.3230926641906606E-4</v>
      </c>
      <c r="O908" s="1">
        <f t="shared" si="1096"/>
        <v>5.9120971604651807E-4</v>
      </c>
      <c r="P908" s="1">
        <f>P249*P906/SUM(P248:P250)</f>
        <v>3.636556728478638E-4</v>
      </c>
      <c r="Q908" s="1">
        <f>Q249*Q906/SUM(Q248:Q250)</f>
        <v>5.3492593464224544E-4</v>
      </c>
      <c r="S908" s="3"/>
    </row>
    <row r="909" spans="2:19" x14ac:dyDescent="0.5">
      <c r="B909" s="5" t="str">
        <f t="shared" si="1076"/>
        <v>SPS1</v>
      </c>
      <c r="C909" s="5" t="str">
        <f t="shared" si="1077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97">H250*H906/SUM(H248:H250)</f>
        <v>0</v>
      </c>
      <c r="I909" s="1">
        <f t="shared" si="1097"/>
        <v>0</v>
      </c>
      <c r="J909" s="1">
        <f t="shared" si="1097"/>
        <v>0</v>
      </c>
      <c r="K909" s="1">
        <f t="shared" si="1097"/>
        <v>0</v>
      </c>
      <c r="L909" s="1">
        <f t="shared" ref="L909:O909" si="1098">L250*L906/SUM(L248:L250)</f>
        <v>0</v>
      </c>
      <c r="M909" s="1">
        <f t="shared" si="1098"/>
        <v>0</v>
      </c>
      <c r="N909" s="1">
        <f t="shared" si="1098"/>
        <v>6.9018385715850382E-5</v>
      </c>
      <c r="O909" s="1">
        <f t="shared" si="1098"/>
        <v>9.1313830034826365E-5</v>
      </c>
      <c r="P909" s="1">
        <f>P250*P906/SUM(P248:P250)</f>
        <v>6.4956285226513516E-5</v>
      </c>
      <c r="Q909" s="1">
        <f>Q250*Q906/SUM(Q248:Q250)</f>
        <v>1.1403956561400187E-4</v>
      </c>
      <c r="S909" s="3"/>
    </row>
    <row r="910" spans="2:19" x14ac:dyDescent="0.5">
      <c r="B910" s="5" t="str">
        <f t="shared" si="1076"/>
        <v>SPS1</v>
      </c>
      <c r="C910" s="5" t="str">
        <f t="shared" si="1077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99">G287*G906/SUM(G248:G250)</f>
        <v>0</v>
      </c>
      <c r="H910" s="1">
        <f t="shared" si="1099"/>
        <v>0</v>
      </c>
      <c r="I910" s="1">
        <f t="shared" si="1099"/>
        <v>3.6000787256498573E-4</v>
      </c>
      <c r="J910" s="1">
        <f t="shared" si="1099"/>
        <v>3.5568885662071002E-4</v>
      </c>
      <c r="K910" s="1">
        <f t="shared" si="1099"/>
        <v>2.7693822204985005E-3</v>
      </c>
      <c r="L910" s="1">
        <f t="shared" ref="L910:O910" si="1100">L287*L906/SUM(L248:L250)</f>
        <v>2.1108999688890938E-3</v>
      </c>
      <c r="M910" s="1">
        <f t="shared" si="1100"/>
        <v>1.2133904545744703E-3</v>
      </c>
      <c r="N910" s="1">
        <f t="shared" si="1100"/>
        <v>5.9527129320442892E-4</v>
      </c>
      <c r="O910" s="1">
        <f t="shared" si="1100"/>
        <v>5.2339917055751919E-4</v>
      </c>
      <c r="P910" s="1">
        <f>P287*P906/SUM(P248:P250)</f>
        <v>4.1666138820591693E-4</v>
      </c>
      <c r="Q910" s="1">
        <f>Q287*Q906/SUM(Q248:Q250)</f>
        <v>6.0449125089820344E-4</v>
      </c>
      <c r="S910" s="3"/>
    </row>
    <row r="911" spans="2:19" x14ac:dyDescent="0.5">
      <c r="B911" s="5" t="str">
        <f t="shared" si="1076"/>
        <v>SPS1</v>
      </c>
      <c r="C911" s="5" t="str">
        <f t="shared" si="1077"/>
        <v>CH</v>
      </c>
      <c r="D911" t="s">
        <v>506</v>
      </c>
      <c r="E911" t="s">
        <v>8</v>
      </c>
      <c r="F911" s="1">
        <f t="shared" ref="F911:K911" si="1101">F290</f>
        <v>0</v>
      </c>
      <c r="G911" s="1">
        <f t="shared" si="1101"/>
        <v>0</v>
      </c>
      <c r="H911" s="1">
        <f t="shared" si="1101"/>
        <v>0</v>
      </c>
      <c r="I911" s="1">
        <f t="shared" si="1101"/>
        <v>3.3716222387384726E-4</v>
      </c>
      <c r="J911" s="1">
        <f t="shared" si="1101"/>
        <v>1.1587715319363568E-3</v>
      </c>
      <c r="K911" s="1">
        <f t="shared" si="1101"/>
        <v>1.634586115705976E-3</v>
      </c>
      <c r="L911" s="1">
        <f t="shared" ref="L911:O911" si="1102">L290</f>
        <v>1.8475059082828991E-3</v>
      </c>
      <c r="M911" s="1">
        <f t="shared" si="1102"/>
        <v>9.0212913687323544E-3</v>
      </c>
      <c r="N911" s="1">
        <f t="shared" si="1102"/>
        <v>1.567385014797832E-2</v>
      </c>
      <c r="O911" s="1">
        <f t="shared" si="1102"/>
        <v>1.5397150885467422E-2</v>
      </c>
      <c r="P911" s="1">
        <f>P290</f>
        <v>6.590877938517762E-3</v>
      </c>
      <c r="Q911" s="1">
        <f>Q290</f>
        <v>3.8553098338319526E-2</v>
      </c>
      <c r="S911" s="3"/>
    </row>
    <row r="912" spans="2:19" x14ac:dyDescent="0.5">
      <c r="B912" s="5" t="str">
        <f t="shared" si="1076"/>
        <v>SPS1</v>
      </c>
      <c r="C912" s="5" t="str">
        <f t="shared" si="1077"/>
        <v>CH</v>
      </c>
      <c r="D912" t="s">
        <v>970</v>
      </c>
      <c r="E912" t="s">
        <v>8</v>
      </c>
      <c r="F912" s="1">
        <f>F905-F906</f>
        <v>5.6100012936944044</v>
      </c>
      <c r="G912" s="1">
        <f t="shared" ref="G912:K912" si="1103">G905-G906</f>
        <v>6.0767030530364163</v>
      </c>
      <c r="H912" s="1">
        <f t="shared" si="1103"/>
        <v>6.0767031345470741</v>
      </c>
      <c r="I912" s="1">
        <f t="shared" si="1103"/>
        <v>6.0767030876961634</v>
      </c>
      <c r="J912" s="1">
        <f t="shared" si="1103"/>
        <v>6.0767028683659969</v>
      </c>
      <c r="K912" s="1">
        <f t="shared" si="1103"/>
        <v>6.3077784760196476</v>
      </c>
      <c r="L912" s="1">
        <f t="shared" ref="L912:O912" si="1104">L905-L906</f>
        <v>7.936630256876537</v>
      </c>
      <c r="M912" s="1">
        <f t="shared" si="1104"/>
        <v>8.3471106588087558</v>
      </c>
      <c r="N912" s="1">
        <f t="shared" si="1104"/>
        <v>8.347110627809208</v>
      </c>
      <c r="O912" s="1">
        <f t="shared" si="1104"/>
        <v>8.3471112598752892</v>
      </c>
      <c r="P912" s="1">
        <f>P905-P906</f>
        <v>8.3471115800613962</v>
      </c>
      <c r="Q912" s="1">
        <f>Q905-Q906</f>
        <v>8.3471130734537713</v>
      </c>
      <c r="S912" s="3"/>
    </row>
    <row r="913" spans="2:19" x14ac:dyDescent="0.5">
      <c r="B913" s="5" t="str">
        <f t="shared" si="1076"/>
        <v>SPS1</v>
      </c>
      <c r="C913" s="5" t="str">
        <f t="shared" si="1077"/>
        <v>CH</v>
      </c>
      <c r="D913" t="s">
        <v>971</v>
      </c>
      <c r="E913" t="s">
        <v>8</v>
      </c>
      <c r="F913" s="1">
        <f>F914</f>
        <v>8.5743683089933977</v>
      </c>
      <c r="G913" s="1">
        <f t="shared" ref="G913:O913" si="1105">G914</f>
        <v>9.8309880699511254</v>
      </c>
      <c r="H913" s="1">
        <f t="shared" si="1105"/>
        <v>9.7624329340088885</v>
      </c>
      <c r="I913" s="1">
        <f t="shared" si="1105"/>
        <v>7.4801964093674371</v>
      </c>
      <c r="J913" s="1">
        <f t="shared" si="1105"/>
        <v>8.3281853462292563</v>
      </c>
      <c r="K913" s="1">
        <f t="shared" si="1105"/>
        <v>9.3889678981972136</v>
      </c>
      <c r="L913" s="1">
        <f t="shared" si="1105"/>
        <v>5.7135901251791283</v>
      </c>
      <c r="M913" s="1">
        <f t="shared" si="1105"/>
        <v>4.4438170381583619</v>
      </c>
      <c r="N913" s="1">
        <f t="shared" si="1105"/>
        <v>0.52513239937786083</v>
      </c>
      <c r="O913" s="1">
        <f t="shared" si="1105"/>
        <v>0.52881146365437381</v>
      </c>
      <c r="P913" s="1">
        <f>P914</f>
        <v>0.52895613858397128</v>
      </c>
      <c r="Q913" s="1">
        <f>Q914</f>
        <v>0.52911787852527992</v>
      </c>
      <c r="S913" s="3"/>
    </row>
    <row r="914" spans="2:19" x14ac:dyDescent="0.5">
      <c r="B914" s="5" t="str">
        <f t="shared" si="1076"/>
        <v>SPS1</v>
      </c>
      <c r="C914" s="5" t="str">
        <f t="shared" si="1077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8.5743683089933977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9.8309880699511254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9.7624329340088885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7.4801964093674371</v>
      </c>
      <c r="J914" s="1" cm="1">
        <f t="array" ref="J914">SUMPRODUCT(([1]OUT_FinalEnergyCons!$B$4:$B$10000="Var_Fin")*1, ISNUMBER(SEARCH("WOD",[1]OUT_FinalEnergyCons!$C$4:$C$10000))*1,(ISNUMBER(SEARCH("SCOM-SHWODBR",[1]OUT_FinalEnergyCons!$A$4:$A$10000)))*1,[1]OUT_FinalEnergyCons!H$4:H$10000)</f>
        <v>8.3281853462292563</v>
      </c>
      <c r="K914" s="1" cm="1">
        <f t="array" ref="K914">SUMPRODUCT(([1]OUT_FinalEnergyCons!$B$4:$B$10000="Var_Fin")*1, ISNUMBER(SEARCH("WOD",[1]OUT_FinalEnergyCons!$C$4:$C$10000))*1,(ISNUMBER(SEARCH("SCOM-SHWODBR",[1]OUT_FinalEnergyCons!$A$4:$A$10000)))*1,[1]OUT_FinalEnergyCons!I$4:I$10000)</f>
        <v>9.3889678981972136</v>
      </c>
      <c r="L914" s="1" cm="1">
        <f t="array" ref="L914">SUMPRODUCT(([1]OUT_FinalEnergyCons!$B$4:$B$10000="Var_Fin")*1, ISNUMBER(SEARCH("WOD",[1]OUT_FinalEnergyCons!$C$4:$C$10000))*1,(ISNUMBER(SEARCH("SCOM-SHWODBR",[1]OUT_FinalEnergyCons!$A$4:$A$10000)))*1,[1]OUT_FinalEnergyCons!J$4:J$10000)</f>
        <v>5.7135901251791283</v>
      </c>
      <c r="M914" s="1" cm="1">
        <f t="array" ref="M914">SUMPRODUCT(([1]OUT_FinalEnergyCons!$B$4:$B$10000="Var_Fin")*1, ISNUMBER(SEARCH("WOD",[1]OUT_FinalEnergyCons!$C$4:$C$10000))*1,(ISNUMBER(SEARCH("SCOM-SHWODBR",[1]OUT_FinalEnergyCons!$A$4:$A$10000)))*1,[1]OUT_FinalEnergyCons!K$4:K$10000)</f>
        <v>4.4438170381583619</v>
      </c>
      <c r="N914" s="1" cm="1">
        <f t="array" ref="N914">SUMPRODUCT(([1]OUT_FinalEnergyCons!$B$4:$B$10000="Var_Fin")*1, ISNUMBER(SEARCH("WOD",[1]OUT_FinalEnergyCons!$C$4:$C$10000))*1,(ISNUMBER(SEARCH("SCOM-SHWODBR",[1]OUT_FinalEnergyCons!$A$4:$A$10000)))*1,[1]OUT_FinalEnergyCons!L$4:L$10000)</f>
        <v>0.52513239937786083</v>
      </c>
      <c r="O914" s="1" cm="1">
        <f t="array" ref="O914">SUMPRODUCT(([1]OUT_FinalEnergyCons!$B$4:$B$10000="Var_Fin")*1, ISNUMBER(SEARCH("WOD",[1]OUT_FinalEnergyCons!$C$4:$C$10000))*1,(ISNUMBER(SEARCH("SCOM-SHWODBR",[1]OUT_FinalEnergyCons!$A$4:$A$10000)))*1,[1]OUT_FinalEnergyCons!M$4:M$10000)</f>
        <v>0.52881146365437381</v>
      </c>
      <c r="P914" s="1" cm="1">
        <f t="array" ref="P914">SUMPRODUCT(([1]OUT_FinalEnergyCons!$B$4:$B$10000="Var_Fin")*1, ISNUMBER(SEARCH("WOD",[1]OUT_FinalEnergyCons!$C$4:$C$10000))*1,(ISNUMBER(SEARCH("SCOM-SHWODBR",[1]OUT_FinalEnergyCons!$A$4:$A$10000)))*1,[1]OUT_FinalEnergyCons!N$4:N$10000)</f>
        <v>0.52895613858397128</v>
      </c>
      <c r="Q914" s="1" cm="1">
        <f t="array" ref="Q914">SUMPRODUCT(([1]OUT_FinalEnergyCons!$B$4:$B$10000="Var_Fin")*1, ISNUMBER(SEARCH("WOD",[1]OUT_FinalEnergyCons!$C$4:$C$10000))*1,(ISNUMBER(SEARCH("SCOM-SHWODBR",[1]OUT_FinalEnergyCons!$A$4:$A$10000)))*1,[1]OUT_FinalEnergyCons!O$4:O$10000)</f>
        <v>0.52911787852527992</v>
      </c>
      <c r="S914" s="3"/>
    </row>
    <row r="915" spans="2:19" x14ac:dyDescent="0.5">
      <c r="B915" s="5" t="str">
        <f t="shared" si="1076"/>
        <v>SPS1</v>
      </c>
      <c r="C915" s="5" t="str">
        <f t="shared" si="1077"/>
        <v>CH</v>
      </c>
      <c r="D915" t="s">
        <v>973</v>
      </c>
      <c r="E915" t="s">
        <v>8</v>
      </c>
      <c r="F915" s="1">
        <f>F916</f>
        <v>2.0856341786007335</v>
      </c>
      <c r="G915" s="1">
        <f t="shared" ref="G915:O915" si="1106">G916</f>
        <v>2.4000913323849185</v>
      </c>
      <c r="H915" s="1">
        <f t="shared" si="1106"/>
        <v>2.3592224312732544</v>
      </c>
      <c r="I915" s="1">
        <f t="shared" si="1106"/>
        <v>2.4190455154191564</v>
      </c>
      <c r="J915" s="1">
        <f t="shared" si="1106"/>
        <v>2.568558666949436</v>
      </c>
      <c r="K915" s="1">
        <f t="shared" si="1106"/>
        <v>2.8397949360617236</v>
      </c>
      <c r="L915" s="1">
        <f t="shared" si="1106"/>
        <v>2.8527471903716393</v>
      </c>
      <c r="M915" s="1">
        <f t="shared" si="1106"/>
        <v>3.0935275674350464</v>
      </c>
      <c r="N915" s="1">
        <f t="shared" si="1106"/>
        <v>2.4325983050244089</v>
      </c>
      <c r="O915" s="1">
        <f t="shared" si="1106"/>
        <v>2.4496569461249953</v>
      </c>
      <c r="P915" s="1">
        <f>P916</f>
        <v>2.4503397560215894</v>
      </c>
      <c r="Q915" s="1">
        <f>Q916</f>
        <v>2.4510446729545121</v>
      </c>
      <c r="S915" s="3"/>
    </row>
    <row r="916" spans="2:19" x14ac:dyDescent="0.5">
      <c r="B916" s="5" t="str">
        <f t="shared" si="1076"/>
        <v>SPS1</v>
      </c>
      <c r="C916" s="5" t="str">
        <f t="shared" si="1077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2.0856341786007335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2.4000913323849185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2.3592224312732544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2.4190455154191564</v>
      </c>
      <c r="J916" s="1" cm="1">
        <f t="array" ref="J916">SUMPRODUCT(([1]OUT_FinalEnergyCons!$B$4:$B$10000="Var_Fin")*1,ISNUMBER(SEARCH("SPLT",[1]OUT_FinalEnergyCons!$C$4:$C$10000))*1, (ISNUMBER(SEARCH("SCOM-SHPLTBR",[1]OUT_FinalEnergyCons!$A$4:$A$10000)))*1,[1]OUT_FinalEnergyCons!H$4:H$10000)</f>
        <v>2.568558666949436</v>
      </c>
      <c r="K916" s="1" cm="1">
        <f t="array" ref="K916">SUMPRODUCT(([1]OUT_FinalEnergyCons!$B$4:$B$10000="Var_Fin")*1,ISNUMBER(SEARCH("SPLT",[1]OUT_FinalEnergyCons!$C$4:$C$10000))*1, (ISNUMBER(SEARCH("SCOM-SHPLTBR",[1]OUT_FinalEnergyCons!$A$4:$A$10000)))*1,[1]OUT_FinalEnergyCons!I$4:I$10000)</f>
        <v>2.8397949360617236</v>
      </c>
      <c r="L916" s="1" cm="1">
        <f t="array" ref="L916">SUMPRODUCT(([1]OUT_FinalEnergyCons!$B$4:$B$10000="Var_Fin")*1,ISNUMBER(SEARCH("SPLT",[1]OUT_FinalEnergyCons!$C$4:$C$10000))*1, (ISNUMBER(SEARCH("SCOM-SHPLTBR",[1]OUT_FinalEnergyCons!$A$4:$A$10000)))*1,[1]OUT_FinalEnergyCons!J$4:J$10000)</f>
        <v>2.8527471903716393</v>
      </c>
      <c r="M916" s="1" cm="1">
        <f t="array" ref="M916">SUMPRODUCT(([1]OUT_FinalEnergyCons!$B$4:$B$10000="Var_Fin")*1,ISNUMBER(SEARCH("SPLT",[1]OUT_FinalEnergyCons!$C$4:$C$10000))*1, (ISNUMBER(SEARCH("SCOM-SHPLTBR",[1]OUT_FinalEnergyCons!$A$4:$A$10000)))*1,[1]OUT_FinalEnergyCons!K$4:K$10000)</f>
        <v>3.0935275674350464</v>
      </c>
      <c r="N916" s="1" cm="1">
        <f t="array" ref="N916">SUMPRODUCT(([1]OUT_FinalEnergyCons!$B$4:$B$10000="Var_Fin")*1,ISNUMBER(SEARCH("SPLT",[1]OUT_FinalEnergyCons!$C$4:$C$10000))*1, (ISNUMBER(SEARCH("SCOM-SHPLTBR",[1]OUT_FinalEnergyCons!$A$4:$A$10000)))*1,[1]OUT_FinalEnergyCons!L$4:L$10000)</f>
        <v>2.4325983050244089</v>
      </c>
      <c r="O916" s="1" cm="1">
        <f t="array" ref="O916">SUMPRODUCT(([1]OUT_FinalEnergyCons!$B$4:$B$10000="Var_Fin")*1,ISNUMBER(SEARCH("SPLT",[1]OUT_FinalEnergyCons!$C$4:$C$10000))*1, (ISNUMBER(SEARCH("SCOM-SHPLTBR",[1]OUT_FinalEnergyCons!$A$4:$A$10000)))*1,[1]OUT_FinalEnergyCons!M$4:M$10000)</f>
        <v>2.4496569461249953</v>
      </c>
      <c r="P916" s="1" cm="1">
        <f t="array" ref="P916">SUMPRODUCT(([1]OUT_FinalEnergyCons!$B$4:$B$10000="Var_Fin")*1,ISNUMBER(SEARCH("SPLT",[1]OUT_FinalEnergyCons!$C$4:$C$10000))*1, (ISNUMBER(SEARCH("SCOM-SHPLTBR",[1]OUT_FinalEnergyCons!$A$4:$A$10000)))*1,[1]OUT_FinalEnergyCons!N$4:N$10000)</f>
        <v>2.4503397560215894</v>
      </c>
      <c r="Q916" s="1" cm="1">
        <f t="array" ref="Q916">SUMPRODUCT(([1]OUT_FinalEnergyCons!$B$4:$B$10000="Var_Fin")*1,ISNUMBER(SEARCH("SPLT",[1]OUT_FinalEnergyCons!$C$4:$C$10000))*1, (ISNUMBER(SEARCH("SCOM-SHPLTBR",[1]OUT_FinalEnergyCons!$A$4:$A$10000)))*1,[1]OUT_FinalEnergyCons!O$4:O$10000)</f>
        <v>2.4510446729545121</v>
      </c>
      <c r="S916" s="3"/>
    </row>
    <row r="917" spans="2:19" x14ac:dyDescent="0.5">
      <c r="B917" s="5" t="str">
        <f t="shared" si="1076"/>
        <v>SPS1</v>
      </c>
      <c r="C917" s="5" t="str">
        <f t="shared" si="1077"/>
        <v>CH</v>
      </c>
      <c r="D917" t="s">
        <v>975</v>
      </c>
      <c r="E917" t="s">
        <v>8</v>
      </c>
      <c r="F917" s="1">
        <f>F918</f>
        <v>0.6269935632269471</v>
      </c>
      <c r="G917" s="1">
        <f t="shared" ref="G917:O917" si="1107">G918</f>
        <v>0.68733257800592096</v>
      </c>
      <c r="H917" s="1">
        <f t="shared" si="1107"/>
        <v>0.68727199143662265</v>
      </c>
      <c r="I917" s="1">
        <f t="shared" si="1107"/>
        <v>0.6958164490337313</v>
      </c>
      <c r="J917" s="1">
        <f t="shared" si="1107"/>
        <v>1.6752479853223963</v>
      </c>
      <c r="K917" s="1">
        <f t="shared" si="1107"/>
        <v>3.3011391086987789</v>
      </c>
      <c r="L917" s="1">
        <f t="shared" si="1107"/>
        <v>3.2768083181368097</v>
      </c>
      <c r="M917" s="1">
        <f t="shared" si="1107"/>
        <v>3.4377367103942649</v>
      </c>
      <c r="N917" s="1">
        <f t="shared" si="1107"/>
        <v>3.4572177131238986</v>
      </c>
      <c r="O917" s="1">
        <f t="shared" si="1107"/>
        <v>3.4572118932949061</v>
      </c>
      <c r="P917" s="1">
        <f>P918</f>
        <v>3.4569941981395282</v>
      </c>
      <c r="Q917" s="1">
        <f>Q918</f>
        <v>3.3452671503619547</v>
      </c>
      <c r="S917" s="3"/>
    </row>
    <row r="918" spans="2:19" x14ac:dyDescent="0.5">
      <c r="B918" s="5" t="str">
        <f t="shared" si="1076"/>
        <v>SPS1</v>
      </c>
      <c r="C918" s="5" t="str">
        <f t="shared" si="1077"/>
        <v>CH</v>
      </c>
      <c r="D918" t="s">
        <v>976</v>
      </c>
      <c r="E918" t="s">
        <v>8</v>
      </c>
      <c r="F918" s="1">
        <f>[1]Services!B$19</f>
        <v>0.6269935632269471</v>
      </c>
      <c r="G918" s="1">
        <f>[1]Services!C$19</f>
        <v>0.68733257800592096</v>
      </c>
      <c r="H918" s="1">
        <f>[1]Services!D$19</f>
        <v>0.68727199143662265</v>
      </c>
      <c r="I918" s="1">
        <f>[1]Services!E$19</f>
        <v>0.6958164490337313</v>
      </c>
      <c r="J918" s="1">
        <f>[1]Services!F$19</f>
        <v>1.6752479853223963</v>
      </c>
      <c r="K918" s="1">
        <f>[1]Services!G$19</f>
        <v>3.3011391086987789</v>
      </c>
      <c r="L918" s="1">
        <f>[1]Services!H$19</f>
        <v>3.2768083181368097</v>
      </c>
      <c r="M918" s="1">
        <f>[1]Services!I$19</f>
        <v>3.4377367103942649</v>
      </c>
      <c r="N918" s="1">
        <f>[1]Services!J$19</f>
        <v>3.4572177131238986</v>
      </c>
      <c r="O918" s="1">
        <f>[1]Services!K$19</f>
        <v>3.4572118932949061</v>
      </c>
      <c r="P918" s="1">
        <f>[1]Services!L$19</f>
        <v>3.4569941981395282</v>
      </c>
      <c r="Q918" s="1">
        <f>[1]Services!M$19</f>
        <v>3.3452671503619547</v>
      </c>
      <c r="S918" s="3"/>
    </row>
    <row r="919" spans="2:19" x14ac:dyDescent="0.5">
      <c r="B919" s="5" t="str">
        <f t="shared" si="1076"/>
        <v>SPS1</v>
      </c>
      <c r="C919" s="5" t="str">
        <f t="shared" si="1077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6.8136488330819585E-4</v>
      </c>
      <c r="J919" s="1">
        <f>[1]Services!F$20</f>
        <v>0.10514108636228833</v>
      </c>
      <c r="K919" s="1">
        <f>[1]Services!G$20</f>
        <v>0.61905955488716913</v>
      </c>
      <c r="L919" s="1">
        <f>[1]Services!H$20</f>
        <v>0.66306945713095544</v>
      </c>
      <c r="M919" s="1">
        <f>[1]Services!I$20</f>
        <v>1.8239692350051171</v>
      </c>
      <c r="N919" s="1">
        <f>[1]Services!J$20</f>
        <v>1.8214853944341396</v>
      </c>
      <c r="O919" s="1">
        <f>[1]Services!K$20</f>
        <v>1.7769923155323983</v>
      </c>
      <c r="P919" s="1">
        <f>[1]Services!L$20</f>
        <v>0.15551776738385686</v>
      </c>
      <c r="Q919" s="1">
        <f>[1]Services!M$20</f>
        <v>2.7631536264323693E-2</v>
      </c>
      <c r="S919" s="3"/>
    </row>
    <row r="920" spans="2:19" x14ac:dyDescent="0.5">
      <c r="B920" s="5" t="str">
        <f t="shared" si="1076"/>
        <v>SPS1</v>
      </c>
      <c r="C920" s="5" t="str">
        <f t="shared" si="1077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108">G919-G921</f>
        <v>0</v>
      </c>
      <c r="H920" s="1">
        <f t="shared" si="1108"/>
        <v>0</v>
      </c>
      <c r="I920" s="1">
        <f t="shared" si="1108"/>
        <v>0</v>
      </c>
      <c r="J920" s="1">
        <f t="shared" si="1108"/>
        <v>0</v>
      </c>
      <c r="K920" s="1">
        <f t="shared" si="1108"/>
        <v>0</v>
      </c>
      <c r="L920" s="1">
        <f t="shared" ref="L920:O920" si="1109">L919-L921</f>
        <v>0</v>
      </c>
      <c r="M920" s="1">
        <f t="shared" si="1109"/>
        <v>0</v>
      </c>
      <c r="N920" s="1">
        <f t="shared" si="1109"/>
        <v>0</v>
      </c>
      <c r="O920" s="1">
        <f t="shared" si="1109"/>
        <v>0</v>
      </c>
      <c r="P920" s="1">
        <f>P919-P921</f>
        <v>0</v>
      </c>
      <c r="Q920" s="1">
        <f>Q919-Q921</f>
        <v>0</v>
      </c>
      <c r="S920" s="3"/>
    </row>
    <row r="921" spans="2:19" x14ac:dyDescent="0.5">
      <c r="B921" s="5" t="str">
        <f t="shared" si="1076"/>
        <v>SPS1</v>
      </c>
      <c r="C921" s="5" t="str">
        <f t="shared" si="1077"/>
        <v>CH</v>
      </c>
      <c r="D921" t="s">
        <v>747</v>
      </c>
      <c r="E921" t="s">
        <v>8</v>
      </c>
      <c r="F921" s="1">
        <f>F922</f>
        <v>0</v>
      </c>
      <c r="G921" s="1">
        <f t="shared" ref="G921:O921" si="1110">G922</f>
        <v>0</v>
      </c>
      <c r="H921" s="1">
        <f t="shared" si="1110"/>
        <v>0</v>
      </c>
      <c r="I921" s="1">
        <f t="shared" si="1110"/>
        <v>6.8136488330819585E-4</v>
      </c>
      <c r="J921" s="1">
        <f t="shared" si="1110"/>
        <v>0.10514108636228833</v>
      </c>
      <c r="K921" s="1">
        <f t="shared" si="1110"/>
        <v>0.61905955488716913</v>
      </c>
      <c r="L921" s="1">
        <f t="shared" si="1110"/>
        <v>0.66306945713095544</v>
      </c>
      <c r="M921" s="1">
        <f t="shared" si="1110"/>
        <v>1.8239692350051171</v>
      </c>
      <c r="N921" s="1">
        <f t="shared" si="1110"/>
        <v>1.8214853944341396</v>
      </c>
      <c r="O921" s="1">
        <f t="shared" si="1110"/>
        <v>1.7769923155323983</v>
      </c>
      <c r="P921" s="1">
        <f>P922</f>
        <v>0.15551776738385686</v>
      </c>
      <c r="Q921" s="1">
        <f>Q922</f>
        <v>2.7631536264323693E-2</v>
      </c>
      <c r="S921" s="3"/>
    </row>
    <row r="922" spans="2:19" x14ac:dyDescent="0.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6.8136488330819585E-4</v>
      </c>
      <c r="J922" s="1">
        <f>[1]Services!F$20</f>
        <v>0.10514108636228833</v>
      </c>
      <c r="K922" s="1">
        <f>[1]Services!G$20</f>
        <v>0.61905955488716913</v>
      </c>
      <c r="L922" s="1">
        <f>[1]Services!H$20</f>
        <v>0.66306945713095544</v>
      </c>
      <c r="M922" s="1">
        <f>[1]Services!I$20</f>
        <v>1.8239692350051171</v>
      </c>
      <c r="N922" s="1">
        <f>[1]Services!J$20</f>
        <v>1.8214853944341396</v>
      </c>
      <c r="O922" s="1">
        <f>[1]Services!K$20</f>
        <v>1.7769923155323983</v>
      </c>
      <c r="P922" s="1">
        <f>[1]Services!L$20</f>
        <v>0.15551776738385686</v>
      </c>
      <c r="Q922" s="1">
        <f>[1]Services!M$20</f>
        <v>2.7631536264323693E-2</v>
      </c>
      <c r="S922" s="3"/>
    </row>
    <row r="923" spans="2:19" x14ac:dyDescent="0.5">
      <c r="B923" s="5" t="str">
        <f t="shared" si="1076"/>
        <v>SPS1</v>
      </c>
      <c r="C923" s="5" t="str">
        <f t="shared" si="1077"/>
        <v>CH</v>
      </c>
      <c r="D923" t="s">
        <v>979</v>
      </c>
      <c r="E923" t="s">
        <v>8</v>
      </c>
      <c r="F923" s="1">
        <f>F924</f>
        <v>2.9295800017889189</v>
      </c>
      <c r="G923" s="1">
        <f t="shared" ref="G923:O923" si="1111">G924</f>
        <v>3.1924489178777971</v>
      </c>
      <c r="H923" s="1">
        <f t="shared" si="1111"/>
        <v>3.3649513419789177</v>
      </c>
      <c r="I923" s="1">
        <f t="shared" si="1111"/>
        <v>3.6714265623724627</v>
      </c>
      <c r="J923" s="1">
        <f t="shared" si="1111"/>
        <v>3.9964962839589417</v>
      </c>
      <c r="K923" s="1">
        <f t="shared" si="1111"/>
        <v>4.3501068717254405</v>
      </c>
      <c r="L923" s="1">
        <f t="shared" si="1111"/>
        <v>4.3953576083978589</v>
      </c>
      <c r="M923" s="1">
        <f t="shared" si="1111"/>
        <v>6.9280741588742334</v>
      </c>
      <c r="N923" s="1">
        <f t="shared" si="1111"/>
        <v>6.9280736704253121</v>
      </c>
      <c r="O923" s="1">
        <f t="shared" si="1111"/>
        <v>6.9280750013926351</v>
      </c>
      <c r="P923" s="1">
        <f>P924</f>
        <v>6.9280751503597431</v>
      </c>
      <c r="Q923" s="1">
        <f>Q924</f>
        <v>7.4635024162298116</v>
      </c>
      <c r="S923" s="3"/>
    </row>
    <row r="924" spans="2:19" x14ac:dyDescent="0.5">
      <c r="B924" s="5" t="str">
        <f t="shared" si="1076"/>
        <v>SPS1</v>
      </c>
      <c r="C924" s="5" t="str">
        <f t="shared" si="1077"/>
        <v>CH</v>
      </c>
      <c r="D924" t="s">
        <v>980</v>
      </c>
      <c r="E924" t="s">
        <v>8</v>
      </c>
      <c r="F924" s="1">
        <f>[1]Services!B$21-F925</f>
        <v>2.9295800017889189</v>
      </c>
      <c r="G924" s="1">
        <f>[1]Services!C$21-G925</f>
        <v>3.1924489178777971</v>
      </c>
      <c r="H924" s="1">
        <f>[1]Services!D$21-H925</f>
        <v>3.3649513419789177</v>
      </c>
      <c r="I924" s="1">
        <f>[1]Services!E$21-I925</f>
        <v>3.6714265623724627</v>
      </c>
      <c r="J924" s="1">
        <f>[1]Services!F$21-J925</f>
        <v>3.9964962839589417</v>
      </c>
      <c r="K924" s="1">
        <f>[1]Services!G$21-K925</f>
        <v>4.3501068717254405</v>
      </c>
      <c r="L924" s="1">
        <f>[1]Services!H$21-L925</f>
        <v>4.3953576083978589</v>
      </c>
      <c r="M924" s="1">
        <f>[1]Services!I$21-M925</f>
        <v>6.9280741588742334</v>
      </c>
      <c r="N924" s="1">
        <f>[1]Services!J$21-N925</f>
        <v>6.9280736704253121</v>
      </c>
      <c r="O924" s="1">
        <f>[1]Services!K$21-O925</f>
        <v>6.9280750013926351</v>
      </c>
      <c r="P924" s="1">
        <f>[1]Services!L$21-P925</f>
        <v>6.9280751503597431</v>
      </c>
      <c r="Q924" s="1">
        <f>[1]Services!M$21-Q925</f>
        <v>7.4635024162298116</v>
      </c>
      <c r="S924" s="3"/>
    </row>
    <row r="925" spans="2:19" x14ac:dyDescent="0.5">
      <c r="B925" s="5" t="str">
        <f t="shared" ref="B925" si="1112">B924</f>
        <v>SPS1</v>
      </c>
      <c r="C925" s="5" t="str">
        <f t="shared" ref="C925" si="1113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2.9881978386181544E-4</v>
      </c>
      <c r="I925" s="1">
        <f>[1]Services!E$50-I896</f>
        <v>2.8594990319811528E-4</v>
      </c>
      <c r="J925" s="1">
        <f>[1]Services!F$50-J896</f>
        <v>4.5394074642108673E-3</v>
      </c>
      <c r="K925" s="1">
        <f>[1]Services!G$50-K896</f>
        <v>7.3136551143440816E-3</v>
      </c>
      <c r="L925" s="1">
        <f>[1]Services!H$50-L896</f>
        <v>0.26385474096080141</v>
      </c>
      <c r="M925" s="1">
        <f>[1]Services!I$50-M896</f>
        <v>0.69608623728648966</v>
      </c>
      <c r="N925" s="1">
        <f>[1]Services!J$50-N896</f>
        <v>1.157827672271778</v>
      </c>
      <c r="O925" s="1">
        <f>[1]Services!K$50-O896</f>
        <v>1.6552581926727812</v>
      </c>
      <c r="P925" s="1">
        <f>[1]Services!L$50-P896</f>
        <v>2.1911259603404813</v>
      </c>
      <c r="Q925" s="1">
        <f>[1]Services!M$50-Q896</f>
        <v>2.3604697767304703</v>
      </c>
      <c r="S925" s="3"/>
    </row>
    <row r="926" spans="2:19" x14ac:dyDescent="0.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73.238320296358964</v>
      </c>
      <c r="G926" s="17">
        <f>[1]Services!C$59</f>
        <v>78.632968268909906</v>
      </c>
      <c r="H926" s="17">
        <f>[1]Services!D$59</f>
        <v>79.113867520430674</v>
      </c>
      <c r="I926" s="17">
        <f>[1]Services!E$59</f>
        <v>77.713085579488521</v>
      </c>
      <c r="J926" s="17">
        <f>[1]Services!F$59</f>
        <v>75.715347459502397</v>
      </c>
      <c r="K926" s="17">
        <f>[1]Services!G$59</f>
        <v>74.879851029295381</v>
      </c>
      <c r="L926" s="17">
        <f>[1]Services!H$59</f>
        <v>72.5494875181097</v>
      </c>
      <c r="M926" s="17">
        <f>[1]Services!I$59</f>
        <v>70.072239726395168</v>
      </c>
      <c r="N926" s="17">
        <f>[1]Services!J$59</f>
        <v>69.205966671949199</v>
      </c>
      <c r="O926" s="17">
        <f>[1]Services!K$59</f>
        <v>69.543026046736159</v>
      </c>
      <c r="P926" s="17">
        <f>[1]Services!L$59</f>
        <v>69.765168880957404</v>
      </c>
      <c r="Q926" s="17">
        <f>[1]Services!M$59</f>
        <v>70.22561762926685</v>
      </c>
      <c r="S926" s="3"/>
    </row>
    <row r="927" spans="2:19" x14ac:dyDescent="0.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63.650017389538441</v>
      </c>
      <c r="G927" s="1">
        <f t="shared" ref="G927:K927" si="1114">SUM(G928:G930)</f>
        <v>63.61289731557212</v>
      </c>
      <c r="H927" s="1">
        <f t="shared" si="1114"/>
        <v>68.652686542031176</v>
      </c>
      <c r="I927" s="1">
        <f t="shared" si="1114"/>
        <v>69.144686380218445</v>
      </c>
      <c r="J927" s="1">
        <f t="shared" si="1114"/>
        <v>69.468002809840286</v>
      </c>
      <c r="K927" s="1">
        <f t="shared" si="1114"/>
        <v>70.017506474779992</v>
      </c>
      <c r="L927" s="1">
        <f t="shared" ref="L927:O927" si="1115">SUM(L928:L930)</f>
        <v>69.215847265121255</v>
      </c>
      <c r="M927" s="1">
        <f t="shared" si="1115"/>
        <v>72.622494404580166</v>
      </c>
      <c r="N927" s="1">
        <f t="shared" si="1115"/>
        <v>73.645965803127083</v>
      </c>
      <c r="O927" s="1">
        <f t="shared" si="1115"/>
        <v>73.590367240564532</v>
      </c>
      <c r="P927" s="1">
        <f>SUM(P928:P930)</f>
        <v>74.400543528714309</v>
      </c>
      <c r="Q927" s="1">
        <f>SUM(Q928:Q930)</f>
        <v>75.901851352655285</v>
      </c>
      <c r="S927" s="3"/>
    </row>
    <row r="928" spans="2:19" x14ac:dyDescent="0.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2.3940355392966617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0.29335338645113973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2.286430325559222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1.8732968081271066</v>
      </c>
      <c r="J928" s="1" cm="1">
        <f t="array" ref="J928">SUMPRODUCT(([1]OUT_FinalEnergyCons!$B$4:$B$10000="Var_FOut")*1, ISNUMBER(SEARCH("SCOM-SHAELC",[1]OUT_FinalEnergyCons!$C$4:$C$10000))*1, (ISNUMBER(SEARCH("SCOM-SHELCBR",[1]OUT_FinalEnergyCons!$A$4:$A$10000)))*1,[1]OUT_FinalEnergyCons!H$4:H$10000)</f>
        <v>1.5800751263814634</v>
      </c>
      <c r="K928" s="1" cm="1">
        <f t="array" ref="K928">SUMPRODUCT(([1]OUT_FinalEnergyCons!$B$4:$B$10000="Var_FOut")*1, ISNUMBER(SEARCH("SCOM-SHAELC",[1]OUT_FinalEnergyCons!$C$4:$C$10000))*1, (ISNUMBER(SEARCH("SCOM-SHELCBR",[1]OUT_FinalEnergyCons!$A$4:$A$10000)))*1,[1]OUT_FinalEnergyCons!I$4:I$10000)</f>
        <v>1.3358057443769178</v>
      </c>
      <c r="L928" s="1" cm="1">
        <f t="array" ref="L928">SUMPRODUCT(([1]OUT_FinalEnergyCons!$B$4:$B$10000="Var_FOut")*1, ISNUMBER(SEARCH("SCOM-SHAELC",[1]OUT_FinalEnergyCons!$C$4:$C$10000))*1, (ISNUMBER(SEARCH("SCOM-SHELCBR",[1]OUT_FinalEnergyCons!$A$4:$A$10000)))*1,[1]OUT_FinalEnergyCons!J$4:J$10000)</f>
        <v>1.0565852284691151</v>
      </c>
      <c r="M928" s="1" cm="1">
        <f t="array" ref="M928">SUMPRODUCT(([1]OUT_FinalEnergyCons!$B$4:$B$10000="Var_FOut")*1, ISNUMBER(SEARCH("SCOM-SHAELC",[1]OUT_FinalEnergyCons!$C$4:$C$10000))*1, (ISNUMBER(SEARCH("SCOM-SHELCBR",[1]OUT_FinalEnergyCons!$A$4:$A$10000)))*1,[1]OUT_FinalEnergyCons!K$4:K$10000)</f>
        <v>1.6066048058622653</v>
      </c>
      <c r="N928" s="1" cm="1">
        <f t="array" ref="N928">SUMPRODUCT(([1]OUT_FinalEnergyCons!$B$4:$B$10000="Var_FOut")*1, ISNUMBER(SEARCH("SCOM-SHAELC",[1]OUT_FinalEnergyCons!$C$4:$C$10000))*1, (ISNUMBER(SEARCH("SCOM-SHELCBR",[1]OUT_FinalEnergyCons!$A$4:$A$10000)))*1,[1]OUT_FinalEnergyCons!L$4:L$10000)</f>
        <v>1.5824666731186381</v>
      </c>
      <c r="O928" s="1" cm="1">
        <f t="array" ref="O928">SUMPRODUCT(([1]OUT_FinalEnergyCons!$B$4:$B$10000="Var_FOut")*1, ISNUMBER(SEARCH("SCOM-SHAELC",[1]OUT_FinalEnergyCons!$C$4:$C$10000))*1, (ISNUMBER(SEARCH("SCOM-SHELCBR",[1]OUT_FinalEnergyCons!$A$4:$A$10000)))*1,[1]OUT_FinalEnergyCons!M$4:M$10000)</f>
        <v>0.67192742596151711</v>
      </c>
      <c r="P928" s="1" cm="1">
        <f t="array" ref="P928">SUMPRODUCT(([1]OUT_FinalEnergyCons!$B$4:$B$10000="Var_FOut")*1, ISNUMBER(SEARCH("SCOM-SHAELC",[1]OUT_FinalEnergyCons!$C$4:$C$10000))*1, (ISNUMBER(SEARCH("SCOM-SHELCBR",[1]OUT_FinalEnergyCons!$A$4:$A$10000)))*1,[1]OUT_FinalEnergyCons!N$4:N$10000)</f>
        <v>0.67205591101560214</v>
      </c>
      <c r="Q928" s="1" cm="1">
        <f t="array" ref="Q928">SUMPRODUCT(([1]OUT_FinalEnergyCons!$B$4:$B$10000="Var_FOut")*1, ISNUMBER(SEARCH("SCOM-SHAELC",[1]OUT_FinalEnergyCons!$C$4:$C$10000))*1, (ISNUMBER(SEARCH("SCOM-SHELCBR",[1]OUT_FinalEnergyCons!$A$4:$A$10000)))*1,[1]OUT_FinalEnergyCons!O$4:O$10000)</f>
        <v>0.67225118305209641</v>
      </c>
      <c r="S928" s="3"/>
    </row>
    <row r="929" spans="2:19" x14ac:dyDescent="0.5">
      <c r="B929" s="5" t="str">
        <f t="shared" ref="B929:B932" si="1116">B928</f>
        <v>SPS1</v>
      </c>
      <c r="C929" s="5" t="str">
        <f t="shared" ref="C929:C932" si="1117">C928</f>
        <v>CH</v>
      </c>
      <c r="D929" t="s">
        <v>729</v>
      </c>
      <c r="E929" t="s">
        <v>8</v>
      </c>
      <c r="F929" s="1">
        <f>[1]Services!B$47</f>
        <v>4.261207275329336</v>
      </c>
      <c r="G929" s="1">
        <f>[1]Services!C$47</f>
        <v>4.6176493276446697</v>
      </c>
      <c r="H929" s="1">
        <f>[1]Services!D$47</f>
        <v>4.8279736645784466</v>
      </c>
      <c r="I929" s="1">
        <f>[1]Services!E$47</f>
        <v>5.2011876300276541</v>
      </c>
      <c r="J929" s="1">
        <f>[1]Services!F$47</f>
        <v>5.5950947975425178</v>
      </c>
      <c r="K929" s="1">
        <f>[1]Services!G$47</f>
        <v>6.0232248993121491</v>
      </c>
      <c r="L929" s="1">
        <f>[1]Services!H$47</f>
        <v>6.0232678337303991</v>
      </c>
      <c r="M929" s="1">
        <f>[1]Services!I$47</f>
        <v>9.4023863584721727</v>
      </c>
      <c r="N929" s="1">
        <f>[1]Services!J$47</f>
        <v>9.4023856955772089</v>
      </c>
      <c r="O929" s="1">
        <f>[1]Services!K$47</f>
        <v>9.4023875018900043</v>
      </c>
      <c r="P929" s="1">
        <f>[1]Services!L$47</f>
        <v>9.4023877040596542</v>
      </c>
      <c r="Q929" s="1">
        <f>[1]Services!M$47</f>
        <v>10.129038993454747</v>
      </c>
      <c r="S929" s="3"/>
    </row>
    <row r="930" spans="2:19" x14ac:dyDescent="0.5">
      <c r="B930" s="5" t="str">
        <f t="shared" si="1116"/>
        <v>SPS1</v>
      </c>
      <c r="C930" s="5" t="str">
        <f t="shared" si="1117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58.701894601476312</v>
      </c>
      <c r="H930" s="1">
        <f>[1]Services!D$3-([1]Services!D$6-[1]Services!D$58)</f>
        <v>61.538282551893502</v>
      </c>
      <c r="I930" s="1">
        <f>[1]Services!E$3-([1]Services!E$6-[1]Services!E$58)</f>
        <v>62.070201942063683</v>
      </c>
      <c r="J930" s="1">
        <f>[1]Services!F$3-([1]Services!F$6-[1]Services!F$58)</f>
        <v>62.292832885916305</v>
      </c>
      <c r="K930" s="1">
        <f>[1]Services!G$3-([1]Services!G$6-[1]Services!G$58)</f>
        <v>62.658475831090925</v>
      </c>
      <c r="L930" s="1">
        <f>[1]Services!H$3-([1]Services!H$6-[1]Services!H$58)</f>
        <v>62.135994202921744</v>
      </c>
      <c r="M930" s="1">
        <f>[1]Services!I$3-([1]Services!I$6-[1]Services!I$58)</f>
        <v>61.613503240245734</v>
      </c>
      <c r="N930" s="1">
        <f>[1]Services!J$3-([1]Services!J$6-[1]Services!J$58)</f>
        <v>62.661113434431236</v>
      </c>
      <c r="O930" s="1">
        <f>[1]Services!K$3-([1]Services!K$6-[1]Services!K$58)</f>
        <v>63.516052312713015</v>
      </c>
      <c r="P930" s="1">
        <f>[1]Services!L$3-([1]Services!L$6-[1]Services!L$58)</f>
        <v>64.326099913639055</v>
      </c>
      <c r="Q930" s="1">
        <f>[1]Services!M$3-([1]Services!M$6-[1]Services!M$58)</f>
        <v>65.100561176148446</v>
      </c>
      <c r="S930" s="3"/>
    </row>
    <row r="931" spans="2:19" x14ac:dyDescent="0.5">
      <c r="B931" s="5" t="str">
        <f t="shared" si="1116"/>
        <v>SPS1</v>
      </c>
      <c r="C931" s="5" t="str">
        <f t="shared" si="1117"/>
        <v>CH</v>
      </c>
      <c r="D931" t="s">
        <v>1040</v>
      </c>
      <c r="E931" t="s">
        <v>8</v>
      </c>
      <c r="F931" s="1">
        <f>F932</f>
        <v>24.843069869076398</v>
      </c>
      <c r="G931" s="1">
        <f t="shared" ref="G931:O931" si="1118">G932</f>
        <v>21.878267330475214</v>
      </c>
      <c r="H931" s="1">
        <f t="shared" si="1118"/>
        <v>20.679982936861091</v>
      </c>
      <c r="I931" s="1">
        <f t="shared" si="1118"/>
        <v>17.391775633213864</v>
      </c>
      <c r="J931" s="1">
        <f t="shared" si="1118"/>
        <v>12.074468448433143</v>
      </c>
      <c r="K931" s="1">
        <f t="shared" si="1118"/>
        <v>6.3542172849404066</v>
      </c>
      <c r="L931" s="1">
        <f t="shared" si="1118"/>
        <v>3.4618501299304869</v>
      </c>
      <c r="M931" s="1">
        <f t="shared" si="1118"/>
        <v>0.72893981772286986</v>
      </c>
      <c r="N931" s="1">
        <f t="shared" si="1118"/>
        <v>0.88163434123981443</v>
      </c>
      <c r="O931" s="1">
        <f t="shared" si="1118"/>
        <v>0.72300741407031044</v>
      </c>
      <c r="P931" s="1">
        <f>P932</f>
        <v>0.72320611480590402</v>
      </c>
      <c r="Q931" s="1">
        <f>Q932</f>
        <v>0.72341773359842754</v>
      </c>
      <c r="S931" s="3"/>
    </row>
    <row r="932" spans="2:19" x14ac:dyDescent="0.5">
      <c r="B932" s="5" t="str">
        <f t="shared" si="1116"/>
        <v>SPS1</v>
      </c>
      <c r="C932" s="5" t="str">
        <f t="shared" si="1117"/>
        <v>CH</v>
      </c>
      <c r="D932" t="s">
        <v>1041</v>
      </c>
      <c r="E932" t="s">
        <v>8</v>
      </c>
      <c r="F932" s="1">
        <f>[1]Services!B$48</f>
        <v>24.843069869076398</v>
      </c>
      <c r="G932" s="1">
        <f>[1]Services!C$48</f>
        <v>21.878267330475214</v>
      </c>
      <c r="H932" s="1">
        <f>[1]Services!D$48</f>
        <v>20.679982936861091</v>
      </c>
      <c r="I932" s="1">
        <f>[1]Services!E$48</f>
        <v>17.391775633213864</v>
      </c>
      <c r="J932" s="1">
        <f>[1]Services!F$48</f>
        <v>12.074468448433143</v>
      </c>
      <c r="K932" s="1">
        <f>[1]Services!G$48</f>
        <v>6.3542172849404066</v>
      </c>
      <c r="L932" s="1">
        <f>[1]Services!H$48</f>
        <v>3.4618501299304869</v>
      </c>
      <c r="M932" s="1">
        <f>[1]Services!I$48</f>
        <v>0.72893981772286986</v>
      </c>
      <c r="N932" s="1">
        <f>[1]Services!J$48</f>
        <v>0.88163434123981443</v>
      </c>
      <c r="O932" s="1">
        <f>[1]Services!K$48</f>
        <v>0.72300741407031044</v>
      </c>
      <c r="P932" s="1">
        <f>[1]Services!L$48</f>
        <v>0.72320611480590402</v>
      </c>
      <c r="Q932" s="1">
        <f>[1]Services!M$48</f>
        <v>0.72341773359842754</v>
      </c>
      <c r="S932" s="3"/>
    </row>
    <row r="933" spans="2:19" x14ac:dyDescent="0.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25.412781241160285</v>
      </c>
      <c r="G933" s="1">
        <f t="shared" ref="G933:K933" si="1119">SUM(G934:G936)</f>
        <v>26.667686584647761</v>
      </c>
      <c r="H933" s="1">
        <f t="shared" si="1119"/>
        <v>25.938928907324787</v>
      </c>
      <c r="I933" s="1">
        <f t="shared" si="1119"/>
        <v>25.263638003022326</v>
      </c>
      <c r="J933" s="1">
        <f t="shared" si="1119"/>
        <v>27.001066104568121</v>
      </c>
      <c r="K933" s="1">
        <f t="shared" si="1119"/>
        <v>28.954929549236947</v>
      </c>
      <c r="L933" s="1">
        <f t="shared" ref="L933:O933" si="1120">SUM(L934:L936)</f>
        <v>30.627011851465731</v>
      </c>
      <c r="M933" s="1">
        <f t="shared" si="1120"/>
        <v>15.318446193751271</v>
      </c>
      <c r="N933" s="1">
        <f t="shared" si="1120"/>
        <v>17.703118167580968</v>
      </c>
      <c r="O933" s="1">
        <f t="shared" si="1120"/>
        <v>19.04413970907887</v>
      </c>
      <c r="P933" s="1">
        <f>SUM(P934:P936)</f>
        <v>20.790181595605674</v>
      </c>
      <c r="Q933" s="1">
        <f>SUM(Q934:Q936)</f>
        <v>20.664032796598228</v>
      </c>
      <c r="S933" s="3"/>
    </row>
    <row r="934" spans="2:19" x14ac:dyDescent="0.5">
      <c r="B934" s="5" t="str">
        <f t="shared" ref="B934:B953" si="1121">B933</f>
        <v>SPS1</v>
      </c>
      <c r="C934" s="5" t="str">
        <f t="shared" ref="C934:C953" si="1122">C933</f>
        <v>CH</v>
      </c>
      <c r="D934" t="s">
        <v>1043</v>
      </c>
      <c r="E934" t="s">
        <v>8</v>
      </c>
      <c r="F934" s="1">
        <f>[1]Services!B$49</f>
        <v>24.189714728829024</v>
      </c>
      <c r="G934" s="1">
        <f>[1]Services!C$49</f>
        <v>25.326920242057891</v>
      </c>
      <c r="H934" s="1">
        <f>[1]Services!D$49</f>
        <v>24.580871115693913</v>
      </c>
      <c r="I934" s="1">
        <f>[1]Services!E$49</f>
        <v>23.914597063736199</v>
      </c>
      <c r="J934" s="1">
        <f>[1]Services!F$49</f>
        <v>24.264919367318285</v>
      </c>
      <c r="K934" s="1">
        <f>[1]Services!G$49</f>
        <v>25.142417758359095</v>
      </c>
      <c r="L934" s="1">
        <f>[1]Services!H$49</f>
        <v>23.082811558931983</v>
      </c>
      <c r="M934" s="1">
        <f>[1]Services!I$49</f>
        <v>3.5158570182324169</v>
      </c>
      <c r="N934" s="1">
        <f>[1]Services!J$49</f>
        <v>3.9049616256336321</v>
      </c>
      <c r="O934" s="1">
        <f>[1]Services!K$49</f>
        <v>1.7687071605963278</v>
      </c>
      <c r="P934" s="1">
        <f>[1]Services!L$49</f>
        <v>0.81550199296934278</v>
      </c>
      <c r="Q934" s="1">
        <f>[1]Services!M$49</f>
        <v>0.51522880510725799</v>
      </c>
      <c r="S934" s="3"/>
    </row>
    <row r="935" spans="2:19" x14ac:dyDescent="0.5">
      <c r="B935" s="5" t="str">
        <f t="shared" ref="B935" si="1123">B934</f>
        <v>SPS1</v>
      </c>
      <c r="C935" s="5" t="str">
        <f t="shared" ref="C935" si="1124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6.0373793065958642E-4</v>
      </c>
      <c r="I935" s="1">
        <f>[1]Services!E$50</f>
        <v>5.6090173319630243E-4</v>
      </c>
      <c r="J935" s="1">
        <f>[1]Services!F$50</f>
        <v>8.6661415225843825E-3</v>
      </c>
      <c r="K935" s="1">
        <f>[1]Services!G$50</f>
        <v>1.3618530212916565E-2</v>
      </c>
      <c r="L935" s="1">
        <f>[1]Services!H$50</f>
        <v>0.48012911879752346</v>
      </c>
      <c r="M935" s="1">
        <f>[1]Services!I$50</f>
        <v>1.239903610166559</v>
      </c>
      <c r="N935" s="1">
        <f>[1]Services!J$50</f>
        <v>2.0623805412341052</v>
      </c>
      <c r="O935" s="1">
        <f>[1]Services!K$50</f>
        <v>2.9484286556983905</v>
      </c>
      <c r="P935" s="1">
        <f>[1]Services!L$50</f>
        <v>3.9029431168564845</v>
      </c>
      <c r="Q935" s="1">
        <f>[1]Services!M$50</f>
        <v>4.2045867898011533</v>
      </c>
      <c r="S935" s="3"/>
    </row>
    <row r="936" spans="2:19" x14ac:dyDescent="0.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1.2230665123312627</v>
      </c>
      <c r="G936" s="1">
        <f>[1]Services!C$56</f>
        <v>1.3407663425898715</v>
      </c>
      <c r="H936" s="1">
        <f>[1]Services!D$56</f>
        <v>1.3574540537002115</v>
      </c>
      <c r="I936" s="1">
        <f>[1]Services!E$56</f>
        <v>1.3484800375529322</v>
      </c>
      <c r="J936" s="1">
        <f>[1]Services!F$56</f>
        <v>2.7274805957272514</v>
      </c>
      <c r="K936" s="1">
        <f>[1]Services!G$56</f>
        <v>3.7988932606649373</v>
      </c>
      <c r="L936" s="1">
        <f>[1]Services!H$56</f>
        <v>7.0640711737362256</v>
      </c>
      <c r="M936" s="1">
        <f>[1]Services!I$56</f>
        <v>10.562685565352295</v>
      </c>
      <c r="N936" s="1">
        <f>[1]Services!J$56</f>
        <v>11.735776000713228</v>
      </c>
      <c r="O936" s="1">
        <f>[1]Services!K$56</f>
        <v>14.327003892784152</v>
      </c>
      <c r="P936" s="1">
        <f>[1]Services!L$56</f>
        <v>16.071736485779844</v>
      </c>
      <c r="Q936" s="1">
        <f>[1]Services!M$56</f>
        <v>15.944217201689815</v>
      </c>
      <c r="S936" s="3"/>
    </row>
    <row r="937" spans="2:19" x14ac:dyDescent="0.5">
      <c r="B937" s="5" t="str">
        <f t="shared" si="1121"/>
        <v>SPS1</v>
      </c>
      <c r="C937" s="5" t="str">
        <f t="shared" si="1122"/>
        <v>CH</v>
      </c>
      <c r="D937" t="s">
        <v>983</v>
      </c>
      <c r="E937" t="s">
        <v>8</v>
      </c>
      <c r="F937" s="1">
        <f>F938+F944</f>
        <v>7.6496168650534146</v>
      </c>
      <c r="G937" s="1">
        <f t="shared" ref="G937:K937" si="1125">G938+G944</f>
        <v>8.2859961094517107</v>
      </c>
      <c r="H937" s="1">
        <f t="shared" si="1125"/>
        <v>8.5771339563491953</v>
      </c>
      <c r="I937" s="1">
        <f t="shared" si="1125"/>
        <v>8.5771316679908232</v>
      </c>
      <c r="J937" s="1">
        <f t="shared" si="1125"/>
        <v>8.2628511048956987</v>
      </c>
      <c r="K937" s="1">
        <f t="shared" si="1125"/>
        <v>8.0109305035531442</v>
      </c>
      <c r="L937" s="1">
        <f t="shared" ref="L937:O937" si="1126">L938+L944</f>
        <v>9.4513354070661073</v>
      </c>
      <c r="M937" s="1">
        <f t="shared" si="1126"/>
        <v>10.559419927897423</v>
      </c>
      <c r="N937" s="1">
        <f t="shared" si="1126"/>
        <v>10.600806589996015</v>
      </c>
      <c r="O937" s="1">
        <f t="shared" si="1126"/>
        <v>10.636693700326433</v>
      </c>
      <c r="P937" s="1">
        <f>P938+P944</f>
        <v>10.584166103640545</v>
      </c>
      <c r="Q937" s="1">
        <f>Q938+Q944</f>
        <v>10.673290134722086</v>
      </c>
      <c r="S937" s="3"/>
    </row>
    <row r="938" spans="2:19" x14ac:dyDescent="0.5">
      <c r="B938" s="5" t="str">
        <f t="shared" si="1121"/>
        <v>SPS1</v>
      </c>
      <c r="C938" s="5" t="str">
        <f t="shared" si="1122"/>
        <v>CH</v>
      </c>
      <c r="D938" t="s">
        <v>984</v>
      </c>
      <c r="E938" t="s">
        <v>8</v>
      </c>
      <c r="F938" s="1">
        <f>[1]Services!B$51</f>
        <v>2.0957155842959505</v>
      </c>
      <c r="G938" s="1">
        <f>[1]Services!C$51</f>
        <v>2.2700600869456595</v>
      </c>
      <c r="H938" s="1">
        <f>[1]Services!D$51</f>
        <v>2.5611978531475921</v>
      </c>
      <c r="I938" s="1">
        <f>[1]Services!E$51</f>
        <v>2.561195611171625</v>
      </c>
      <c r="J938" s="1">
        <f>[1]Services!F$51</f>
        <v>2.246915265213361</v>
      </c>
      <c r="K938" s="1">
        <f>[1]Services!G$51</f>
        <v>1.7662298122936912</v>
      </c>
      <c r="L938" s="1">
        <f>[1]Services!H$51</f>
        <v>1.5940714527583335</v>
      </c>
      <c r="M938" s="1">
        <f>[1]Services!I$51</f>
        <v>2.2957803756767525</v>
      </c>
      <c r="N938" s="1">
        <f>[1]Services!J$51</f>
        <v>2.337167068464904</v>
      </c>
      <c r="O938" s="1">
        <f>[1]Services!K$51</f>
        <v>2.3730535530498944</v>
      </c>
      <c r="P938" s="1">
        <f>[1]Services!L$51</f>
        <v>2.3205256393797589</v>
      </c>
      <c r="Q938" s="1">
        <f>[1]Services!M$51</f>
        <v>2.4096481920028499</v>
      </c>
      <c r="S938" s="3"/>
    </row>
    <row r="939" spans="2:19" x14ac:dyDescent="0.5">
      <c r="B939" s="5" t="str">
        <f t="shared" si="1121"/>
        <v>SPS1</v>
      </c>
      <c r="C939" s="5" t="str">
        <f t="shared" si="1122"/>
        <v>CH</v>
      </c>
      <c r="D939" t="s">
        <v>692</v>
      </c>
      <c r="E939" t="s">
        <v>8</v>
      </c>
      <c r="F939" s="1">
        <f>IFERROR(F907/F$906,0)*F$938</f>
        <v>1.4100638331733908</v>
      </c>
      <c r="G939" s="1">
        <f t="shared" ref="G939:K939" si="1127">IFERROR(G907/G$906,0)*G$938</f>
        <v>1.5386966762629359</v>
      </c>
      <c r="H939" s="1">
        <f t="shared" si="1127"/>
        <v>1.4159253135076815</v>
      </c>
      <c r="I939" s="1">
        <f t="shared" si="1127"/>
        <v>1.2230130265540222</v>
      </c>
      <c r="J939" s="1">
        <f t="shared" si="1127"/>
        <v>1.0113344144351182</v>
      </c>
      <c r="K939" s="1">
        <f t="shared" si="1127"/>
        <v>1.0034060067289945</v>
      </c>
      <c r="L939" s="1">
        <f t="shared" ref="L939:O939" si="1128">IFERROR(L907/L$906,0)*L$938</f>
        <v>1.5901526309399332</v>
      </c>
      <c r="M939" s="1">
        <f t="shared" si="1128"/>
        <v>2.285648040671679</v>
      </c>
      <c r="N939" s="1">
        <f t="shared" si="1128"/>
        <v>2.3202673238625198</v>
      </c>
      <c r="O939" s="1">
        <f t="shared" si="1128"/>
        <v>2.3566165101838092</v>
      </c>
      <c r="P939" s="1">
        <f t="shared" ref="P939:Q943" si="1129">IFERROR(P907/P$906,0)*P$938</f>
        <v>2.3131638496078089</v>
      </c>
      <c r="Q939" s="1">
        <f t="shared" si="1129"/>
        <v>2.3702397024642705</v>
      </c>
      <c r="S939" s="3"/>
    </row>
    <row r="940" spans="2:19" x14ac:dyDescent="0.5">
      <c r="B940" s="5" t="str">
        <f t="shared" si="1121"/>
        <v>SPS1</v>
      </c>
      <c r="C940" s="5" t="str">
        <f t="shared" si="1122"/>
        <v>CH</v>
      </c>
      <c r="D940" t="s">
        <v>693</v>
      </c>
      <c r="E940" t="s">
        <v>8</v>
      </c>
      <c r="F940" s="1">
        <f>IFERROR(F908/F$906,0)*F$938</f>
        <v>0.68565175112255961</v>
      </c>
      <c r="G940" s="1">
        <f t="shared" ref="G940:K943" si="1130">IFERROR(G908/G$906,0)*G$938</f>
        <v>0.73136341068272348</v>
      </c>
      <c r="H940" s="1">
        <f t="shared" si="1130"/>
        <v>1.1452725396399106</v>
      </c>
      <c r="I940" s="1">
        <f t="shared" si="1130"/>
        <v>1.3374923862221282</v>
      </c>
      <c r="J940" s="1">
        <f t="shared" si="1130"/>
        <v>1.2340815349935712</v>
      </c>
      <c r="K940" s="1">
        <f t="shared" si="1130"/>
        <v>0.75846387691185424</v>
      </c>
      <c r="L940" s="1">
        <f t="shared" ref="L940:O940" si="1131">IFERROR(L908/L$906,0)*L$938</f>
        <v>0</v>
      </c>
      <c r="M940" s="1">
        <f t="shared" si="1131"/>
        <v>0</v>
      </c>
      <c r="N940" s="1">
        <f t="shared" si="1131"/>
        <v>7.2498617375487545E-4</v>
      </c>
      <c r="O940" s="1">
        <f t="shared" si="1131"/>
        <v>5.852976188860529E-4</v>
      </c>
      <c r="P940" s="1">
        <f t="shared" si="1129"/>
        <v>3.6001911611938515E-4</v>
      </c>
      <c r="Q940" s="1">
        <f t="shared" si="1129"/>
        <v>5.2957667529582298E-4</v>
      </c>
      <c r="S940" s="3"/>
    </row>
    <row r="941" spans="2:19" x14ac:dyDescent="0.5">
      <c r="B941" s="5" t="str">
        <f t="shared" si="1121"/>
        <v>SPS1</v>
      </c>
      <c r="C941" s="5" t="str">
        <f t="shared" si="1122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130"/>
        <v>0</v>
      </c>
      <c r="H941" s="1">
        <f t="shared" si="1130"/>
        <v>0</v>
      </c>
      <c r="I941" s="1">
        <f t="shared" si="1130"/>
        <v>0</v>
      </c>
      <c r="J941" s="1">
        <f t="shared" si="1130"/>
        <v>0</v>
      </c>
      <c r="K941" s="1">
        <f t="shared" si="1130"/>
        <v>0</v>
      </c>
      <c r="L941" s="1">
        <f t="shared" ref="L941:O941" si="1132">IFERROR(L909/L$906,0)*L$938</f>
        <v>0</v>
      </c>
      <c r="M941" s="1">
        <f t="shared" si="1132"/>
        <v>0</v>
      </c>
      <c r="N941" s="1">
        <f t="shared" si="1132"/>
        <v>6.8328201858691871E-5</v>
      </c>
      <c r="O941" s="1">
        <f t="shared" si="1132"/>
        <v>9.0400691734478103E-5</v>
      </c>
      <c r="P941" s="1">
        <f t="shared" si="1129"/>
        <v>6.4306722374248381E-5</v>
      </c>
      <c r="Q941" s="1">
        <f t="shared" si="1129"/>
        <v>1.1289916995786183E-4</v>
      </c>
      <c r="S941" s="3"/>
    </row>
    <row r="942" spans="2:19" x14ac:dyDescent="0.5">
      <c r="B942" s="5" t="str">
        <f t="shared" si="1121"/>
        <v>SPS1</v>
      </c>
      <c r="C942" s="5" t="str">
        <f t="shared" si="1122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130"/>
        <v>0</v>
      </c>
      <c r="H942" s="1">
        <f t="shared" si="1130"/>
        <v>0</v>
      </c>
      <c r="I942" s="1">
        <f t="shared" si="1130"/>
        <v>3.5640779383933589E-4</v>
      </c>
      <c r="J942" s="1">
        <f t="shared" si="1130"/>
        <v>3.5213196805450287E-4</v>
      </c>
      <c r="K942" s="1">
        <f t="shared" si="1130"/>
        <v>2.7416883982935153E-3</v>
      </c>
      <c r="L942" s="1">
        <f t="shared" ref="L942:O942" si="1133">IFERROR(L910/L$906,0)*L$938</f>
        <v>2.089790969200203E-3</v>
      </c>
      <c r="M942" s="1">
        <f t="shared" si="1133"/>
        <v>1.2012565500287254E-3</v>
      </c>
      <c r="N942" s="1">
        <f t="shared" si="1133"/>
        <v>5.8931858027238464E-4</v>
      </c>
      <c r="O942" s="1">
        <f t="shared" si="1133"/>
        <v>5.1816517885194401E-4</v>
      </c>
      <c r="P942" s="1">
        <f t="shared" si="1129"/>
        <v>4.1249477432385776E-4</v>
      </c>
      <c r="Q942" s="1">
        <f t="shared" si="1129"/>
        <v>5.9844633838922147E-4</v>
      </c>
      <c r="S942" s="3"/>
    </row>
    <row r="943" spans="2:19" x14ac:dyDescent="0.5">
      <c r="B943" s="5" t="str">
        <f t="shared" si="1121"/>
        <v>SPS1</v>
      </c>
      <c r="C943" s="5" t="str">
        <f t="shared" si="1122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130"/>
        <v>0</v>
      </c>
      <c r="H943" s="1">
        <f t="shared" si="1130"/>
        <v>0</v>
      </c>
      <c r="I943" s="1">
        <f t="shared" si="1130"/>
        <v>3.337906016351088E-4</v>
      </c>
      <c r="J943" s="1">
        <f t="shared" si="1130"/>
        <v>1.1471838166169932E-3</v>
      </c>
      <c r="K943" s="1">
        <f t="shared" si="1130"/>
        <v>1.6182402545489162E-3</v>
      </c>
      <c r="L943" s="1">
        <f t="shared" ref="L943:O943" si="1134">IFERROR(L911/L$906,0)*L$938</f>
        <v>1.8290308492000704E-3</v>
      </c>
      <c r="M943" s="1">
        <f t="shared" si="1134"/>
        <v>8.9310784550450297E-3</v>
      </c>
      <c r="N943" s="1">
        <f t="shared" si="1134"/>
        <v>1.5517111646498537E-2</v>
      </c>
      <c r="O943" s="1">
        <f t="shared" si="1134"/>
        <v>1.5243179376612747E-2</v>
      </c>
      <c r="P943" s="1">
        <f t="shared" si="1129"/>
        <v>6.5249691591325841E-3</v>
      </c>
      <c r="Q943" s="1">
        <f t="shared" si="1129"/>
        <v>3.816756735493633E-2</v>
      </c>
      <c r="S943" s="3"/>
    </row>
    <row r="944" spans="2:19" x14ac:dyDescent="0.5">
      <c r="B944" s="5" t="str">
        <f t="shared" si="1121"/>
        <v>SPS1</v>
      </c>
      <c r="C944" s="5" t="str">
        <f t="shared" si="1122"/>
        <v>CH</v>
      </c>
      <c r="D944" t="s">
        <v>985</v>
      </c>
      <c r="E944" t="s">
        <v>8</v>
      </c>
      <c r="F944" s="1">
        <f>[1]Services!B$52</f>
        <v>5.5539012807574641</v>
      </c>
      <c r="G944" s="1">
        <f>[1]Services!C$52</f>
        <v>6.0159360225060512</v>
      </c>
      <c r="H944" s="1">
        <f>[1]Services!D$52</f>
        <v>6.0159361032016028</v>
      </c>
      <c r="I944" s="1">
        <f>[1]Services!E$52</f>
        <v>6.0159360568191973</v>
      </c>
      <c r="J944" s="1">
        <f>[1]Services!F$52</f>
        <v>6.0159358396823368</v>
      </c>
      <c r="K944" s="1">
        <f>[1]Services!G$52</f>
        <v>6.2447006912594532</v>
      </c>
      <c r="L944" s="1">
        <f>[1]Services!H$52</f>
        <v>7.8572639543077729</v>
      </c>
      <c r="M944" s="1">
        <f>[1]Services!I$52</f>
        <v>8.2636395522206705</v>
      </c>
      <c r="N944" s="1">
        <f>[1]Services!J$52</f>
        <v>8.2636395215311111</v>
      </c>
      <c r="O944" s="1">
        <f>[1]Services!K$52</f>
        <v>8.2636401472765382</v>
      </c>
      <c r="P944" s="1">
        <f>[1]Services!L$52</f>
        <v>8.2636404642607868</v>
      </c>
      <c r="Q944" s="1">
        <f>[1]Services!M$52</f>
        <v>8.2636419427192358</v>
      </c>
      <c r="S944" s="3"/>
    </row>
    <row r="945" spans="2:19" x14ac:dyDescent="0.5">
      <c r="B945" s="5" t="str">
        <f t="shared" si="1121"/>
        <v>SPS1</v>
      </c>
      <c r="C945" s="5" t="str">
        <f t="shared" si="1122"/>
        <v>CH</v>
      </c>
      <c r="D945" t="s">
        <v>986</v>
      </c>
      <c r="E945" t="s">
        <v>8</v>
      </c>
      <c r="F945" s="1">
        <f>F946</f>
        <v>6.1735451824752525</v>
      </c>
      <c r="G945" s="1">
        <f t="shared" ref="G945:O945" si="1135">G946</f>
        <v>7.0783114103648037</v>
      </c>
      <c r="H945" s="1">
        <f t="shared" si="1135"/>
        <v>7.0289517124863981</v>
      </c>
      <c r="I945" s="1">
        <f t="shared" si="1135"/>
        <v>5.3857414147445466</v>
      </c>
      <c r="J945" s="1">
        <f t="shared" si="1135"/>
        <v>5.996293449285063</v>
      </c>
      <c r="K945" s="1">
        <f t="shared" si="1135"/>
        <v>6.7600568867019915</v>
      </c>
      <c r="L945" s="1">
        <f t="shared" si="1135"/>
        <v>4.1137848901289686</v>
      </c>
      <c r="M945" s="1">
        <f t="shared" si="1135"/>
        <v>3.1995482674740199</v>
      </c>
      <c r="N945" s="1">
        <f t="shared" si="1135"/>
        <v>0.37809532755205977</v>
      </c>
      <c r="O945" s="1">
        <f t="shared" si="1135"/>
        <v>0.38074425383114924</v>
      </c>
      <c r="P945" s="1">
        <f>P946</f>
        <v>0.38084841978045875</v>
      </c>
      <c r="Q945" s="1">
        <f>Q946</f>
        <v>0.38096487253820144</v>
      </c>
      <c r="S945" s="3"/>
    </row>
    <row r="946" spans="2:19" x14ac:dyDescent="0.5">
      <c r="B946" s="5" t="str">
        <f t="shared" si="1121"/>
        <v>SPS1</v>
      </c>
      <c r="C946" s="5" t="str">
        <f t="shared" si="1122"/>
        <v>CH</v>
      </c>
      <c r="D946" t="s">
        <v>987</v>
      </c>
      <c r="E946" t="s">
        <v>8</v>
      </c>
      <c r="F946" s="1">
        <f>[1]Services!B$53</f>
        <v>6.1735451824752525</v>
      </c>
      <c r="G946" s="1">
        <f>[1]Services!C$53</f>
        <v>7.0783114103648037</v>
      </c>
      <c r="H946" s="1">
        <f>[1]Services!D$53</f>
        <v>7.0289517124863981</v>
      </c>
      <c r="I946" s="1">
        <f>[1]Services!E$53</f>
        <v>5.3857414147445466</v>
      </c>
      <c r="J946" s="1">
        <f>[1]Services!F$53</f>
        <v>5.996293449285063</v>
      </c>
      <c r="K946" s="1">
        <f>[1]Services!G$53</f>
        <v>6.7600568867019915</v>
      </c>
      <c r="L946" s="1">
        <f>[1]Services!H$53</f>
        <v>4.1137848901289686</v>
      </c>
      <c r="M946" s="1">
        <f>[1]Services!I$53</f>
        <v>3.1995482674740199</v>
      </c>
      <c r="N946" s="1">
        <f>[1]Services!J$53</f>
        <v>0.37809532755205977</v>
      </c>
      <c r="O946" s="1">
        <f>[1]Services!K$53</f>
        <v>0.38074425383114924</v>
      </c>
      <c r="P946" s="1">
        <f>[1]Services!L$53</f>
        <v>0.38084841978045875</v>
      </c>
      <c r="Q946" s="1">
        <f>[1]Services!M$53</f>
        <v>0.38096487253820144</v>
      </c>
      <c r="S946" s="3"/>
    </row>
    <row r="947" spans="2:19" x14ac:dyDescent="0.5">
      <c r="B947" s="5" t="str">
        <f t="shared" si="1121"/>
        <v>SPS1</v>
      </c>
      <c r="C947" s="5" t="str">
        <f t="shared" si="1122"/>
        <v>CH</v>
      </c>
      <c r="D947" t="s">
        <v>988</v>
      </c>
      <c r="E947" t="s">
        <v>8</v>
      </c>
      <c r="F947" s="1">
        <f>F948</f>
        <v>1.877070760740662</v>
      </c>
      <c r="G947" s="1">
        <f t="shared" ref="G947:O947" si="1136">G948</f>
        <v>2.1600821991464292</v>
      </c>
      <c r="H947" s="1">
        <f t="shared" si="1136"/>
        <v>2.1233001881459259</v>
      </c>
      <c r="I947" s="1">
        <f t="shared" si="1136"/>
        <v>2.1771409638772403</v>
      </c>
      <c r="J947" s="1">
        <f t="shared" si="1136"/>
        <v>2.3117028002544937</v>
      </c>
      <c r="K947" s="1">
        <f t="shared" si="1136"/>
        <v>2.5558154424555521</v>
      </c>
      <c r="L947" s="1">
        <f t="shared" si="1136"/>
        <v>2.5674724713344741</v>
      </c>
      <c r="M947" s="1">
        <f t="shared" si="1136"/>
        <v>2.7841748106915452</v>
      </c>
      <c r="N947" s="1">
        <f t="shared" si="1136"/>
        <v>2.1893384745219673</v>
      </c>
      <c r="O947" s="1">
        <f t="shared" si="1136"/>
        <v>2.2046912515124921</v>
      </c>
      <c r="P947" s="1">
        <f>P948</f>
        <v>2.2053057804194318</v>
      </c>
      <c r="Q947" s="1">
        <f>Q948</f>
        <v>2.2059402056590591</v>
      </c>
      <c r="S947" s="3"/>
    </row>
    <row r="948" spans="2:19" x14ac:dyDescent="0.5">
      <c r="B948" s="5" t="str">
        <f t="shared" si="1121"/>
        <v>SPS1</v>
      </c>
      <c r="C948" s="5" t="str">
        <f t="shared" si="1122"/>
        <v>CH</v>
      </c>
      <c r="D948" t="s">
        <v>989</v>
      </c>
      <c r="E948" t="s">
        <v>8</v>
      </c>
      <c r="F948" s="1">
        <f>[1]Services!B$54</f>
        <v>1.877070760740662</v>
      </c>
      <c r="G948" s="1">
        <f>[1]Services!C$54</f>
        <v>2.1600821991464292</v>
      </c>
      <c r="H948" s="1">
        <f>[1]Services!D$54</f>
        <v>2.1233001881459259</v>
      </c>
      <c r="I948" s="1">
        <f>[1]Services!E$54</f>
        <v>2.1771409638772403</v>
      </c>
      <c r="J948" s="1">
        <f>[1]Services!F$54</f>
        <v>2.3117028002544937</v>
      </c>
      <c r="K948" s="1">
        <f>[1]Services!G$54</f>
        <v>2.5558154424555521</v>
      </c>
      <c r="L948" s="1">
        <f>[1]Services!H$54</f>
        <v>2.5674724713344741</v>
      </c>
      <c r="M948" s="1">
        <f>[1]Services!I$54</f>
        <v>2.7841748106915452</v>
      </c>
      <c r="N948" s="1">
        <f>[1]Services!J$54</f>
        <v>2.1893384745219673</v>
      </c>
      <c r="O948" s="1">
        <f>[1]Services!K$54</f>
        <v>2.2046912515124921</v>
      </c>
      <c r="P948" s="1">
        <f>[1]Services!L$54</f>
        <v>2.2053057804194318</v>
      </c>
      <c r="Q948" s="1">
        <f>[1]Services!M$54</f>
        <v>2.2059402056590591</v>
      </c>
      <c r="S948" s="3"/>
    </row>
    <row r="949" spans="2:19" x14ac:dyDescent="0.5">
      <c r="B949" s="5" t="str">
        <f t="shared" si="1121"/>
        <v>SPS1</v>
      </c>
      <c r="C949" s="5" t="str">
        <f t="shared" si="1122"/>
        <v>CH</v>
      </c>
      <c r="D949" t="s">
        <v>990</v>
      </c>
      <c r="E949" t="s">
        <v>8</v>
      </c>
      <c r="F949" s="1">
        <f>F950</f>
        <v>0.6269935632269471</v>
      </c>
      <c r="G949" s="1">
        <f t="shared" ref="G949:O949" si="1137">G950</f>
        <v>0.68733257800592096</v>
      </c>
      <c r="H949" s="1">
        <f t="shared" si="1137"/>
        <v>0.68727199143662265</v>
      </c>
      <c r="I949" s="1">
        <f t="shared" si="1137"/>
        <v>0.6958164490337313</v>
      </c>
      <c r="J949" s="1">
        <f t="shared" si="1137"/>
        <v>1.6752479853223963</v>
      </c>
      <c r="K949" s="1">
        <f t="shared" si="1137"/>
        <v>3.3011391086987789</v>
      </c>
      <c r="L949" s="1">
        <f t="shared" si="1137"/>
        <v>3.2768083181368097</v>
      </c>
      <c r="M949" s="1">
        <f t="shared" si="1137"/>
        <v>3.4377367103942649</v>
      </c>
      <c r="N949" s="1">
        <f t="shared" si="1137"/>
        <v>3.4572177131238986</v>
      </c>
      <c r="O949" s="1">
        <f t="shared" si="1137"/>
        <v>3.4572118932949061</v>
      </c>
      <c r="P949" s="1">
        <f>P950</f>
        <v>3.4569941981395282</v>
      </c>
      <c r="Q949" s="1">
        <f>Q950</f>
        <v>3.3452671503619547</v>
      </c>
      <c r="S949" s="3"/>
    </row>
    <row r="950" spans="2:19" x14ac:dyDescent="0.5">
      <c r="B950" s="5" t="str">
        <f t="shared" si="1121"/>
        <v>SPS1</v>
      </c>
      <c r="C950" s="5" t="str">
        <f t="shared" si="1122"/>
        <v>CH</v>
      </c>
      <c r="D950" t="s">
        <v>991</v>
      </c>
      <c r="E950" t="s">
        <v>8</v>
      </c>
      <c r="F950" s="1">
        <f>[1]Services!B$55</f>
        <v>0.6269935632269471</v>
      </c>
      <c r="G950" s="1">
        <f>[1]Services!C$55</f>
        <v>0.68733257800592096</v>
      </c>
      <c r="H950" s="1">
        <f>[1]Services!D$55</f>
        <v>0.68727199143662265</v>
      </c>
      <c r="I950" s="1">
        <f>[1]Services!E$55</f>
        <v>0.6958164490337313</v>
      </c>
      <c r="J950" s="1">
        <f>[1]Services!F$55</f>
        <v>1.6752479853223963</v>
      </c>
      <c r="K950" s="1">
        <f>[1]Services!G$55</f>
        <v>3.3011391086987789</v>
      </c>
      <c r="L950" s="1">
        <f>[1]Services!H$55</f>
        <v>3.2768083181368097</v>
      </c>
      <c r="M950" s="1">
        <f>[1]Services!I$55</f>
        <v>3.4377367103942649</v>
      </c>
      <c r="N950" s="1">
        <f>[1]Services!J$55</f>
        <v>3.4572177131238986</v>
      </c>
      <c r="O950" s="1">
        <f>[1]Services!K$55</f>
        <v>3.4572118932949061</v>
      </c>
      <c r="P950" s="1">
        <f>[1]Services!L$55</f>
        <v>3.4569941981395282</v>
      </c>
      <c r="Q950" s="1">
        <f>[1]Services!M$55</f>
        <v>3.3452671503619547</v>
      </c>
      <c r="S950" s="3"/>
    </row>
    <row r="951" spans="2:19" x14ac:dyDescent="0.5">
      <c r="B951" s="5" t="str">
        <f t="shared" si="1121"/>
        <v>SPS1</v>
      </c>
      <c r="C951" s="5" t="str">
        <f t="shared" si="1122"/>
        <v>CH</v>
      </c>
      <c r="D951" t="s">
        <v>992</v>
      </c>
      <c r="E951" t="s">
        <v>8</v>
      </c>
      <c r="F951" s="1">
        <f>F952</f>
        <v>0</v>
      </c>
      <c r="G951" s="1">
        <f t="shared" ref="G951:O951" si="1138">G952</f>
        <v>0</v>
      </c>
      <c r="H951" s="1">
        <f t="shared" si="1138"/>
        <v>0</v>
      </c>
      <c r="I951" s="1">
        <f t="shared" si="1138"/>
        <v>2.240390895376971E-4</v>
      </c>
      <c r="J951" s="1">
        <f t="shared" si="1138"/>
        <v>7.1302137213360789E-2</v>
      </c>
      <c r="K951" s="1">
        <f t="shared" si="1138"/>
        <v>0.43648125773745688</v>
      </c>
      <c r="L951" s="1">
        <f t="shared" si="1138"/>
        <v>0.46538220127310037</v>
      </c>
      <c r="M951" s="1">
        <f t="shared" si="1138"/>
        <v>1.6066094084990572</v>
      </c>
      <c r="N951" s="1">
        <f t="shared" si="1138"/>
        <v>1.5824685842491588</v>
      </c>
      <c r="O951" s="1">
        <f t="shared" si="1138"/>
        <v>1.5935597815711706</v>
      </c>
      <c r="P951" s="1">
        <f>P952</f>
        <v>0.12152109021943264</v>
      </c>
      <c r="Q951" s="1">
        <f>Q952</f>
        <v>3.0386948823867763E-3</v>
      </c>
      <c r="S951" s="3"/>
    </row>
    <row r="952" spans="2:19" x14ac:dyDescent="0.5">
      <c r="B952" s="5" t="str">
        <f t="shared" si="1121"/>
        <v>SPS1</v>
      </c>
      <c r="C952" s="5" t="str">
        <f t="shared" si="1122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2.240390895376971E-4</v>
      </c>
      <c r="J952" s="1">
        <f>[1]Services!F$57</f>
        <v>7.1302137213360789E-2</v>
      </c>
      <c r="K952" s="1">
        <f>[1]Services!G$57</f>
        <v>0.43648125773745688</v>
      </c>
      <c r="L952" s="1">
        <f>[1]Services!H$57</f>
        <v>0.46538220127310037</v>
      </c>
      <c r="M952" s="1">
        <f>[1]Services!I$57</f>
        <v>1.6066094084990572</v>
      </c>
      <c r="N952" s="1">
        <f>[1]Services!J$57</f>
        <v>1.5824685842491588</v>
      </c>
      <c r="O952" s="1">
        <f>[1]Services!K$57</f>
        <v>1.5935597815711706</v>
      </c>
      <c r="P952" s="1">
        <f>[1]Services!L$57</f>
        <v>0.12152109021943264</v>
      </c>
      <c r="Q952" s="1">
        <f>[1]Services!M$57</f>
        <v>3.0386948823867763E-3</v>
      </c>
      <c r="S952" s="3"/>
    </row>
    <row r="953" spans="2:19" x14ac:dyDescent="0.5">
      <c r="B953" s="5" t="str">
        <f t="shared" si="1121"/>
        <v>SPS1</v>
      </c>
      <c r="C953" s="5" t="str">
        <f t="shared" si="1122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6.9642893427222434</v>
      </c>
      <c r="H953" s="1">
        <f>[1]Services!D$58</f>
        <v>6.963893837688981</v>
      </c>
      <c r="I953" s="1">
        <f>[1]Services!E$58</f>
        <v>11.147132970361705</v>
      </c>
      <c r="J953" s="1">
        <f>[1]Services!F$58</f>
        <v>11.147245505606142</v>
      </c>
      <c r="K953" s="1">
        <f>[1]Services!G$58</f>
        <v>11.147250352282034</v>
      </c>
      <c r="L953" s="1">
        <f>[1]Services!H$58</f>
        <v>11.505989186574514</v>
      </c>
      <c r="M953" s="1">
        <f>[1]Services!I$58</f>
        <v>21.428373425630284</v>
      </c>
      <c r="N953" s="1">
        <f>[1]Services!J$58</f>
        <v>21.428435104989475</v>
      </c>
      <c r="O953" s="1">
        <f>[1]Services!K$58</f>
        <v>21.428663115199303</v>
      </c>
      <c r="P953" s="1">
        <f>[1]Services!L$58</f>
        <v>21.428501963271177</v>
      </c>
      <c r="Q953" s="1">
        <f>[1]Services!M$58</f>
        <v>21.428375864399673</v>
      </c>
      <c r="S953" s="3"/>
    </row>
    <row r="954" spans="2:19" x14ac:dyDescent="0.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M954" s="1" t="s">
        <v>292</v>
      </c>
      <c r="N954" s="1" t="s">
        <v>292</v>
      </c>
      <c r="O954" s="1" t="s">
        <v>292</v>
      </c>
      <c r="P954" s="1" t="s">
        <v>292</v>
      </c>
      <c r="Q954" s="1" t="s">
        <v>292</v>
      </c>
      <c r="S954" s="3"/>
    </row>
    <row r="955" spans="2:19" x14ac:dyDescent="0.5">
      <c r="B955" s="5" t="str">
        <f t="shared" ref="B955:B971" si="1139">B954</f>
        <v>SPS1</v>
      </c>
      <c r="C955" s="5" t="str">
        <f t="shared" ref="C955:C971" si="1140">C954</f>
        <v>CH</v>
      </c>
      <c r="D955" t="s">
        <v>761</v>
      </c>
      <c r="E955" t="s">
        <v>240</v>
      </c>
      <c r="F955" s="4">
        <f t="shared" ref="F955:K957" si="1141">IFERROR(F928/F884,"-")</f>
        <v>0.91249999999999987</v>
      </c>
      <c r="G955" s="4">
        <f t="shared" si="1141"/>
        <v>0.91499999999999959</v>
      </c>
      <c r="H955" s="4">
        <f t="shared" si="1141"/>
        <v>0.91874999999999929</v>
      </c>
      <c r="I955" s="4">
        <f t="shared" si="1141"/>
        <v>0.92499999999999971</v>
      </c>
      <c r="J955" s="4">
        <f t="shared" si="1141"/>
        <v>0.93125000000000069</v>
      </c>
      <c r="K955" s="4">
        <f t="shared" si="1141"/>
        <v>0.93749999999999922</v>
      </c>
      <c r="L955" s="4">
        <f t="shared" ref="L955:O955" si="1142">IFERROR(L928/L884,"-")</f>
        <v>0.94375000000000042</v>
      </c>
      <c r="M955" s="4">
        <f t="shared" si="1142"/>
        <v>0.95000000000000062</v>
      </c>
      <c r="N955" s="4">
        <f t="shared" si="1142"/>
        <v>0.95000000000000118</v>
      </c>
      <c r="O955" s="4">
        <f t="shared" si="1142"/>
        <v>0.94999999999999907</v>
      </c>
      <c r="P955" s="4">
        <f t="shared" ref="P955:Q957" si="1143">IFERROR(P928/P884,"-")</f>
        <v>0.95000000000000095</v>
      </c>
      <c r="Q955" s="4">
        <f t="shared" si="1143"/>
        <v>0.9499999999999994</v>
      </c>
      <c r="S955" s="3"/>
    </row>
    <row r="956" spans="2:19" x14ac:dyDescent="0.5">
      <c r="B956" s="5" t="str">
        <f t="shared" si="1139"/>
        <v>SPS1</v>
      </c>
      <c r="C956" s="5" t="str">
        <f t="shared" si="1140"/>
        <v>CH</v>
      </c>
      <c r="D956" t="s">
        <v>730</v>
      </c>
      <c r="E956" t="s">
        <v>240</v>
      </c>
      <c r="F956" s="4">
        <f t="shared" si="1141"/>
        <v>3.2000000000000015</v>
      </c>
      <c r="G956" s="4">
        <f t="shared" si="1141"/>
        <v>3.2400000000000015</v>
      </c>
      <c r="H956" s="4">
        <f t="shared" si="1141"/>
        <v>3.3000000000000012</v>
      </c>
      <c r="I956" s="4">
        <f t="shared" si="1141"/>
        <v>3.4000000000000012</v>
      </c>
      <c r="J956" s="4">
        <f t="shared" si="1141"/>
        <v>3.4999999999999996</v>
      </c>
      <c r="K956" s="4">
        <f t="shared" si="1141"/>
        <v>3.6</v>
      </c>
      <c r="L956" s="4">
        <f t="shared" ref="L956:O956" si="1144">IFERROR(L929/L885,"-")</f>
        <v>3.7</v>
      </c>
      <c r="M956" s="4">
        <f t="shared" si="1144"/>
        <v>3.8</v>
      </c>
      <c r="N956" s="4">
        <f t="shared" si="1144"/>
        <v>3.7999999999999989</v>
      </c>
      <c r="O956" s="4">
        <f t="shared" si="1144"/>
        <v>3.8000000000000007</v>
      </c>
      <c r="P956" s="4">
        <f t="shared" si="1143"/>
        <v>3.799999999999998</v>
      </c>
      <c r="Q956" s="4">
        <f t="shared" si="1143"/>
        <v>3.7999999999999963</v>
      </c>
      <c r="S956" s="3"/>
    </row>
    <row r="957" spans="2:19" x14ac:dyDescent="0.5">
      <c r="B957" s="5" t="str">
        <f t="shared" si="1139"/>
        <v>SPS1</v>
      </c>
      <c r="C957" s="5" t="str">
        <f t="shared" si="1140"/>
        <v>CH</v>
      </c>
      <c r="D957" t="s">
        <v>699</v>
      </c>
      <c r="E957" t="s">
        <v>240</v>
      </c>
      <c r="F957" s="4">
        <f t="shared" si="1141"/>
        <v>1</v>
      </c>
      <c r="G957" s="4">
        <f t="shared" si="1141"/>
        <v>1</v>
      </c>
      <c r="H957" s="4">
        <f t="shared" si="1141"/>
        <v>1.0000000000000002</v>
      </c>
      <c r="I957" s="4">
        <f t="shared" si="1141"/>
        <v>1</v>
      </c>
      <c r="J957" s="4">
        <f t="shared" si="1141"/>
        <v>1.0000000000000002</v>
      </c>
      <c r="K957" s="4">
        <f t="shared" si="1141"/>
        <v>1</v>
      </c>
      <c r="L957" s="4">
        <f t="shared" ref="L957:O957" si="1145">IFERROR(L930/L886,"-")</f>
        <v>1.0000000000000002</v>
      </c>
      <c r="M957" s="4">
        <f t="shared" si="1145"/>
        <v>1</v>
      </c>
      <c r="N957" s="4">
        <f t="shared" si="1145"/>
        <v>1.0000000000000002</v>
      </c>
      <c r="O957" s="4">
        <f t="shared" si="1145"/>
        <v>1</v>
      </c>
      <c r="P957" s="4">
        <f t="shared" si="1143"/>
        <v>1</v>
      </c>
      <c r="Q957" s="4">
        <f t="shared" si="1143"/>
        <v>1</v>
      </c>
      <c r="S957" s="3"/>
    </row>
    <row r="958" spans="2:19" x14ac:dyDescent="0.5">
      <c r="B958" s="5" t="str">
        <f t="shared" si="1139"/>
        <v>SPS1</v>
      </c>
      <c r="C958" s="5" t="str">
        <f t="shared" si="1140"/>
        <v>CH</v>
      </c>
      <c r="D958" t="s">
        <v>700</v>
      </c>
      <c r="E958" t="s">
        <v>240</v>
      </c>
      <c r="F958" s="4">
        <f t="shared" ref="F958:K958" si="1146">IFERROR(F932/F888,"-")</f>
        <v>0.82107843137254832</v>
      </c>
      <c r="G958" s="4">
        <f t="shared" si="1146"/>
        <v>0.82270432925645465</v>
      </c>
      <c r="H958" s="4">
        <f t="shared" si="1146"/>
        <v>0.82514317608231358</v>
      </c>
      <c r="I958" s="4">
        <f t="shared" si="1146"/>
        <v>0.82920792079207828</v>
      </c>
      <c r="J958" s="4">
        <f t="shared" si="1146"/>
        <v>0.83335396039604015</v>
      </c>
      <c r="K958" s="4">
        <f t="shared" si="1146"/>
        <v>0.83750000000000158</v>
      </c>
      <c r="L958" s="4">
        <f t="shared" ref="L958:O958" si="1147">IFERROR(L932/L888,"-")</f>
        <v>0.83749999999999913</v>
      </c>
      <c r="M958" s="4">
        <f t="shared" si="1147"/>
        <v>0.83749999999999847</v>
      </c>
      <c r="N958" s="4">
        <f t="shared" si="1147"/>
        <v>0.83749999999999925</v>
      </c>
      <c r="O958" s="4">
        <f t="shared" si="1147"/>
        <v>0.83749999999999969</v>
      </c>
      <c r="P958" s="4">
        <f>IFERROR(P932/P888,"-")</f>
        <v>0.83749999999999958</v>
      </c>
      <c r="Q958" s="4">
        <f>IFERROR(Q932/Q888,"-")</f>
        <v>0.83749999999999902</v>
      </c>
      <c r="S958" s="3"/>
    </row>
    <row r="959" spans="2:19" x14ac:dyDescent="0.5">
      <c r="B959" s="5" t="str">
        <f t="shared" si="1139"/>
        <v>SPS1</v>
      </c>
      <c r="C959" s="5" t="str">
        <f t="shared" si="1140"/>
        <v>CH</v>
      </c>
      <c r="D959" t="s">
        <v>701</v>
      </c>
      <c r="E959" t="s">
        <v>240</v>
      </c>
      <c r="F959" s="4">
        <f t="shared" ref="F959:K961" si="1148">IFERROR(F934/F895,"-")</f>
        <v>0.94680851063829907</v>
      </c>
      <c r="G959" s="4">
        <f t="shared" si="1148"/>
        <v>0.94680851063829896</v>
      </c>
      <c r="H959" s="4">
        <f t="shared" si="1148"/>
        <v>0.94679739062754431</v>
      </c>
      <c r="I959" s="4">
        <f t="shared" si="1148"/>
        <v>0.94681487522000896</v>
      </c>
      <c r="J959" s="4">
        <f t="shared" si="1148"/>
        <v>0.94775916765328372</v>
      </c>
      <c r="K959" s="4">
        <f t="shared" si="1148"/>
        <v>0.95225028661676536</v>
      </c>
      <c r="L959" s="4">
        <f t="shared" ref="L959:O959" si="1149">IFERROR(L934/L895,"-")</f>
        <v>0.94507446855403232</v>
      </c>
      <c r="M959" s="4">
        <f t="shared" si="1149"/>
        <v>0.85127781063335672</v>
      </c>
      <c r="N959" s="4">
        <f t="shared" si="1149"/>
        <v>0.8003971077082408</v>
      </c>
      <c r="O959" s="4">
        <f t="shared" si="1149"/>
        <v>0.57662638769503283</v>
      </c>
      <c r="P959" s="4">
        <f t="shared" ref="P959:Q961" si="1150">IFERROR(P934/P895,"-")</f>
        <v>0.32031164736014839</v>
      </c>
      <c r="Q959" s="4">
        <f t="shared" si="1150"/>
        <v>0.21795995340841029</v>
      </c>
      <c r="S959" s="3"/>
    </row>
    <row r="960" spans="2:19" x14ac:dyDescent="0.5">
      <c r="B960" s="5" t="str">
        <f t="shared" si="1139"/>
        <v>SPS1</v>
      </c>
      <c r="C960" s="5" t="str">
        <f t="shared" si="1140"/>
        <v>CH</v>
      </c>
      <c r="D960" t="s">
        <v>731</v>
      </c>
      <c r="E960" t="s">
        <v>240</v>
      </c>
      <c r="F960" s="4" t="str">
        <f t="shared" si="1148"/>
        <v>-</v>
      </c>
      <c r="G960" s="4" t="str">
        <f t="shared" si="1148"/>
        <v>-</v>
      </c>
      <c r="H960" s="4">
        <f t="shared" si="1148"/>
        <v>1.9799999999999995</v>
      </c>
      <c r="I960" s="4">
        <f t="shared" si="1148"/>
        <v>2.0400000000000023</v>
      </c>
      <c r="J960" s="4">
        <f t="shared" si="1148"/>
        <v>2.1</v>
      </c>
      <c r="K960" s="4">
        <f t="shared" si="1148"/>
        <v>2.16</v>
      </c>
      <c r="L960" s="4">
        <f t="shared" ref="L960:O960" si="1151">IFERROR(L935/L896,"-")</f>
        <v>2.2200000000000029</v>
      </c>
      <c r="M960" s="4">
        <f t="shared" si="1151"/>
        <v>2.2800000000000016</v>
      </c>
      <c r="N960" s="4">
        <f t="shared" si="1151"/>
        <v>2.2799999999999989</v>
      </c>
      <c r="O960" s="4">
        <f t="shared" si="1151"/>
        <v>2.2800000000000011</v>
      </c>
      <c r="P960" s="4">
        <f t="shared" si="1150"/>
        <v>2.2799999999999989</v>
      </c>
      <c r="Q960" s="4">
        <f t="shared" si="1150"/>
        <v>2.279999999999998</v>
      </c>
      <c r="S960" s="3"/>
    </row>
    <row r="961" spans="2:19" x14ac:dyDescent="0.5">
      <c r="B961" s="5" t="str">
        <f t="shared" si="1139"/>
        <v>SPS1</v>
      </c>
      <c r="C961" s="5" t="str">
        <f t="shared" si="1140"/>
        <v>CH</v>
      </c>
      <c r="D961" t="s">
        <v>702</v>
      </c>
      <c r="E961" t="s">
        <v>240</v>
      </c>
      <c r="F961" s="4">
        <f t="shared" si="1148"/>
        <v>0.87220000000000031</v>
      </c>
      <c r="G961" s="4">
        <f t="shared" si="1148"/>
        <v>0.87219999999999975</v>
      </c>
      <c r="H961" s="4">
        <f t="shared" si="1148"/>
        <v>0.87220000000000009</v>
      </c>
      <c r="I961" s="4">
        <f t="shared" si="1148"/>
        <v>0.87219999999999975</v>
      </c>
      <c r="J961" s="4">
        <f t="shared" si="1148"/>
        <v>0.87219999999999986</v>
      </c>
      <c r="K961" s="4">
        <f t="shared" si="1148"/>
        <v>0.87219999999999975</v>
      </c>
      <c r="L961" s="4">
        <f t="shared" ref="L961:O961" si="1152">IFERROR(L936/L897,"-")</f>
        <v>0.8722000000000002</v>
      </c>
      <c r="M961" s="4">
        <f t="shared" si="1152"/>
        <v>0.8722000000000012</v>
      </c>
      <c r="N961" s="4">
        <f t="shared" si="1152"/>
        <v>0.87219999999999875</v>
      </c>
      <c r="O961" s="4">
        <f t="shared" si="1152"/>
        <v>0.87219999999999942</v>
      </c>
      <c r="P961" s="4">
        <f t="shared" si="1150"/>
        <v>0.87220000000000042</v>
      </c>
      <c r="Q961" s="4">
        <f t="shared" si="1150"/>
        <v>0.87220000000000142</v>
      </c>
      <c r="S961" s="3"/>
    </row>
    <row r="962" spans="2:19" x14ac:dyDescent="0.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153">IFERROR(F939/F907,"-")</f>
        <v>0.99</v>
      </c>
      <c r="G962" s="4">
        <f t="shared" si="1153"/>
        <v>0.98999999999999988</v>
      </c>
      <c r="H962" s="4">
        <f t="shared" si="1153"/>
        <v>0.99</v>
      </c>
      <c r="I962" s="4">
        <f t="shared" si="1153"/>
        <v>0.99</v>
      </c>
      <c r="J962" s="4">
        <f t="shared" si="1153"/>
        <v>0.98999999999999988</v>
      </c>
      <c r="K962" s="4">
        <f t="shared" si="1153"/>
        <v>0.98999999999999988</v>
      </c>
      <c r="L962" s="4">
        <f t="shared" ref="L962:O962" si="1154">IFERROR(L939/L907,"-")</f>
        <v>0.99</v>
      </c>
      <c r="M962" s="4">
        <f t="shared" si="1154"/>
        <v>0.9900000000000001</v>
      </c>
      <c r="N962" s="4">
        <f t="shared" si="1154"/>
        <v>0.9900000000000001</v>
      </c>
      <c r="O962" s="4">
        <f t="shared" si="1154"/>
        <v>0.98999999999999988</v>
      </c>
      <c r="P962" s="4">
        <f t="shared" ref="P962:Q967" si="1155">IFERROR(P939/P907,"-")</f>
        <v>0.9900000000000001</v>
      </c>
      <c r="Q962" s="4">
        <f t="shared" si="1155"/>
        <v>0.98999999999999988</v>
      </c>
      <c r="S962" s="3"/>
    </row>
    <row r="963" spans="2:19" x14ac:dyDescent="0.5">
      <c r="B963" s="5" t="str">
        <f t="shared" si="1139"/>
        <v>SPS1</v>
      </c>
      <c r="C963" s="5" t="str">
        <f t="shared" si="1140"/>
        <v>CH</v>
      </c>
      <c r="D963" t="s">
        <v>704</v>
      </c>
      <c r="E963" t="s">
        <v>240</v>
      </c>
      <c r="F963" s="4">
        <f t="shared" si="1153"/>
        <v>0.9900000000000001</v>
      </c>
      <c r="G963" s="4">
        <f t="shared" si="1153"/>
        <v>0.98999999999999988</v>
      </c>
      <c r="H963" s="4">
        <f t="shared" si="1153"/>
        <v>0.99</v>
      </c>
      <c r="I963" s="4">
        <f t="shared" si="1153"/>
        <v>0.98999999999999988</v>
      </c>
      <c r="J963" s="4">
        <f t="shared" si="1153"/>
        <v>0.98999999999999988</v>
      </c>
      <c r="K963" s="4">
        <f t="shared" si="1153"/>
        <v>0.99</v>
      </c>
      <c r="L963" s="4" t="str">
        <f t="shared" ref="L963:O963" si="1156">IFERROR(L940/L908,"-")</f>
        <v>-</v>
      </c>
      <c r="M963" s="4" t="str">
        <f t="shared" si="1156"/>
        <v>-</v>
      </c>
      <c r="N963" s="4">
        <f t="shared" si="1156"/>
        <v>0.9900000000000001</v>
      </c>
      <c r="O963" s="4">
        <f t="shared" si="1156"/>
        <v>0.99</v>
      </c>
      <c r="P963" s="4">
        <f t="shared" si="1155"/>
        <v>0.99</v>
      </c>
      <c r="Q963" s="4">
        <f t="shared" si="1155"/>
        <v>0.99</v>
      </c>
      <c r="S963" s="3"/>
    </row>
    <row r="964" spans="2:19" x14ac:dyDescent="0.5">
      <c r="B964" s="5" t="str">
        <f t="shared" si="1139"/>
        <v>SPS1</v>
      </c>
      <c r="C964" s="5" t="str">
        <f t="shared" si="1140"/>
        <v>CH</v>
      </c>
      <c r="D964" t="s">
        <v>705</v>
      </c>
      <c r="E964" t="s">
        <v>240</v>
      </c>
      <c r="F964" s="4" t="str">
        <f t="shared" si="1153"/>
        <v>-</v>
      </c>
      <c r="G964" s="4" t="str">
        <f t="shared" si="1153"/>
        <v>-</v>
      </c>
      <c r="H964" s="4" t="str">
        <f t="shared" si="1153"/>
        <v>-</v>
      </c>
      <c r="I964" s="4" t="str">
        <f t="shared" si="1153"/>
        <v>-</v>
      </c>
      <c r="J964" s="4" t="str">
        <f t="shared" si="1153"/>
        <v>-</v>
      </c>
      <c r="K964" s="4" t="str">
        <f t="shared" si="1153"/>
        <v>-</v>
      </c>
      <c r="L964" s="4" t="str">
        <f t="shared" ref="L964:O964" si="1157">IFERROR(L941/L909,"-")</f>
        <v>-</v>
      </c>
      <c r="M964" s="4" t="str">
        <f t="shared" si="1157"/>
        <v>-</v>
      </c>
      <c r="N964" s="4">
        <f t="shared" si="1157"/>
        <v>0.98999999999999988</v>
      </c>
      <c r="O964" s="4">
        <f t="shared" si="1157"/>
        <v>0.99</v>
      </c>
      <c r="P964" s="4">
        <f t="shared" si="1155"/>
        <v>0.99</v>
      </c>
      <c r="Q964" s="4">
        <f t="shared" si="1155"/>
        <v>0.98999999999999988</v>
      </c>
      <c r="S964" s="3"/>
    </row>
    <row r="965" spans="2:19" x14ac:dyDescent="0.5">
      <c r="B965" s="5" t="str">
        <f t="shared" si="1139"/>
        <v>SPS1</v>
      </c>
      <c r="C965" s="5" t="str">
        <f t="shared" si="1140"/>
        <v>CH</v>
      </c>
      <c r="D965" t="s">
        <v>706</v>
      </c>
      <c r="E965" t="s">
        <v>240</v>
      </c>
      <c r="F965" s="4" t="str">
        <f t="shared" si="1153"/>
        <v>-</v>
      </c>
      <c r="G965" s="4" t="str">
        <f t="shared" si="1153"/>
        <v>-</v>
      </c>
      <c r="H965" s="4" t="str">
        <f t="shared" si="1153"/>
        <v>-</v>
      </c>
      <c r="I965" s="4">
        <f t="shared" si="1153"/>
        <v>0.9900000000000001</v>
      </c>
      <c r="J965" s="4">
        <f t="shared" si="1153"/>
        <v>0.98999999999999988</v>
      </c>
      <c r="K965" s="4">
        <f t="shared" si="1153"/>
        <v>0.99</v>
      </c>
      <c r="L965" s="4">
        <f t="shared" ref="L965:O965" si="1158">IFERROR(L942/L910,"-")</f>
        <v>0.99</v>
      </c>
      <c r="M965" s="4">
        <f t="shared" si="1158"/>
        <v>0.98999999999999988</v>
      </c>
      <c r="N965" s="4">
        <f t="shared" si="1158"/>
        <v>0.99</v>
      </c>
      <c r="O965" s="4">
        <f t="shared" si="1158"/>
        <v>0.99</v>
      </c>
      <c r="P965" s="4">
        <f t="shared" si="1155"/>
        <v>0.99</v>
      </c>
      <c r="Q965" s="4">
        <f t="shared" si="1155"/>
        <v>0.9900000000000001</v>
      </c>
      <c r="S965" s="3"/>
    </row>
    <row r="966" spans="2:19" x14ac:dyDescent="0.5">
      <c r="B966" s="5" t="str">
        <f t="shared" si="1139"/>
        <v>SPS1</v>
      </c>
      <c r="C966" s="5" t="str">
        <f t="shared" si="1140"/>
        <v>CH</v>
      </c>
      <c r="D966" t="s">
        <v>707</v>
      </c>
      <c r="E966" t="s">
        <v>240</v>
      </c>
      <c r="F966" s="4" t="str">
        <f t="shared" si="1153"/>
        <v>-</v>
      </c>
      <c r="G966" s="4" t="str">
        <f t="shared" si="1153"/>
        <v>-</v>
      </c>
      <c r="H966" s="4" t="str">
        <f t="shared" si="1153"/>
        <v>-</v>
      </c>
      <c r="I966" s="4">
        <f t="shared" si="1153"/>
        <v>0.99</v>
      </c>
      <c r="J966" s="4">
        <f t="shared" si="1153"/>
        <v>0.99</v>
      </c>
      <c r="K966" s="4">
        <f t="shared" si="1153"/>
        <v>0.99</v>
      </c>
      <c r="L966" s="4">
        <f t="shared" ref="L966:O966" si="1159">IFERROR(L943/L911,"-")</f>
        <v>0.99000000000000021</v>
      </c>
      <c r="M966" s="4">
        <f t="shared" si="1159"/>
        <v>0.98999999999999988</v>
      </c>
      <c r="N966" s="4">
        <f t="shared" si="1159"/>
        <v>0.99</v>
      </c>
      <c r="O966" s="4">
        <f t="shared" si="1159"/>
        <v>0.99</v>
      </c>
      <c r="P966" s="4">
        <f t="shared" si="1155"/>
        <v>0.99</v>
      </c>
      <c r="Q966" s="4">
        <f t="shared" si="1155"/>
        <v>0.99</v>
      </c>
      <c r="S966" s="3"/>
    </row>
    <row r="967" spans="2:19" x14ac:dyDescent="0.5">
      <c r="B967" s="5" t="str">
        <f t="shared" si="1139"/>
        <v>SPS1</v>
      </c>
      <c r="C967" s="5" t="str">
        <f t="shared" si="1140"/>
        <v>CH</v>
      </c>
      <c r="D967" t="s">
        <v>995</v>
      </c>
      <c r="E967" t="s">
        <v>240</v>
      </c>
      <c r="F967" s="4">
        <f t="shared" si="1153"/>
        <v>0.99000000000000066</v>
      </c>
      <c r="G967" s="4">
        <f t="shared" si="1153"/>
        <v>0.98999999999999988</v>
      </c>
      <c r="H967" s="4">
        <f t="shared" si="1153"/>
        <v>0.98999999999999988</v>
      </c>
      <c r="I967" s="4">
        <f t="shared" si="1153"/>
        <v>0.98999999999999921</v>
      </c>
      <c r="J967" s="4">
        <f t="shared" si="1153"/>
        <v>0.99</v>
      </c>
      <c r="K967" s="4">
        <f t="shared" si="1153"/>
        <v>0.99000000000000032</v>
      </c>
      <c r="L967" s="4">
        <f t="shared" ref="L967:O967" si="1160">IFERROR(L944/L912,"-")</f>
        <v>0.99000000000000021</v>
      </c>
      <c r="M967" s="4">
        <f t="shared" si="1160"/>
        <v>0.99000000000000021</v>
      </c>
      <c r="N967" s="4">
        <f t="shared" si="1160"/>
        <v>0.98999999999999944</v>
      </c>
      <c r="O967" s="4">
        <f t="shared" si="1160"/>
        <v>0.99000000000000021</v>
      </c>
      <c r="P967" s="4">
        <f t="shared" si="1155"/>
        <v>0.99000000000000055</v>
      </c>
      <c r="Q967" s="4">
        <f t="shared" si="1155"/>
        <v>0.99000000000000021</v>
      </c>
      <c r="S967" s="3"/>
    </row>
    <row r="968" spans="2:19" x14ac:dyDescent="0.5">
      <c r="B968" s="5" t="str">
        <f t="shared" si="1139"/>
        <v>SPS1</v>
      </c>
      <c r="C968" s="5" t="str">
        <f t="shared" si="1140"/>
        <v>CH</v>
      </c>
      <c r="D968" t="s">
        <v>996</v>
      </c>
      <c r="E968" t="s">
        <v>240</v>
      </c>
      <c r="F968" s="4">
        <f t="shared" ref="F968:K968" si="1161">IFERROR(F946/F913,"-")</f>
        <v>0.72000000000000075</v>
      </c>
      <c r="G968" s="4">
        <f t="shared" si="1161"/>
        <v>0.71999999999999931</v>
      </c>
      <c r="H968" s="4">
        <f t="shared" si="1161"/>
        <v>0.71999999999999986</v>
      </c>
      <c r="I968" s="4">
        <f t="shared" si="1161"/>
        <v>0.71999999999999886</v>
      </c>
      <c r="J968" s="4">
        <f t="shared" si="1161"/>
        <v>0.71999999999999986</v>
      </c>
      <c r="K968" s="4">
        <f t="shared" si="1161"/>
        <v>0.71999999999999975</v>
      </c>
      <c r="L968" s="4">
        <f t="shared" ref="L968:O968" si="1162">IFERROR(L946/L913,"-")</f>
        <v>0.71999999999999931</v>
      </c>
      <c r="M968" s="4">
        <f t="shared" si="1162"/>
        <v>0.71999999999999986</v>
      </c>
      <c r="N968" s="4">
        <f t="shared" si="1162"/>
        <v>0.72</v>
      </c>
      <c r="O968" s="4">
        <f t="shared" si="1162"/>
        <v>0.7200000000000002</v>
      </c>
      <c r="P968" s="4">
        <f>IFERROR(P946/P913,"-")</f>
        <v>0.71999999999999886</v>
      </c>
      <c r="Q968" s="4">
        <f>IFERROR(Q946/Q913,"-")</f>
        <v>0.71999999999999986</v>
      </c>
      <c r="S968" s="3"/>
    </row>
    <row r="969" spans="2:19" x14ac:dyDescent="0.5">
      <c r="B969" s="5" t="str">
        <f t="shared" si="1139"/>
        <v>SPS1</v>
      </c>
      <c r="C969" s="5" t="str">
        <f t="shared" si="1140"/>
        <v>CH</v>
      </c>
      <c r="D969" t="s">
        <v>997</v>
      </c>
      <c r="E969" t="s">
        <v>240</v>
      </c>
      <c r="F969" s="4">
        <f t="shared" ref="F969:K969" si="1163">IFERROR(F948/F916,"-")</f>
        <v>0.90000000000000091</v>
      </c>
      <c r="G969" s="4">
        <f t="shared" si="1163"/>
        <v>0.90000000000000102</v>
      </c>
      <c r="H969" s="4">
        <f t="shared" si="1163"/>
        <v>0.89999999999999869</v>
      </c>
      <c r="I969" s="4">
        <f t="shared" si="1163"/>
        <v>0.8999999999999998</v>
      </c>
      <c r="J969" s="4">
        <f t="shared" si="1163"/>
        <v>0.90000000000000047</v>
      </c>
      <c r="K969" s="4">
        <f t="shared" si="1163"/>
        <v>0.90000000000000036</v>
      </c>
      <c r="L969" s="4">
        <f t="shared" ref="L969:O969" si="1164">IFERROR(L948/L916,"-")</f>
        <v>0.89999999999999958</v>
      </c>
      <c r="M969" s="4">
        <f t="shared" si="1164"/>
        <v>0.90000000000000113</v>
      </c>
      <c r="N969" s="4">
        <f t="shared" si="1164"/>
        <v>0.89999999999999969</v>
      </c>
      <c r="O969" s="4">
        <f t="shared" si="1164"/>
        <v>0.89999999999999847</v>
      </c>
      <c r="P969" s="4">
        <f>IFERROR(P948/P916,"-")</f>
        <v>0.90000000000000058</v>
      </c>
      <c r="Q969" s="4">
        <f>IFERROR(Q948/Q916,"-")</f>
        <v>0.89999999999999925</v>
      </c>
      <c r="S969" s="3"/>
    </row>
    <row r="970" spans="2:19" x14ac:dyDescent="0.5">
      <c r="B970" s="5" t="str">
        <f t="shared" si="1139"/>
        <v>SPS1</v>
      </c>
      <c r="C970" s="5" t="str">
        <f t="shared" si="1140"/>
        <v>CH</v>
      </c>
      <c r="D970" t="s">
        <v>998</v>
      </c>
      <c r="E970" t="s">
        <v>240</v>
      </c>
      <c r="F970" s="4">
        <f t="shared" ref="F970:K970" si="1165">IFERROR(F950/F918,"-")</f>
        <v>1</v>
      </c>
      <c r="G970" s="4">
        <f t="shared" si="1165"/>
        <v>1</v>
      </c>
      <c r="H970" s="4">
        <f t="shared" si="1165"/>
        <v>1</v>
      </c>
      <c r="I970" s="4">
        <f t="shared" si="1165"/>
        <v>1</v>
      </c>
      <c r="J970" s="4">
        <f t="shared" si="1165"/>
        <v>1</v>
      </c>
      <c r="K970" s="4">
        <f t="shared" si="1165"/>
        <v>1</v>
      </c>
      <c r="L970" s="4">
        <f t="shared" ref="L970:O970" si="1166">IFERROR(L950/L918,"-")</f>
        <v>1</v>
      </c>
      <c r="M970" s="4">
        <f t="shared" si="1166"/>
        <v>1</v>
      </c>
      <c r="N970" s="4">
        <f t="shared" si="1166"/>
        <v>1</v>
      </c>
      <c r="O970" s="4">
        <f t="shared" si="1166"/>
        <v>1</v>
      </c>
      <c r="P970" s="4">
        <f>IFERROR(P950/P918,"-")</f>
        <v>1</v>
      </c>
      <c r="Q970" s="4">
        <f>IFERROR(Q950/Q918,"-")</f>
        <v>1</v>
      </c>
      <c r="S970" s="3"/>
    </row>
    <row r="971" spans="2:19" x14ac:dyDescent="0.5">
      <c r="B971" s="5" t="str">
        <f t="shared" si="1139"/>
        <v>SPS1</v>
      </c>
      <c r="C971" s="5" t="str">
        <f t="shared" si="1140"/>
        <v>CH</v>
      </c>
      <c r="D971" t="s">
        <v>999</v>
      </c>
      <c r="E971" t="s">
        <v>240</v>
      </c>
      <c r="F971" s="4" t="str">
        <f t="shared" ref="F971:K971" si="1167">IFERROR(F952/F922,"-")</f>
        <v>-</v>
      </c>
      <c r="G971" s="4" t="str">
        <f t="shared" si="1167"/>
        <v>-</v>
      </c>
      <c r="H971" s="4" t="str">
        <f t="shared" si="1167"/>
        <v>-</v>
      </c>
      <c r="I971" s="4">
        <f t="shared" si="1167"/>
        <v>0.32880926949145317</v>
      </c>
      <c r="J971" s="4">
        <f t="shared" si="1167"/>
        <v>0.67815674804493187</v>
      </c>
      <c r="K971" s="4">
        <f t="shared" si="1167"/>
        <v>0.70507151418898739</v>
      </c>
      <c r="L971" s="4">
        <f t="shared" ref="L971:O971" si="1168">IFERROR(L952/L922,"-")</f>
        <v>0.70186041035092939</v>
      </c>
      <c r="M971" s="4">
        <f t="shared" si="1168"/>
        <v>0.88083141846115065</v>
      </c>
      <c r="N971" s="4">
        <f t="shared" si="1168"/>
        <v>0.86877917829298135</v>
      </c>
      <c r="O971" s="4">
        <f t="shared" si="1168"/>
        <v>0.89677359189577011</v>
      </c>
      <c r="P971" s="4">
        <f>IFERROR(P952/P922,"-")</f>
        <v>0.78139682856614123</v>
      </c>
      <c r="Q971" s="4">
        <f>IFERROR(Q952/Q922,"-")</f>
        <v>0.10997198466703317</v>
      </c>
      <c r="S971" s="3"/>
    </row>
    <row r="972" spans="2:19" x14ac:dyDescent="0.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217.23804139978435</v>
      </c>
      <c r="G972" s="3">
        <f>[1]Residential!C$26</f>
        <v>218.05686258539234</v>
      </c>
      <c r="H972" s="3">
        <f>[1]Residential!D$26</f>
        <v>218.51192769661401</v>
      </c>
      <c r="I972" s="3">
        <f>[1]Residential!E$26</f>
        <v>214.0261009791416</v>
      </c>
      <c r="J972" s="3">
        <f>[1]Residential!F$26</f>
        <v>207.70328331334844</v>
      </c>
      <c r="K972" s="3">
        <f>[1]Residential!G$26</f>
        <v>197.8470878374761</v>
      </c>
      <c r="L972" s="3">
        <f>[1]Residential!H$26</f>
        <v>193.76201899174026</v>
      </c>
      <c r="M972" s="3">
        <f>[1]Residential!I$26</f>
        <v>191.70570303878509</v>
      </c>
      <c r="N972" s="3">
        <f>[1]Residential!J$26</f>
        <v>187.81674245603537</v>
      </c>
      <c r="O972" s="3">
        <f>[1]Residential!K$26</f>
        <v>183.81865835226154</v>
      </c>
      <c r="P972" s="3">
        <f>[1]Residential!L$26</f>
        <v>184.43025048697524</v>
      </c>
      <c r="Q972" s="3">
        <f>[1]Residential!M$26</f>
        <v>175.01628650945915</v>
      </c>
      <c r="S972" s="3"/>
    </row>
    <row r="973" spans="2:19" x14ac:dyDescent="0.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69.470007706151733</v>
      </c>
      <c r="G973" s="1">
        <f>[1]Residential!C$15</f>
        <v>70.028401011441503</v>
      </c>
      <c r="H973" s="1">
        <f>[1]Residential!D$15</f>
        <v>70.823186386911303</v>
      </c>
      <c r="I973" s="1">
        <f>[1]Residential!E$15</f>
        <v>67.974866490652886</v>
      </c>
      <c r="J973" s="1">
        <f>[1]Residential!F$15</f>
        <v>67.58344946440107</v>
      </c>
      <c r="K973" s="1">
        <f>[1]Residential!G$15</f>
        <v>64.987015682988044</v>
      </c>
      <c r="L973" s="1">
        <f>[1]Residential!H$15</f>
        <v>66.835019086789856</v>
      </c>
      <c r="M973" s="1">
        <f>[1]Residential!I$15</f>
        <v>72.600479727053568</v>
      </c>
      <c r="N973" s="1">
        <f>[1]Residential!J$15</f>
        <v>74.725980835431727</v>
      </c>
      <c r="O973" s="1">
        <f>[1]Residential!K$15</f>
        <v>74.210664392013243</v>
      </c>
      <c r="P973" s="1">
        <f>[1]Residential!L$15</f>
        <v>76.885174607460158</v>
      </c>
      <c r="Q973" s="1">
        <f>[1]Residential!M$15</f>
        <v>74.081596489572235</v>
      </c>
      <c r="S973" s="3"/>
    </row>
    <row r="974" spans="2:19" x14ac:dyDescent="0.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15.333196712206975</v>
      </c>
      <c r="G974" s="1">
        <f t="shared" ref="G974:K974" si="1169">SUM(G975:G976)</f>
        <v>15.115756367349322</v>
      </c>
      <c r="H974" s="1">
        <f t="shared" si="1169"/>
        <v>15.835122412869874</v>
      </c>
      <c r="I974" s="1">
        <f t="shared" si="1169"/>
        <v>15.000211363039423</v>
      </c>
      <c r="J974" s="1">
        <f t="shared" si="1169"/>
        <v>15.927523304941465</v>
      </c>
      <c r="K974" s="1">
        <f t="shared" si="1169"/>
        <v>14.390212005629111</v>
      </c>
      <c r="L974" s="1">
        <f t="shared" ref="L974:O974" si="1170">SUM(L975:L976)</f>
        <v>15.915841404093124</v>
      </c>
      <c r="M974" s="1">
        <f t="shared" si="1170"/>
        <v>20.312321241001197</v>
      </c>
      <c r="N974" s="1">
        <f t="shared" si="1170"/>
        <v>21.493389651997632</v>
      </c>
      <c r="O974" s="1">
        <f t="shared" si="1170"/>
        <v>21.121631436748054</v>
      </c>
      <c r="P974" s="1">
        <f>SUM(P975:P976)</f>
        <v>22.508980235918813</v>
      </c>
      <c r="Q974" s="1">
        <f>SUM(Q975:Q976)</f>
        <v>20.771359928054814</v>
      </c>
      <c r="S974" s="3"/>
    </row>
    <row r="975" spans="2:19" x14ac:dyDescent="0.5">
      <c r="B975" s="5" t="str">
        <f>B974</f>
        <v>SPS1</v>
      </c>
      <c r="C975" s="5" t="str">
        <f t="shared" ref="C975" si="1171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9.3768438219042416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8.1379544640994137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8.4065739657465439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5.4505559577794775</v>
      </c>
      <c r="J975" s="1" cm="1">
        <f t="array" ref="J975">SUMPRODUCT(([1]OUT_FinalEnergyCons!$B$4:$B$10000="Var_Fin")*1,ISNUMBER(SEARCH("R*_ELC",[1]OUT_FinalEnergyCons!$C$4:$C$10000))*1, (ISNUMBER(SEARCH("RH*-SHELCBR",[1]OUT_FinalEnergyCons!$A$4:$A$10000)))*1,[1]OUT_FinalEnergyCons!H$4:H$10000)</f>
        <v>2.9895686706108702</v>
      </c>
      <c r="K975" s="1" cm="1">
        <f t="array" ref="K975">SUMPRODUCT(([1]OUT_FinalEnergyCons!$B$4:$B$10000="Var_Fin")*1,ISNUMBER(SEARCH("R*_ELC",[1]OUT_FinalEnergyCons!$C$4:$C$10000))*1, (ISNUMBER(SEARCH("RH*-SHELCBR",[1]OUT_FinalEnergyCons!$A$4:$A$10000)))*1,[1]OUT_FinalEnergyCons!I$4:I$10000)</f>
        <v>1.8601890221603274</v>
      </c>
      <c r="L975" s="1" cm="1">
        <f t="array" ref="L975">SUMPRODUCT(([1]OUT_FinalEnergyCons!$B$4:$B$10000="Var_Fin")*1,ISNUMBER(SEARCH("R*_ELC",[1]OUT_FinalEnergyCons!$C$4:$C$10000))*1, (ISNUMBER(SEARCH("RH*-SHELCBR",[1]OUT_FinalEnergyCons!$A$4:$A$10000)))*1,[1]OUT_FinalEnergyCons!J$4:J$10000)</f>
        <v>1.2280729445168233</v>
      </c>
      <c r="M975" s="1" cm="1">
        <f t="array" ref="M975">SUMPRODUCT(([1]OUT_FinalEnergyCons!$B$4:$B$10000="Var_Fin")*1,ISNUMBER(SEARCH("R*_ELC",[1]OUT_FinalEnergyCons!$C$4:$C$10000))*1, (ISNUMBER(SEARCH("RH*-SHELCBR",[1]OUT_FinalEnergyCons!$A$4:$A$10000)))*1,[1]OUT_FinalEnergyCons!K$4:K$10000)</f>
        <v>2.5415941493335956</v>
      </c>
      <c r="N975" s="1" cm="1">
        <f t="array" ref="N975">SUMPRODUCT(([1]OUT_FinalEnergyCons!$B$4:$B$10000="Var_Fin")*1,ISNUMBER(SEARCH("R*_ELC",[1]OUT_FinalEnergyCons!$C$4:$C$10000))*1, (ISNUMBER(SEARCH("RH*-SHELCBR",[1]OUT_FinalEnergyCons!$A$4:$A$10000)))*1,[1]OUT_FinalEnergyCons!L$4:L$10000)</f>
        <v>2.1780681116705858</v>
      </c>
      <c r="O975" s="1" cm="1">
        <f t="array" ref="O975">SUMPRODUCT(([1]OUT_FinalEnergyCons!$B$4:$B$10000="Var_Fin")*1,ISNUMBER(SEARCH("R*_ELC",[1]OUT_FinalEnergyCons!$C$4:$C$10000))*1, (ISNUMBER(SEARCH("RH*-SHELCBR",[1]OUT_FinalEnergyCons!$A$4:$A$10000)))*1,[1]OUT_FinalEnergyCons!M$4:M$10000)</f>
        <v>1.4624889324629395</v>
      </c>
      <c r="P975" s="1" cm="1">
        <f t="array" ref="P975">SUMPRODUCT(([1]OUT_FinalEnergyCons!$B$4:$B$10000="Var_Fin")*1,ISNUMBER(SEARCH("R*_ELC",[1]OUT_FinalEnergyCons!$C$4:$C$10000))*1, (ISNUMBER(SEARCH("RH*-SHELCBR",[1]OUT_FinalEnergyCons!$A$4:$A$10000)))*1,[1]OUT_FinalEnergyCons!N$4:N$10000)</f>
        <v>2.8498328307432761</v>
      </c>
      <c r="Q975" s="1" cm="1">
        <f t="array" ref="Q975">SUMPRODUCT(([1]OUT_FinalEnergyCons!$B$4:$B$10000="Var_Fin")*1,ISNUMBER(SEARCH("R*_ELC",[1]OUT_FinalEnergyCons!$C$4:$C$10000))*1, (ISNUMBER(SEARCH("RH*-SHELCBR",[1]OUT_FinalEnergyCons!$A$4:$A$10000)))*1,[1]OUT_FinalEnergyCons!O$4:O$10000)</f>
        <v>1.1122060842693715</v>
      </c>
      <c r="S975" s="3"/>
    </row>
    <row r="976" spans="2:19" x14ac:dyDescent="0.5">
      <c r="B976" s="5" t="str">
        <f t="shared" ref="B976:B980" si="1172">B975</f>
        <v>SPS1</v>
      </c>
      <c r="C976" s="5" t="str">
        <f t="shared" ref="C976:C980" si="1173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5.9563528903027336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6.9778019032499081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7.4285484471233296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9.5496554052599461</v>
      </c>
      <c r="J976" s="1" cm="1">
        <f t="array" ref="J976">SUMPRODUCT(([1]OUT_FinalEnergyCons!$B$4:$B$10000="Var_Fin")*1,ISNUMBER(SEARCH("R*_ELC",[1]OUT_FinalEnergyCons!$C$4:$C$10000))*1, (ISNUMBER(SEARCH("RH*-SHELCHP",[1]OUT_FinalEnergyCons!$A$4:$A$10000)))*1,[1]OUT_FinalEnergyCons!H$4:H$10000)</f>
        <v>12.937954634330595</v>
      </c>
      <c r="K976" s="1" cm="1">
        <f t="array" ref="K976">SUMPRODUCT(([1]OUT_FinalEnergyCons!$B$4:$B$10000="Var_Fin")*1,ISNUMBER(SEARCH("R*_ELC",[1]OUT_FinalEnergyCons!$C$4:$C$10000))*1, (ISNUMBER(SEARCH("RH*-SHELCHP",[1]OUT_FinalEnergyCons!$A$4:$A$10000)))*1,[1]OUT_FinalEnergyCons!I$4:I$10000)</f>
        <v>12.530022983468784</v>
      </c>
      <c r="L976" s="1" cm="1">
        <f t="array" ref="L976">SUMPRODUCT(([1]OUT_FinalEnergyCons!$B$4:$B$10000="Var_Fin")*1,ISNUMBER(SEARCH("R*_ELC",[1]OUT_FinalEnergyCons!$C$4:$C$10000))*1, (ISNUMBER(SEARCH("RH*-SHELCHP",[1]OUT_FinalEnergyCons!$A$4:$A$10000)))*1,[1]OUT_FinalEnergyCons!J$4:J$10000)</f>
        <v>14.687768459576301</v>
      </c>
      <c r="M976" s="1" cm="1">
        <f t="array" ref="M976">SUMPRODUCT(([1]OUT_FinalEnergyCons!$B$4:$B$10000="Var_Fin")*1,ISNUMBER(SEARCH("R*_ELC",[1]OUT_FinalEnergyCons!$C$4:$C$10000))*1, (ISNUMBER(SEARCH("RH*-SHELCHP",[1]OUT_FinalEnergyCons!$A$4:$A$10000)))*1,[1]OUT_FinalEnergyCons!K$4:K$10000)</f>
        <v>17.770727091667602</v>
      </c>
      <c r="N976" s="1" cm="1">
        <f t="array" ref="N976">SUMPRODUCT(([1]OUT_FinalEnergyCons!$B$4:$B$10000="Var_Fin")*1,ISNUMBER(SEARCH("R*_ELC",[1]OUT_FinalEnergyCons!$C$4:$C$10000))*1, (ISNUMBER(SEARCH("RH*-SHELCHP",[1]OUT_FinalEnergyCons!$A$4:$A$10000)))*1,[1]OUT_FinalEnergyCons!L$4:L$10000)</f>
        <v>19.315321540327044</v>
      </c>
      <c r="O976" s="1" cm="1">
        <f t="array" ref="O976">SUMPRODUCT(([1]OUT_FinalEnergyCons!$B$4:$B$10000="Var_Fin")*1,ISNUMBER(SEARCH("R*_ELC",[1]OUT_FinalEnergyCons!$C$4:$C$10000))*1, (ISNUMBER(SEARCH("RH*-SHELCHP",[1]OUT_FinalEnergyCons!$A$4:$A$10000)))*1,[1]OUT_FinalEnergyCons!M$4:M$10000)</f>
        <v>19.659142504285114</v>
      </c>
      <c r="P976" s="1" cm="1">
        <f t="array" ref="P976">SUMPRODUCT(([1]OUT_FinalEnergyCons!$B$4:$B$10000="Var_Fin")*1,ISNUMBER(SEARCH("R*_ELC",[1]OUT_FinalEnergyCons!$C$4:$C$10000))*1, (ISNUMBER(SEARCH("RH*-SHELCHP",[1]OUT_FinalEnergyCons!$A$4:$A$10000)))*1,[1]OUT_FinalEnergyCons!N$4:N$10000)</f>
        <v>19.659147405175538</v>
      </c>
      <c r="Q976" s="1" cm="1">
        <f t="array" ref="Q976">SUMPRODUCT(([1]OUT_FinalEnergyCons!$B$4:$B$10000="Var_Fin")*1,ISNUMBER(SEARCH("R*_ELC",[1]OUT_FinalEnergyCons!$C$4:$C$10000))*1, (ISNUMBER(SEARCH("RH*-SHELCHP",[1]OUT_FinalEnergyCons!$A$4:$A$10000)))*1,[1]OUT_FinalEnergyCons!O$4:O$10000)</f>
        <v>19.659153843785443</v>
      </c>
      <c r="S976" s="3"/>
    </row>
    <row r="977" spans="2:19" x14ac:dyDescent="0.5">
      <c r="B977" s="5" t="str">
        <f t="shared" si="1172"/>
        <v>SPS1</v>
      </c>
      <c r="C977" s="5" t="str">
        <f t="shared" si="1173"/>
        <v>CH</v>
      </c>
      <c r="D977" t="s">
        <v>1002</v>
      </c>
      <c r="E977" t="s">
        <v>8</v>
      </c>
      <c r="F977" s="1">
        <f>SUM(F978:F979)</f>
        <v>9.5599053824629294</v>
      </c>
      <c r="G977" s="1">
        <f t="shared" ref="G977:K977" si="1174">SUM(G978:G979)</f>
        <v>10.085306436080408</v>
      </c>
      <c r="H977" s="1">
        <f t="shared" si="1174"/>
        <v>10.35457324368784</v>
      </c>
      <c r="I977" s="1">
        <f t="shared" si="1174"/>
        <v>8.1363827082320626</v>
      </c>
      <c r="J977" s="1">
        <f t="shared" si="1174"/>
        <v>6.6258399514433108</v>
      </c>
      <c r="K977" s="1">
        <f t="shared" si="1174"/>
        <v>5.5449372394506593</v>
      </c>
      <c r="L977" s="1">
        <f t="shared" ref="L977:O977" si="1175">SUM(L978:L979)</f>
        <v>6.0457110683902666</v>
      </c>
      <c r="M977" s="1">
        <f t="shared" si="1175"/>
        <v>7.3560701724386668</v>
      </c>
      <c r="N977" s="1">
        <f t="shared" si="1175"/>
        <v>7.7567519288678852</v>
      </c>
      <c r="O977" s="1">
        <f t="shared" si="1175"/>
        <v>7.2295142022814645</v>
      </c>
      <c r="P977" s="1">
        <f>SUM(P978:P979)</f>
        <v>8.1034002892686203</v>
      </c>
      <c r="Q977" s="1">
        <f>SUM(Q978:Q979)</f>
        <v>7.0212590592108732</v>
      </c>
      <c r="S977" s="3"/>
    </row>
    <row r="978" spans="2:19" x14ac:dyDescent="0.5">
      <c r="B978" s="5" t="str">
        <f t="shared" si="1172"/>
        <v>SPS1</v>
      </c>
      <c r="C978" s="5" t="str">
        <f t="shared" si="1173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8.4110077746387901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8.7988744331890434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8.601386310605232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5.5418888205091159</v>
      </c>
      <c r="J978" s="1" cm="1">
        <f t="array" ref="J978">SUMPRODUCT(([1]OUT_FinalEnergyCons!$B$4:$B$10000="Var_Fin")*1,ISNUMBER(SEARCH("R*_ELC",[1]OUT_FinalEnergyCons!$C$4:$C$10000))*1, (ISNUMBER(SEARCH("RH*-wHELCBR",[1]OUT_FinalEnergyCons!$A$4:$A$10000)))*1,[1]OUT_FinalEnergyCons!H$4:H$10000)</f>
        <v>2.6962914155426652</v>
      </c>
      <c r="K978" s="1" cm="1">
        <f t="array" ref="K978">SUMPRODUCT(([1]OUT_FinalEnergyCons!$B$4:$B$10000="Var_Fin")*1,ISNUMBER(SEARCH("R*_ELC",[1]OUT_FinalEnergyCons!$C$4:$C$10000))*1, (ISNUMBER(SEARCH("RH*-wHELCBR",[1]OUT_FinalEnergyCons!$A$4:$A$10000)))*1,[1]OUT_FinalEnergyCons!I$4:I$10000)</f>
        <v>1.6673468013018076</v>
      </c>
      <c r="L978" s="1" cm="1">
        <f t="array" ref="L978">SUMPRODUCT(([1]OUT_FinalEnergyCons!$B$4:$B$10000="Var_Fin")*1,ISNUMBER(SEARCH("R*_ELC",[1]OUT_FinalEnergyCons!$C$4:$C$10000))*1, (ISNUMBER(SEARCH("RH*-wHELCBR",[1]OUT_FinalEnergyCons!$A$4:$A$10000)))*1,[1]OUT_FinalEnergyCons!J$4:J$10000)</f>
        <v>1.0940076514130233</v>
      </c>
      <c r="M978" s="1" cm="1">
        <f t="array" ref="M978">SUMPRODUCT(([1]OUT_FinalEnergyCons!$B$4:$B$10000="Var_Fin")*1,ISNUMBER(SEARCH("R*_ELC",[1]OUT_FinalEnergyCons!$C$4:$C$10000))*1, (ISNUMBER(SEARCH("RH*-wHELCBR",[1]OUT_FinalEnergyCons!$A$4:$A$10000)))*1,[1]OUT_FinalEnergyCons!K$4:K$10000)</f>
        <v>2.2503310236040002</v>
      </c>
      <c r="N978" s="1" cm="1">
        <f t="array" ref="N978">SUMPRODUCT(([1]OUT_FinalEnergyCons!$B$4:$B$10000="Var_Fin")*1,ISNUMBER(SEARCH("R*_ELC",[1]OUT_FinalEnergyCons!$C$4:$C$10000))*1, (ISNUMBER(SEARCH("RH*-wHELCBR",[1]OUT_FinalEnergyCons!$A$4:$A$10000)))*1,[1]OUT_FinalEnergyCons!L$4:L$10000)</f>
        <v>1.9284644374604645</v>
      </c>
      <c r="O978" s="1" cm="1">
        <f t="array" ref="O978">SUMPRODUCT(([1]OUT_FinalEnergyCons!$B$4:$B$10000="Var_Fin")*1,ISNUMBER(SEARCH("R*_ELC",[1]OUT_FinalEnergyCons!$C$4:$C$10000))*1, (ISNUMBER(SEARCH("RH*-wHELCBR",[1]OUT_FinalEnergyCons!$A$4:$A$10000)))*1,[1]OUT_FinalEnergyCons!M$4:M$10000)</f>
        <v>1.2948894657980818</v>
      </c>
      <c r="P978" s="1" cm="1">
        <f t="array" ref="P978">SUMPRODUCT(([1]OUT_FinalEnergyCons!$B$4:$B$10000="Var_Fin")*1,ISNUMBER(SEARCH("R*_ELC",[1]OUT_FinalEnergyCons!$C$4:$C$10000))*1, (ISNUMBER(SEARCH("RH*-wHELCBR",[1]OUT_FinalEnergyCons!$A$4:$A$10000)))*1,[1]OUT_FinalEnergyCons!N$4:N$10000)</f>
        <v>2.5232452845430378</v>
      </c>
      <c r="Q978" s="1" cm="1">
        <f t="array" ref="Q978">SUMPRODUCT(([1]OUT_FinalEnergyCons!$B$4:$B$10000="Var_Fin")*1,ISNUMBER(SEARCH("R*_ELC",[1]OUT_FinalEnergyCons!$C$4:$C$10000))*1, (ISNUMBER(SEARCH("RH*-wHELCBR",[1]OUT_FinalEnergyCons!$A$4:$A$10000)))*1,[1]OUT_FinalEnergyCons!O$4:O$10000)</f>
        <v>0.98475246018865803</v>
      </c>
      <c r="S978" s="3"/>
    </row>
    <row r="979" spans="2:19" x14ac:dyDescent="0.5">
      <c r="B979" s="5" t="str">
        <f t="shared" si="1172"/>
        <v>SPS1</v>
      </c>
      <c r="C979" s="5" t="str">
        <f t="shared" si="1173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1.1488976078241402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1.2864320028913652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1.7531869330826073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2.5944938877229462</v>
      </c>
      <c r="J979" s="1" cm="1">
        <f t="array" ref="J979">SUMPRODUCT(([1]OUT_FinalEnergyCons!$B$4:$B$10000="Var_Fin")*1,ISNUMBER(SEARCH("R*_ELC",[1]OUT_FinalEnergyCons!$C$4:$C$10000))*1, (ISNUMBER(SEARCH("RH*-wHELCHP",[1]OUT_FinalEnergyCons!$A$4:$A$10000)))*1,[1]OUT_FinalEnergyCons!H$4:H$10000)</f>
        <v>3.9295485359006457</v>
      </c>
      <c r="K979" s="1" cm="1">
        <f t="array" ref="K979">SUMPRODUCT(([1]OUT_FinalEnergyCons!$B$4:$B$10000="Var_Fin")*1,ISNUMBER(SEARCH("R*_ELC",[1]OUT_FinalEnergyCons!$C$4:$C$10000))*1, (ISNUMBER(SEARCH("RH*-wHELCHP",[1]OUT_FinalEnergyCons!$A$4:$A$10000)))*1,[1]OUT_FinalEnergyCons!I$4:I$10000)</f>
        <v>3.877590438148852</v>
      </c>
      <c r="L979" s="1" cm="1">
        <f t="array" ref="L979">SUMPRODUCT(([1]OUT_FinalEnergyCons!$B$4:$B$10000="Var_Fin")*1,ISNUMBER(SEARCH("R*_ELC",[1]OUT_FinalEnergyCons!$C$4:$C$10000))*1, (ISNUMBER(SEARCH("RH*-wHELCHP",[1]OUT_FinalEnergyCons!$A$4:$A$10000)))*1,[1]OUT_FinalEnergyCons!J$4:J$10000)</f>
        <v>4.9517034169772431</v>
      </c>
      <c r="M979" s="1" cm="1">
        <f t="array" ref="M979">SUMPRODUCT(([1]OUT_FinalEnergyCons!$B$4:$B$10000="Var_Fin")*1,ISNUMBER(SEARCH("R*_ELC",[1]OUT_FinalEnergyCons!$C$4:$C$10000))*1, (ISNUMBER(SEARCH("RH*-wHELCHP",[1]OUT_FinalEnergyCons!$A$4:$A$10000)))*1,[1]OUT_FinalEnergyCons!K$4:K$10000)</f>
        <v>5.1057391488346662</v>
      </c>
      <c r="N979" s="1" cm="1">
        <f t="array" ref="N979">SUMPRODUCT(([1]OUT_FinalEnergyCons!$B$4:$B$10000="Var_Fin")*1,ISNUMBER(SEARCH("R*_ELC",[1]OUT_FinalEnergyCons!$C$4:$C$10000))*1, (ISNUMBER(SEARCH("RH*-wHELCHP",[1]OUT_FinalEnergyCons!$A$4:$A$10000)))*1,[1]OUT_FinalEnergyCons!L$4:L$10000)</f>
        <v>5.828287491407421</v>
      </c>
      <c r="O979" s="1" cm="1">
        <f t="array" ref="O979">SUMPRODUCT(([1]OUT_FinalEnergyCons!$B$4:$B$10000="Var_Fin")*1,ISNUMBER(SEARCH("R*_ELC",[1]OUT_FinalEnergyCons!$C$4:$C$10000))*1, (ISNUMBER(SEARCH("RH*-wHELCHP",[1]OUT_FinalEnergyCons!$A$4:$A$10000)))*1,[1]OUT_FinalEnergyCons!M$4:M$10000)</f>
        <v>5.9346247364833831</v>
      </c>
      <c r="P979" s="1" cm="1">
        <f t="array" ref="P979">SUMPRODUCT(([1]OUT_FinalEnergyCons!$B$4:$B$10000="Var_Fin")*1,ISNUMBER(SEARCH("R*_ELC",[1]OUT_FinalEnergyCons!$C$4:$C$10000))*1, (ISNUMBER(SEARCH("RH*-wHELCHP",[1]OUT_FinalEnergyCons!$A$4:$A$10000)))*1,[1]OUT_FinalEnergyCons!N$4:N$10000)</f>
        <v>5.5801550047255821</v>
      </c>
      <c r="Q979" s="1" cm="1">
        <f t="array" ref="Q979">SUMPRODUCT(([1]OUT_FinalEnergyCons!$B$4:$B$10000="Var_Fin")*1,ISNUMBER(SEARCH("R*_ELC",[1]OUT_FinalEnergyCons!$C$4:$C$10000))*1, (ISNUMBER(SEARCH("RH*-wHELCHP",[1]OUT_FinalEnergyCons!$A$4:$A$10000)))*1,[1]OUT_FinalEnergyCons!O$4:O$10000)</f>
        <v>6.0365065990222151</v>
      </c>
      <c r="S979" s="3"/>
    </row>
    <row r="980" spans="2:19" x14ac:dyDescent="0.5">
      <c r="B980" s="5" t="str">
        <f t="shared" si="1172"/>
        <v>SPS1</v>
      </c>
      <c r="C980" s="5" t="str">
        <f t="shared" si="1173"/>
        <v>CH</v>
      </c>
      <c r="D980" t="s">
        <v>1003</v>
      </c>
      <c r="E980" t="s">
        <v>8</v>
      </c>
      <c r="F980" s="1">
        <f>[1]Residential!B$3-([1]Residential!B$10-[1]Residential!B$244)</f>
        <v>44.576905611481834</v>
      </c>
      <c r="G980" s="1">
        <f>[1]Residential!C$3-([1]Residential!C$10-[1]Residential!C$244)</f>
        <v>44.827338208011781</v>
      </c>
      <c r="H980" s="1">
        <f>[1]Residential!D$3-([1]Residential!D$10-[1]Residential!D$244)</f>
        <v>44.633490730353593</v>
      </c>
      <c r="I980" s="1">
        <f>[1]Residential!E$3-([1]Residential!E$10-[1]Residential!E$244)</f>
        <v>44.838272419381397</v>
      </c>
      <c r="J980" s="1">
        <f>[1]Residential!F$3-([1]Residential!F$10-[1]Residential!F$244)</f>
        <v>45.030086208016293</v>
      </c>
      <c r="K980" s="1">
        <f>[1]Residential!G$3-([1]Residential!G$10-[1]Residential!G$244)</f>
        <v>45.051866437908267</v>
      </c>
      <c r="L980" s="1">
        <f>[1]Residential!H$3-([1]Residential!H$10-[1]Residential!H$244)</f>
        <v>44.873466614306466</v>
      </c>
      <c r="M980" s="1">
        <f>[1]Residential!I$3-([1]Residential!I$10-[1]Residential!I$244)</f>
        <v>44.932088313613704</v>
      </c>
      <c r="N980" s="1">
        <f>[1]Residential!J$3-([1]Residential!J$10-[1]Residential!J$244)</f>
        <v>45.47583925456621</v>
      </c>
      <c r="O980" s="1">
        <f>[1]Residential!K$3-([1]Residential!K$10-[1]Residential!K$244)</f>
        <v>45.859518752983725</v>
      </c>
      <c r="P980" s="1">
        <f>[1]Residential!L$3-([1]Residential!L$10-[1]Residential!L$244)</f>
        <v>46.272794082272718</v>
      </c>
      <c r="Q980" s="1">
        <f>[1]Residential!M$3-([1]Residential!M$10-[1]Residential!M$244)</f>
        <v>46.288977502306544</v>
      </c>
      <c r="S980" s="3"/>
    </row>
    <row r="981" spans="2:19" x14ac:dyDescent="0.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60.231825120934403</v>
      </c>
      <c r="G981" s="1">
        <f>SUM([1]Residential!C$16:C$17)</f>
        <v>51.320002015970701</v>
      </c>
      <c r="H981" s="1">
        <f>SUM([1]Residential!D$16:D$17)</f>
        <v>50.473132214277541</v>
      </c>
      <c r="I981" s="1">
        <f>SUM([1]Residential!E$16:E$17)</f>
        <v>41.533098112768741</v>
      </c>
      <c r="J981" s="1">
        <f>SUM([1]Residential!F$16:F$17)</f>
        <v>21.555927925940015</v>
      </c>
      <c r="K981" s="1">
        <f>SUM([1]Residential!G$16:G$17)</f>
        <v>12.048489283687944</v>
      </c>
      <c r="L981" s="1">
        <f>SUM([1]Residential!H$16:H$17)</f>
        <v>9.4773262993872542</v>
      </c>
      <c r="M981" s="1">
        <f>SUM([1]Residential!I$16:I$17)</f>
        <v>9.4771807345945618</v>
      </c>
      <c r="N981" s="1">
        <f>SUM([1]Residential!J$16:J$17)</f>
        <v>9.4770808463484411</v>
      </c>
      <c r="O981" s="1">
        <f>SUM([1]Residential!K$16:K$17)</f>
        <v>7.2053689388164166</v>
      </c>
      <c r="P981" s="1">
        <f>SUM([1]Residential!L$16:L$17)</f>
        <v>5.6645531935585423</v>
      </c>
      <c r="Q981" s="1">
        <f>SUM([1]Residential!M$16:M$17)</f>
        <v>1.3808828272222284</v>
      </c>
      <c r="S981" s="3"/>
    </row>
    <row r="982" spans="2:19" x14ac:dyDescent="0.5">
      <c r="B982" s="5" t="str">
        <f t="shared" ref="B982:B993" si="1176">B981</f>
        <v>SPS1</v>
      </c>
      <c r="C982" s="5" t="str">
        <f t="shared" ref="C982:C993" si="1177">C981</f>
        <v>CH</v>
      </c>
      <c r="D982" t="s">
        <v>1004</v>
      </c>
      <c r="E982" t="s">
        <v>8</v>
      </c>
      <c r="F982" s="1">
        <f>[1]Residential!B$16</f>
        <v>60.231825120934403</v>
      </c>
      <c r="G982" s="1">
        <f>[1]Residential!C$16</f>
        <v>51.320002015970701</v>
      </c>
      <c r="H982" s="1">
        <f>[1]Residential!D$16</f>
        <v>50.473113476563661</v>
      </c>
      <c r="I982" s="1">
        <f>[1]Residential!E$16</f>
        <v>41.532960423784424</v>
      </c>
      <c r="J982" s="1">
        <f>[1]Residential!F$16</f>
        <v>21.555715824628226</v>
      </c>
      <c r="K982" s="1">
        <f>[1]Residential!G$16</f>
        <v>12.04842462458474</v>
      </c>
      <c r="L982" s="1">
        <f>[1]Residential!H$16</f>
        <v>9.477023894866095</v>
      </c>
      <c r="M982" s="1">
        <f>[1]Residential!I$16</f>
        <v>0</v>
      </c>
      <c r="N982" s="1">
        <f>[1]Residential!J$16</f>
        <v>6.3188681975699795E-5</v>
      </c>
      <c r="O982" s="1">
        <f>[1]Residential!K$16</f>
        <v>9.5132068487980461E-5</v>
      </c>
      <c r="P982" s="1">
        <f>[1]Residential!L$16</f>
        <v>8.984486116050772E-5</v>
      </c>
      <c r="Q982" s="1">
        <f>[1]Residential!M$16</f>
        <v>1.4163239031557973E-4</v>
      </c>
      <c r="S982" s="3"/>
    </row>
    <row r="983" spans="2:19" x14ac:dyDescent="0.5">
      <c r="B983" s="5" t="str">
        <f t="shared" si="1176"/>
        <v>SPS1</v>
      </c>
      <c r="C983" s="5" t="str">
        <f t="shared" si="1177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1.8737713879050472E-5</v>
      </c>
      <c r="I983" s="1">
        <f>[1]Residential!E$17</f>
        <v>1.3768898431551716E-4</v>
      </c>
      <c r="J983" s="1">
        <f>[1]Residential!F$17</f>
        <v>2.1210131179030798E-4</v>
      </c>
      <c r="K983" s="1">
        <f>[1]Residential!G$17</f>
        <v>6.4659103204409854E-5</v>
      </c>
      <c r="L983" s="1">
        <f>[1]Residential!H$17</f>
        <v>3.0240452115894769E-4</v>
      </c>
      <c r="M983" s="1">
        <f>[1]Residential!I$17</f>
        <v>9.4771807345945618</v>
      </c>
      <c r="N983" s="1">
        <f>[1]Residential!J$17</f>
        <v>9.4770176576664653</v>
      </c>
      <c r="O983" s="1">
        <f>[1]Residential!K$17</f>
        <v>7.2052738067479289</v>
      </c>
      <c r="P983" s="1">
        <f>[1]Residential!L$17</f>
        <v>5.6644633486973817</v>
      </c>
      <c r="Q983" s="1">
        <f>[1]Residential!M$17</f>
        <v>1.3807411948319128</v>
      </c>
      <c r="S983" s="3"/>
    </row>
    <row r="984" spans="2:19" x14ac:dyDescent="0.5">
      <c r="B984" s="5" t="str">
        <f t="shared" si="1176"/>
        <v>SPS1</v>
      </c>
      <c r="C984" s="5" t="str">
        <f t="shared" si="1177"/>
        <v>CH</v>
      </c>
      <c r="D984" t="s">
        <v>1006</v>
      </c>
      <c r="E984" t="s">
        <v>8</v>
      </c>
      <c r="F984" s="1">
        <f>SUM(F986,F988)</f>
        <v>50.37141321333209</v>
      </c>
      <c r="G984" s="1">
        <f t="shared" ref="G984:K984" si="1178">SUM(G986,G988)</f>
        <v>42.965341130513579</v>
      </c>
      <c r="H984" s="1">
        <f t="shared" si="1178"/>
        <v>45.038887664602441</v>
      </c>
      <c r="I984" s="1">
        <f t="shared" si="1178"/>
        <v>40.09368914172272</v>
      </c>
      <c r="J984" s="1">
        <f t="shared" si="1178"/>
        <v>20.872579442221255</v>
      </c>
      <c r="K984" s="1">
        <f t="shared" si="1178"/>
        <v>12.047961362918143</v>
      </c>
      <c r="L984" s="1">
        <f t="shared" ref="L984:O984" si="1179">SUM(L986,L988)</f>
        <v>9.4769387168877444</v>
      </c>
      <c r="M984" s="1">
        <f t="shared" si="1179"/>
        <v>9.4769374280805145</v>
      </c>
      <c r="N984" s="1">
        <f t="shared" si="1179"/>
        <v>9.4769345031844434</v>
      </c>
      <c r="O984" s="1">
        <f t="shared" si="1179"/>
        <v>7.2051016941306081</v>
      </c>
      <c r="P984" s="1">
        <f>SUM(P986,P988)</f>
        <v>5.664325225444955</v>
      </c>
      <c r="Q984" s="1">
        <f>SUM(Q986,Q988)</f>
        <v>1.3803242763990891</v>
      </c>
      <c r="S984" s="3"/>
    </row>
    <row r="985" spans="2:19" x14ac:dyDescent="0.5">
      <c r="B985" s="5" t="str">
        <f t="shared" si="1176"/>
        <v>SPS1</v>
      </c>
      <c r="C985" s="5" t="str">
        <f t="shared" si="1177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50.37141321333209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42.965341130513579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45.038887664602441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40.09368914172272</v>
      </c>
      <c r="J985" s="1" cm="1">
        <f t="array" ref="J985">SUMPRODUCT(([1]OUT_FinalEnergyCons!$B$4:$B$10000="Var_Fin")*1, ([1]OUT_FinalEnergyCons!$C$4:$C$10000="RLFO")*1,(ISNUMBER(SEARCH("RH*-SHLFOBR",[1]OUT_FinalEnergyCons!$A$4:$A$10000)))*1,[1]OUT_FinalEnergyCons!H$4:H$10000)</f>
        <v>20.872579442221255</v>
      </c>
      <c r="K985" s="1" cm="1">
        <f t="array" ref="K985">SUMPRODUCT(([1]OUT_FinalEnergyCons!$B$4:$B$10000="Var_Fin")*1, ([1]OUT_FinalEnergyCons!$C$4:$C$10000="RLFO")*1,(ISNUMBER(SEARCH("RH*-SHLFOBR",[1]OUT_FinalEnergyCons!$A$4:$A$10000)))*1,[1]OUT_FinalEnergyCons!I$4:I$10000)</f>
        <v>12.047961362918143</v>
      </c>
      <c r="L985" s="1" cm="1">
        <f t="array" ref="L985">SUMPRODUCT(([1]OUT_FinalEnergyCons!$B$4:$B$10000="Var_Fin")*1, ([1]OUT_FinalEnergyCons!$C$4:$C$10000="RLFO")*1,(ISNUMBER(SEARCH("RH*-SHLFOBR",[1]OUT_FinalEnergyCons!$A$4:$A$10000)))*1,[1]OUT_FinalEnergyCons!J$4:J$10000)</f>
        <v>9.4769387168877444</v>
      </c>
      <c r="M985" s="1" cm="1">
        <f t="array" ref="M985">SUMPRODUCT(([1]OUT_FinalEnergyCons!$B$4:$B$10000="Var_Fin")*1, ([1]OUT_FinalEnergyCons!$C$4:$C$10000="RLFO")*1,(ISNUMBER(SEARCH("RH*-SHLFOBR",[1]OUT_FinalEnergyCons!$A$4:$A$10000)))*1,[1]OUT_FinalEnergyCons!K$4:K$10000)</f>
        <v>9.4769374280805145</v>
      </c>
      <c r="N985" s="1" cm="1">
        <f t="array" ref="N985">SUMPRODUCT(([1]OUT_FinalEnergyCons!$B$4:$B$10000="Var_Fin")*1, ([1]OUT_FinalEnergyCons!$C$4:$C$10000="RLFO")*1,(ISNUMBER(SEARCH("RH*-SHLFOBR",[1]OUT_FinalEnergyCons!$A$4:$A$10000)))*1,[1]OUT_FinalEnergyCons!L$4:L$10000)</f>
        <v>9.4769345031844434</v>
      </c>
      <c r="O985" s="1" cm="1">
        <f t="array" ref="O985">SUMPRODUCT(([1]OUT_FinalEnergyCons!$B$4:$B$10000="Var_Fin")*1, ([1]OUT_FinalEnergyCons!$C$4:$C$10000="RLFO")*1,(ISNUMBER(SEARCH("RH*-SHLFOBR",[1]OUT_FinalEnergyCons!$A$4:$A$10000)))*1,[1]OUT_FinalEnergyCons!M$4:M$10000)</f>
        <v>7.2051016941306081</v>
      </c>
      <c r="P985" s="1" cm="1">
        <f t="array" ref="P985">SUMPRODUCT(([1]OUT_FinalEnergyCons!$B$4:$B$10000="Var_Fin")*1, ([1]OUT_FinalEnergyCons!$C$4:$C$10000="RLFO")*1,(ISNUMBER(SEARCH("RH*-SHLFOBR",[1]OUT_FinalEnergyCons!$A$4:$A$10000)))*1,[1]OUT_FinalEnergyCons!N$4:N$10000)</f>
        <v>5.664325225444955</v>
      </c>
      <c r="Q985" s="1" cm="1">
        <f t="array" ref="Q985">SUMPRODUCT(([1]OUT_FinalEnergyCons!$B$4:$B$10000="Var_Fin")*1, ([1]OUT_FinalEnergyCons!$C$4:$C$10000="RLFO")*1,(ISNUMBER(SEARCH("RH*-SHLFOBR",[1]OUT_FinalEnergyCons!$A$4:$A$10000)))*1,[1]OUT_FinalEnergyCons!O$4:O$10000)</f>
        <v>1.3803242763990891</v>
      </c>
      <c r="S985" s="3"/>
    </row>
    <row r="986" spans="2:19" x14ac:dyDescent="0.5">
      <c r="B986" s="5" t="str">
        <f t="shared" si="1176"/>
        <v>SPS1</v>
      </c>
      <c r="C986" s="5" t="str">
        <f t="shared" si="1177"/>
        <v>CH</v>
      </c>
      <c r="D986" t="s">
        <v>1007</v>
      </c>
      <c r="E986" t="s">
        <v>8</v>
      </c>
      <c r="F986" s="1">
        <f>F987</f>
        <v>50.37141321333209</v>
      </c>
      <c r="G986" s="1">
        <f t="shared" ref="G986:O986" si="1180">G987</f>
        <v>42.965341130513579</v>
      </c>
      <c r="H986" s="1">
        <f t="shared" si="1180"/>
        <v>45.038870944304854</v>
      </c>
      <c r="I986" s="1">
        <f t="shared" si="1180"/>
        <v>40.093556224613565</v>
      </c>
      <c r="J986" s="1">
        <f t="shared" si="1180"/>
        <v>20.872374064772636</v>
      </c>
      <c r="K986" s="1">
        <f t="shared" si="1180"/>
        <v>12.047896706648064</v>
      </c>
      <c r="L986" s="1">
        <f t="shared" si="1180"/>
        <v>9.4766363247336489</v>
      </c>
      <c r="M986" s="1">
        <f t="shared" si="1180"/>
        <v>0</v>
      </c>
      <c r="N986" s="1">
        <f t="shared" si="1180"/>
        <v>6.3187706228863913E-5</v>
      </c>
      <c r="O986" s="1">
        <f t="shared" si="1180"/>
        <v>9.5128540071882779E-5</v>
      </c>
      <c r="P986" s="1">
        <f>P987</f>
        <v>8.9841245383090782E-5</v>
      </c>
      <c r="Q986" s="1">
        <f>Q987</f>
        <v>1.4157510168352896E-4</v>
      </c>
      <c r="S986" s="3"/>
    </row>
    <row r="987" spans="2:19" x14ac:dyDescent="0.5">
      <c r="B987" s="5" t="str">
        <f t="shared" si="1176"/>
        <v>SPS1</v>
      </c>
      <c r="C987" s="5" t="str">
        <f t="shared" si="1177"/>
        <v>CH</v>
      </c>
      <c r="D987" t="s">
        <v>709</v>
      </c>
      <c r="E987" t="s">
        <v>8</v>
      </c>
      <c r="F987" s="1">
        <f>F985*IFERROR(F982/F981,0)</f>
        <v>50.37141321333209</v>
      </c>
      <c r="G987" s="1">
        <f t="shared" ref="G987:K987" si="1181">G985*IFERROR(G982/G981,0)</f>
        <v>42.965341130513579</v>
      </c>
      <c r="H987" s="1">
        <f t="shared" si="1181"/>
        <v>45.038870944304854</v>
      </c>
      <c r="I987" s="1">
        <f t="shared" si="1181"/>
        <v>40.093556224613565</v>
      </c>
      <c r="J987" s="1">
        <f t="shared" si="1181"/>
        <v>20.872374064772636</v>
      </c>
      <c r="K987" s="1">
        <f t="shared" si="1181"/>
        <v>12.047896706648064</v>
      </c>
      <c r="L987" s="1">
        <f t="shared" ref="L987:O987" si="1182">L985*IFERROR(L982/L981,0)</f>
        <v>9.4766363247336489</v>
      </c>
      <c r="M987" s="1">
        <f t="shared" si="1182"/>
        <v>0</v>
      </c>
      <c r="N987" s="1">
        <f t="shared" si="1182"/>
        <v>6.3187706228863913E-5</v>
      </c>
      <c r="O987" s="1">
        <f t="shared" si="1182"/>
        <v>9.5128540071882779E-5</v>
      </c>
      <c r="P987" s="1">
        <f>P985*IFERROR(P982/P981,0)</f>
        <v>8.9841245383090782E-5</v>
      </c>
      <c r="Q987" s="1">
        <f>Q985*IFERROR(Q982/Q981,0)</f>
        <v>1.4157510168352896E-4</v>
      </c>
      <c r="S987" s="3"/>
    </row>
    <row r="988" spans="2:19" x14ac:dyDescent="0.5">
      <c r="B988" s="5" t="str">
        <f t="shared" si="1176"/>
        <v>SPS1</v>
      </c>
      <c r="C988" s="5" t="str">
        <f t="shared" si="1177"/>
        <v>CH</v>
      </c>
      <c r="D988" t="s">
        <v>1008</v>
      </c>
      <c r="E988" t="s">
        <v>8</v>
      </c>
      <c r="F988" s="1">
        <f>F989</f>
        <v>0</v>
      </c>
      <c r="G988" s="1">
        <f t="shared" ref="G988:O988" si="1183">G989</f>
        <v>0</v>
      </c>
      <c r="H988" s="1">
        <f t="shared" si="1183"/>
        <v>1.6720297587369259E-5</v>
      </c>
      <c r="I988" s="1">
        <f t="shared" si="1183"/>
        <v>1.3291710915552812E-4</v>
      </c>
      <c r="J988" s="1">
        <f t="shared" si="1183"/>
        <v>2.0537744861925944E-4</v>
      </c>
      <c r="K988" s="1">
        <f t="shared" si="1183"/>
        <v>6.4656270078344846E-5</v>
      </c>
      <c r="L988" s="1">
        <f t="shared" si="1183"/>
        <v>3.0239215409544329E-4</v>
      </c>
      <c r="M988" s="1">
        <f t="shared" si="1183"/>
        <v>9.4769374280805145</v>
      </c>
      <c r="N988" s="1">
        <f t="shared" si="1183"/>
        <v>9.4768713154782152</v>
      </c>
      <c r="O988" s="1">
        <f t="shared" si="1183"/>
        <v>7.2050065655905362</v>
      </c>
      <c r="P988" s="1">
        <f>P989</f>
        <v>5.6642353841995723</v>
      </c>
      <c r="Q988" s="1">
        <f>Q989</f>
        <v>1.3801827012974055</v>
      </c>
      <c r="S988" s="3"/>
    </row>
    <row r="989" spans="2:19" x14ac:dyDescent="0.5">
      <c r="B989" s="5" t="str">
        <f t="shared" si="1176"/>
        <v>SPS1</v>
      </c>
      <c r="C989" s="5" t="str">
        <f t="shared" si="1177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84">G985-G987</f>
        <v>0</v>
      </c>
      <c r="H989" s="1">
        <f t="shared" si="1184"/>
        <v>1.6720297587369259E-5</v>
      </c>
      <c r="I989" s="1">
        <f t="shared" si="1184"/>
        <v>1.3291710915552812E-4</v>
      </c>
      <c r="J989" s="1">
        <f t="shared" si="1184"/>
        <v>2.0537744861925944E-4</v>
      </c>
      <c r="K989" s="1">
        <f t="shared" si="1184"/>
        <v>6.4656270078344846E-5</v>
      </c>
      <c r="L989" s="1">
        <f t="shared" ref="L989:O989" si="1185">L985-L987</f>
        <v>3.0239215409544329E-4</v>
      </c>
      <c r="M989" s="1">
        <f t="shared" si="1185"/>
        <v>9.4769374280805145</v>
      </c>
      <c r="N989" s="1">
        <f t="shared" si="1185"/>
        <v>9.4768713154782152</v>
      </c>
      <c r="O989" s="1">
        <f t="shared" si="1185"/>
        <v>7.2050065655905362</v>
      </c>
      <c r="P989" s="1">
        <f>P985-P987</f>
        <v>5.6642353841995723</v>
      </c>
      <c r="Q989" s="1">
        <f>Q985-Q987</f>
        <v>1.3801827012974055</v>
      </c>
      <c r="S989" s="3"/>
    </row>
    <row r="990" spans="2:19" x14ac:dyDescent="0.5">
      <c r="B990" s="5" t="str">
        <f t="shared" si="1176"/>
        <v>SPS1</v>
      </c>
      <c r="C990" s="5" t="str">
        <f t="shared" si="1177"/>
        <v>CH</v>
      </c>
      <c r="D990" t="s">
        <v>1009</v>
      </c>
      <c r="E990" t="s">
        <v>8</v>
      </c>
      <c r="F990" s="1">
        <f>F991</f>
        <v>9.8604119076023107</v>
      </c>
      <c r="G990" s="1">
        <f t="shared" ref="G990:O990" si="1186">G991</f>
        <v>8.3546608854571307</v>
      </c>
      <c r="H990" s="1">
        <f t="shared" si="1186"/>
        <v>5.4342445496750953</v>
      </c>
      <c r="I990" s="1">
        <f t="shared" si="1186"/>
        <v>1.4394089710460232</v>
      </c>
      <c r="J990" s="1">
        <f t="shared" si="1186"/>
        <v>0.68334848371876045</v>
      </c>
      <c r="K990" s="1">
        <f t="shared" si="1186"/>
        <v>5.2792076980312682E-4</v>
      </c>
      <c r="L990" s="1">
        <f t="shared" si="1186"/>
        <v>3.8758249951034262E-4</v>
      </c>
      <c r="M990" s="1">
        <f t="shared" si="1186"/>
        <v>2.4330651404619555E-4</v>
      </c>
      <c r="N990" s="1">
        <f t="shared" si="1186"/>
        <v>1.4634316399683811E-4</v>
      </c>
      <c r="O990" s="1">
        <f t="shared" si="1186"/>
        <v>2.6724468580807361E-4</v>
      </c>
      <c r="P990" s="1">
        <f>P991</f>
        <v>2.2796811358737339E-4</v>
      </c>
      <c r="Q990" s="1">
        <f>Q991</f>
        <v>5.5855082313942251E-4</v>
      </c>
      <c r="S990" s="3"/>
    </row>
    <row r="991" spans="2:19" x14ac:dyDescent="0.5">
      <c r="B991" s="5" t="str">
        <f t="shared" si="1176"/>
        <v>SPS1</v>
      </c>
      <c r="C991" s="5" t="str">
        <f t="shared" si="1177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9.8604119076023107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8.3546608854571307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5.4342445496750953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1.4394089710460232</v>
      </c>
      <c r="J991" s="1" cm="1">
        <f t="array" ref="J991">SUMPRODUCT(([1]OUT_FinalEnergyCons!$B$4:$B$10000="Var_Fin")*1, ([1]OUT_FinalEnergyCons!$C$4:$C$10000="RLFO")*1,(ISNUMBER(SEARCH("RH*-wHLFOBR",[1]OUT_FinalEnergyCons!$A$4:$A$10000)))*1,[1]OUT_FinalEnergyCons!H$4:H$10000)</f>
        <v>0.68334848371876045</v>
      </c>
      <c r="K991" s="1" cm="1">
        <f t="array" ref="K991">SUMPRODUCT(([1]OUT_FinalEnergyCons!$B$4:$B$10000="Var_Fin")*1, ([1]OUT_FinalEnergyCons!$C$4:$C$10000="RLFO")*1,(ISNUMBER(SEARCH("RH*-wHLFOBR",[1]OUT_FinalEnergyCons!$A$4:$A$10000)))*1,[1]OUT_FinalEnergyCons!I$4:I$10000)</f>
        <v>5.2792076980312682E-4</v>
      </c>
      <c r="L991" s="1" cm="1">
        <f t="array" ref="L991">SUMPRODUCT(([1]OUT_FinalEnergyCons!$B$4:$B$10000="Var_Fin")*1, ([1]OUT_FinalEnergyCons!$C$4:$C$10000="RLFO")*1,(ISNUMBER(SEARCH("RH*-wHLFOBR",[1]OUT_FinalEnergyCons!$A$4:$A$10000)))*1,[1]OUT_FinalEnergyCons!J$4:J$10000)</f>
        <v>3.8758249951034262E-4</v>
      </c>
      <c r="M991" s="1" cm="1">
        <f t="array" ref="M991">SUMPRODUCT(([1]OUT_FinalEnergyCons!$B$4:$B$10000="Var_Fin")*1, ([1]OUT_FinalEnergyCons!$C$4:$C$10000="RLFO")*1,(ISNUMBER(SEARCH("RH*-wHLFOBR",[1]OUT_FinalEnergyCons!$A$4:$A$10000)))*1,[1]OUT_FinalEnergyCons!K$4:K$10000)</f>
        <v>2.4330651404619555E-4</v>
      </c>
      <c r="N991" s="1" cm="1">
        <f t="array" ref="N991">SUMPRODUCT(([1]OUT_FinalEnergyCons!$B$4:$B$10000="Var_Fin")*1, ([1]OUT_FinalEnergyCons!$C$4:$C$10000="RLFO")*1,(ISNUMBER(SEARCH("RH*-wHLFOBR",[1]OUT_FinalEnergyCons!$A$4:$A$10000)))*1,[1]OUT_FinalEnergyCons!L$4:L$10000)</f>
        <v>1.4634316399683811E-4</v>
      </c>
      <c r="O991" s="1" cm="1">
        <f t="array" ref="O991">SUMPRODUCT(([1]OUT_FinalEnergyCons!$B$4:$B$10000="Var_Fin")*1, ([1]OUT_FinalEnergyCons!$C$4:$C$10000="RLFO")*1,(ISNUMBER(SEARCH("RH*-wHLFOBR",[1]OUT_FinalEnergyCons!$A$4:$A$10000)))*1,[1]OUT_FinalEnergyCons!M$4:M$10000)</f>
        <v>2.6724468580807361E-4</v>
      </c>
      <c r="P991" s="1" cm="1">
        <f t="array" ref="P991">SUMPRODUCT(([1]OUT_FinalEnergyCons!$B$4:$B$10000="Var_Fin")*1, ([1]OUT_FinalEnergyCons!$C$4:$C$10000="RLFO")*1,(ISNUMBER(SEARCH("RH*-wHLFOBR",[1]OUT_FinalEnergyCons!$A$4:$A$10000)))*1,[1]OUT_FinalEnergyCons!N$4:N$10000)</f>
        <v>2.2796811358737339E-4</v>
      </c>
      <c r="Q991" s="1" cm="1">
        <f t="array" ref="Q991">SUMPRODUCT(([1]OUT_FinalEnergyCons!$B$4:$B$10000="Var_Fin")*1, ([1]OUT_FinalEnergyCons!$C$4:$C$10000="RLFO")*1,(ISNUMBER(SEARCH("RH*-wHLFOBR",[1]OUT_FinalEnergyCons!$A$4:$A$10000)))*1,[1]OUT_FinalEnergyCons!O$4:O$10000)</f>
        <v>5.5855082313942251E-4</v>
      </c>
      <c r="S991" s="3"/>
    </row>
    <row r="992" spans="2:19" x14ac:dyDescent="0.5">
      <c r="B992" s="5" t="str">
        <f t="shared" si="1176"/>
        <v>SPS1</v>
      </c>
      <c r="C992" s="5" t="str">
        <f t="shared" si="1177"/>
        <v>CH</v>
      </c>
      <c r="D992" t="s">
        <v>712</v>
      </c>
      <c r="E992" t="s">
        <v>8</v>
      </c>
      <c r="F992" s="1">
        <f>IFERROR(F982/F981,0)*F991</f>
        <v>9.8604119076023107</v>
      </c>
      <c r="G992" s="1">
        <f t="shared" ref="G992:K992" si="1187">IFERROR(G982/G981,0)*G991</f>
        <v>8.3546608854571307</v>
      </c>
      <c r="H992" s="1">
        <f t="shared" si="1187"/>
        <v>5.4342425322587973</v>
      </c>
      <c r="I992" s="1">
        <f t="shared" si="1187"/>
        <v>1.4394041991708624</v>
      </c>
      <c r="J992" s="1">
        <f t="shared" si="1187"/>
        <v>0.68334175985559376</v>
      </c>
      <c r="K992" s="1">
        <f t="shared" si="1187"/>
        <v>5.2791793667751792E-4</v>
      </c>
      <c r="L992" s="1">
        <f t="shared" ref="L992:O992" si="1188">IFERROR(L982/L981,0)*L991</f>
        <v>3.8757013244641853E-4</v>
      </c>
      <c r="M992" s="1">
        <f t="shared" si="1188"/>
        <v>0</v>
      </c>
      <c r="N992" s="1">
        <f t="shared" si="1188"/>
        <v>9.7574683587054983E-10</v>
      </c>
      <c r="O992" s="1">
        <f t="shared" si="1188"/>
        <v>3.528416097666007E-9</v>
      </c>
      <c r="P992" s="1">
        <f>IFERROR(P982/P981,0)*P991</f>
        <v>3.6157774169322466E-9</v>
      </c>
      <c r="Q992" s="1">
        <f>IFERROR(Q982/Q981,0)*Q991</f>
        <v>5.7288632050777084E-8</v>
      </c>
      <c r="S992" s="3"/>
    </row>
    <row r="993" spans="2:19" x14ac:dyDescent="0.5">
      <c r="B993" s="5" t="str">
        <f t="shared" si="1176"/>
        <v>SPS1</v>
      </c>
      <c r="C993" s="5" t="str">
        <f t="shared" si="1177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89">G991-G992</f>
        <v>0</v>
      </c>
      <c r="H993" s="1">
        <f t="shared" si="1189"/>
        <v>2.017416298016883E-6</v>
      </c>
      <c r="I993" s="1">
        <f t="shared" si="1189"/>
        <v>4.7718751607916943E-6</v>
      </c>
      <c r="J993" s="1">
        <f t="shared" si="1189"/>
        <v>6.7238631666910464E-6</v>
      </c>
      <c r="K993" s="1">
        <f t="shared" si="1189"/>
        <v>2.833125608897244E-9</v>
      </c>
      <c r="L993" s="1">
        <f t="shared" ref="L993:O993" si="1190">L991-L992</f>
        <v>1.2367063924095725E-8</v>
      </c>
      <c r="M993" s="1">
        <f t="shared" si="1190"/>
        <v>2.4330651404619555E-4</v>
      </c>
      <c r="N993" s="1">
        <f t="shared" si="1190"/>
        <v>1.4634218825000225E-4</v>
      </c>
      <c r="O993" s="1">
        <f t="shared" si="1190"/>
        <v>2.6724115739197596E-4</v>
      </c>
      <c r="P993" s="1">
        <f>P991-P992</f>
        <v>2.2796449780995647E-4</v>
      </c>
      <c r="Q993" s="1">
        <f>Q991-Q992</f>
        <v>5.5849353450737171E-4</v>
      </c>
      <c r="S993" s="3"/>
    </row>
    <row r="994" spans="2:19" x14ac:dyDescent="0.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47.001916954491094</v>
      </c>
      <c r="G994" s="1">
        <f t="shared" ref="G994:K994" si="1191">SUM(G995:G996)</f>
        <v>48.177135688794905</v>
      </c>
      <c r="H994" s="1">
        <f t="shared" si="1191"/>
        <v>48.072237642991503</v>
      </c>
      <c r="I994" s="1">
        <f t="shared" si="1191"/>
        <v>52.390192195978351</v>
      </c>
      <c r="J994" s="1">
        <f t="shared" si="1191"/>
        <v>51.163898639295716</v>
      </c>
      <c r="K994" s="1">
        <f t="shared" si="1191"/>
        <v>48.704115843759986</v>
      </c>
      <c r="L994" s="1">
        <f t="shared" ref="L994:O994" si="1192">SUM(L995:L996)</f>
        <v>38.368712476632801</v>
      </c>
      <c r="M994" s="1">
        <f t="shared" si="1192"/>
        <v>14.813443272366499</v>
      </c>
      <c r="N994" s="1">
        <f t="shared" si="1192"/>
        <v>7.6246535624967988</v>
      </c>
      <c r="O994" s="1">
        <f t="shared" si="1192"/>
        <v>6.0890864370383611</v>
      </c>
      <c r="P994" s="1">
        <f>SUM(P995:P996)</f>
        <v>6.2111231075383406</v>
      </c>
      <c r="Q994" s="1">
        <f>SUM(Q995:Q996)</f>
        <v>5.2010549496675678</v>
      </c>
      <c r="S994" s="3"/>
    </row>
    <row r="995" spans="2:19" x14ac:dyDescent="0.5">
      <c r="B995" s="5" t="str">
        <f t="shared" ref="B995:B1055" si="1193">B994</f>
        <v>SPS1</v>
      </c>
      <c r="C995" s="5" t="str">
        <f t="shared" ref="C995:C1055" si="1194">C994</f>
        <v>CH</v>
      </c>
      <c r="D995" t="s">
        <v>1010</v>
      </c>
      <c r="E995" t="s">
        <v>8</v>
      </c>
      <c r="F995" s="1">
        <f>[1]Residential!B$18</f>
        <v>46.690034150672638</v>
      </c>
      <c r="G995" s="1">
        <f>[1]Residential!C$18</f>
        <v>48.176649128489039</v>
      </c>
      <c r="H995" s="1">
        <f>[1]Residential!D$18</f>
        <v>48.071753893767372</v>
      </c>
      <c r="I995" s="1">
        <f>[1]Residential!E$18</f>
        <v>52.389707687049295</v>
      </c>
      <c r="J995" s="1">
        <f>[1]Residential!F$18</f>
        <v>51.163414003469441</v>
      </c>
      <c r="K995" s="1">
        <f>[1]Residential!G$18</f>
        <v>48.553448251358923</v>
      </c>
      <c r="L995" s="1">
        <f>[1]Residential!H$18</f>
        <v>38.217818139269326</v>
      </c>
      <c r="M995" s="1">
        <f>[1]Residential!I$18</f>
        <v>14.393220275290584</v>
      </c>
      <c r="N995" s="1">
        <f>[1]Residential!J$18</f>
        <v>7.2049991236558517</v>
      </c>
      <c r="O995" s="1">
        <f>[1]Residential!K$18</f>
        <v>5.6702795362560385</v>
      </c>
      <c r="P995" s="1">
        <f>[1]Residential!L$18</f>
        <v>5.7835970522428015</v>
      </c>
      <c r="Q995" s="1">
        <f>[1]Residential!M$18</f>
        <v>4.7742927336459218</v>
      </c>
      <c r="S995" s="3"/>
    </row>
    <row r="996" spans="2:19" x14ac:dyDescent="0.5">
      <c r="B996" s="5" t="str">
        <f t="shared" si="1193"/>
        <v>SPS1</v>
      </c>
      <c r="C996" s="5" t="str">
        <f t="shared" si="1194"/>
        <v>CH</v>
      </c>
      <c r="D996" t="s">
        <v>1011</v>
      </c>
      <c r="E996" t="s">
        <v>8</v>
      </c>
      <c r="F996" s="1">
        <f>[1]Residential!B$19</f>
        <v>0.31188280381845845</v>
      </c>
      <c r="G996" s="1">
        <f>[1]Residential!C$19</f>
        <v>4.8656030586363344E-4</v>
      </c>
      <c r="H996" s="1">
        <f>[1]Residential!D$19</f>
        <v>4.8374922412941311E-4</v>
      </c>
      <c r="I996" s="1">
        <f>[1]Residential!E$19</f>
        <v>4.8450892905629834E-4</v>
      </c>
      <c r="J996" s="1">
        <f>[1]Residential!F$19</f>
        <v>4.846358262724428E-4</v>
      </c>
      <c r="K996" s="1">
        <f>[1]Residential!G$19</f>
        <v>0.15066759240106328</v>
      </c>
      <c r="L996" s="1">
        <f>[1]Residential!H$19</f>
        <v>0.15089433736347554</v>
      </c>
      <c r="M996" s="1">
        <f>[1]Residential!I$19</f>
        <v>0.4202229970759136</v>
      </c>
      <c r="N996" s="1">
        <f>[1]Residential!J$19</f>
        <v>0.41965443884094705</v>
      </c>
      <c r="O996" s="1">
        <f>[1]Residential!K$19</f>
        <v>0.41880690078232291</v>
      </c>
      <c r="P996" s="1">
        <f>[1]Residential!L$19</f>
        <v>0.427526055295539</v>
      </c>
      <c r="Q996" s="1">
        <f>[1]Residential!M$19</f>
        <v>0.42676221602164593</v>
      </c>
      <c r="S996" s="3"/>
    </row>
    <row r="997" spans="2:19" x14ac:dyDescent="0.5">
      <c r="B997" s="5" t="str">
        <f t="shared" si="1193"/>
        <v>SPS1</v>
      </c>
      <c r="C997" s="5" t="str">
        <f t="shared" si="1194"/>
        <v>CH</v>
      </c>
      <c r="D997" t="s">
        <v>1012</v>
      </c>
      <c r="E997" t="s">
        <v>8</v>
      </c>
      <c r="F997" s="1">
        <f>SUM(F998:F999)</f>
        <v>38.49464985729</v>
      </c>
      <c r="G997" s="1">
        <f t="shared" ref="G997:K997" si="1195">SUM(G998:G999)</f>
        <v>41.395266204700647</v>
      </c>
      <c r="H997" s="1">
        <f t="shared" si="1195"/>
        <v>39.676605596287075</v>
      </c>
      <c r="I997" s="1">
        <f t="shared" si="1195"/>
        <v>39.676733169942636</v>
      </c>
      <c r="J997" s="1">
        <f t="shared" si="1195"/>
        <v>40.882576362321217</v>
      </c>
      <c r="K997" s="1">
        <f t="shared" si="1195"/>
        <v>38.799982984035125</v>
      </c>
      <c r="L997" s="1">
        <f t="shared" ref="L997:O997" si="1196">SUM(L998:L999)</f>
        <v>32.505436716639963</v>
      </c>
      <c r="M997" s="1">
        <f t="shared" si="1196"/>
        <v>12.866071663693715</v>
      </c>
      <c r="N997" s="1">
        <f t="shared" si="1196"/>
        <v>6.6250161053192738</v>
      </c>
      <c r="O997" s="1">
        <f t="shared" si="1196"/>
        <v>5.2720774049995889</v>
      </c>
      <c r="P997" s="1">
        <f>SUM(P998:P999)</f>
        <v>5.2720597796378197</v>
      </c>
      <c r="Q997" s="1">
        <f>SUM(Q998:Q999)</f>
        <v>4.3856043423681292</v>
      </c>
      <c r="S997" s="3"/>
    </row>
    <row r="998" spans="2:19" x14ac:dyDescent="0.5">
      <c r="B998" s="5" t="str">
        <f t="shared" si="1193"/>
        <v>SPS1</v>
      </c>
      <c r="C998" s="5" t="str">
        <f t="shared" si="1194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38.49464985729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41.395266204700647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39.674854159682312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39.674839704705292</v>
      </c>
      <c r="J998" s="1" cm="1">
        <f t="array" ref="J998">SUMPRODUCT(([1]OUT_FinalEnergyCons!$B$4:$B$10000="Var_Fin")*1,([1]OUT_FinalEnergyCons!$C$4:$C$10000="RNGA")*1, (ISNUMBER(SEARCH("RH*-SHNGABR",[1]OUT_FinalEnergyCons!$A$4:$A$10000)))*1,[1]OUT_FinalEnergyCons!H$4:H$10000)</f>
        <v>38.220661741776027</v>
      </c>
      <c r="K998" s="1" cm="1">
        <f t="array" ref="K998">SUMPRODUCT(([1]OUT_FinalEnergyCons!$B$4:$B$10000="Var_Fin")*1,([1]OUT_FinalEnergyCons!$C$4:$C$10000="RNGA")*1, (ISNUMBER(SEARCH("RH*-SHNGABR",[1]OUT_FinalEnergyCons!$A$4:$A$10000)))*1,[1]OUT_FinalEnergyCons!I$4:I$10000)</f>
        <v>33.55727509067934</v>
      </c>
      <c r="L998" s="1" cm="1">
        <f t="array" ref="L998">SUMPRODUCT(([1]OUT_FinalEnergyCons!$B$4:$B$10000="Var_Fin")*1,([1]OUT_FinalEnergyCons!$C$4:$C$10000="RNGA")*1, (ISNUMBER(SEARCH("RH*-SHNGABR",[1]OUT_FinalEnergyCons!$A$4:$A$10000)))*1,[1]OUT_FinalEnergyCons!J$4:J$10000)</f>
        <v>27.415937650940187</v>
      </c>
      <c r="M998" s="1" cm="1">
        <f t="array" ref="M998">SUMPRODUCT(([1]OUT_FinalEnergyCons!$B$4:$B$10000="Var_Fin")*1,([1]OUT_FinalEnergyCons!$C$4:$C$10000="RNGA")*1, (ISNUMBER(SEARCH("RH*-SHNGABR",[1]OUT_FinalEnergyCons!$A$4:$A$10000)))*1,[1]OUT_FinalEnergyCons!K$4:K$10000)</f>
        <v>8.3182282967552759</v>
      </c>
      <c r="N998" s="1" cm="1">
        <f t="array" ref="N998">SUMPRODUCT(([1]OUT_FinalEnergyCons!$B$4:$B$10000="Var_Fin")*1,([1]OUT_FinalEnergyCons!$C$4:$C$10000="RNGA")*1, (ISNUMBER(SEARCH("RH*-SHNGABR",[1]OUT_FinalEnergyCons!$A$4:$A$10000)))*1,[1]OUT_FinalEnergyCons!L$4:L$10000)</f>
        <v>4.3226295700381225</v>
      </c>
      <c r="O998" s="1" cm="1">
        <f t="array" ref="O998">SUMPRODUCT(([1]OUT_FinalEnergyCons!$B$4:$B$10000="Var_Fin")*1,([1]OUT_FinalEnergyCons!$C$4:$C$10000="RNGA")*1, (ISNUMBER(SEARCH("RH*-SHNGABR",[1]OUT_FinalEnergyCons!$A$4:$A$10000)))*1,[1]OUT_FinalEnergyCons!M$4:M$10000)</f>
        <v>3.2179269800552177</v>
      </c>
      <c r="P998" s="1" cm="1">
        <f t="array" ref="P998">SUMPRODUCT(([1]OUT_FinalEnergyCons!$B$4:$B$10000="Var_Fin")*1,([1]OUT_FinalEnergyCons!$C$4:$C$10000="RNGA")*1, (ISNUMBER(SEARCH("RH*-SHNGABR",[1]OUT_FinalEnergyCons!$A$4:$A$10000)))*1,[1]OUT_FinalEnergyCons!N$4:N$10000)</f>
        <v>3.2179210273816743</v>
      </c>
      <c r="Q998" s="1" cm="1">
        <f t="array" ref="Q998">SUMPRODUCT(([1]OUT_FinalEnergyCons!$B$4:$B$10000="Var_Fin")*1,([1]OUT_FinalEnergyCons!$C$4:$C$10000="RNGA")*1, (ISNUMBER(SEARCH("RH*-SHNGABR",[1]OUT_FinalEnergyCons!$A$4:$A$10000)))*1,[1]OUT_FinalEnergyCons!O$4:O$10000)</f>
        <v>2.3314662843952707</v>
      </c>
      <c r="S998" s="3"/>
    </row>
    <row r="999" spans="2:19" x14ac:dyDescent="0.5">
      <c r="B999" s="5" t="str">
        <f t="shared" si="1193"/>
        <v>SPS1</v>
      </c>
      <c r="C999" s="5" t="str">
        <f t="shared" si="1194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1.7514366047667966E-3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1.8934652373420796E-3</v>
      </c>
      <c r="J999" s="1" cm="1">
        <f t="array" ref="J999">SUMPRODUCT(([1]OUT_FinalEnergyCons!$B$4:$B$10000="Var_Fin")*1, ([1]OUT_FinalEnergyCons!$C$4:$C$10000="RNGA")*1,ISNUMBER(SEARCH("RH*-SHngahp",[1]OUT_FinalEnergyCons!$A$4:$A$10000))*1,[1]OUT_FinalEnergyCons!H$4:H$10000)</f>
        <v>2.6619146205451907</v>
      </c>
      <c r="K999" s="1" cm="1">
        <f t="array" ref="K999">SUMPRODUCT(([1]OUT_FinalEnergyCons!$B$4:$B$10000="Var_Fin")*1, ([1]OUT_FinalEnergyCons!$C$4:$C$10000="RNGA")*1,ISNUMBER(SEARCH("RH*-SHngahp",[1]OUT_FinalEnergyCons!$A$4:$A$10000))*1,[1]OUT_FinalEnergyCons!I$4:I$10000)</f>
        <v>5.2427078933557825</v>
      </c>
      <c r="L999" s="1" cm="1">
        <f t="array" ref="L999">SUMPRODUCT(([1]OUT_FinalEnergyCons!$B$4:$B$10000="Var_Fin")*1, ([1]OUT_FinalEnergyCons!$C$4:$C$10000="RNGA")*1,ISNUMBER(SEARCH("RH*-SHngahp",[1]OUT_FinalEnergyCons!$A$4:$A$10000))*1,[1]OUT_FinalEnergyCons!J$4:J$10000)</f>
        <v>5.0894990656997745</v>
      </c>
      <c r="M999" s="1" cm="1">
        <f t="array" ref="M999">SUMPRODUCT(([1]OUT_FinalEnergyCons!$B$4:$B$10000="Var_Fin")*1, ([1]OUT_FinalEnergyCons!$C$4:$C$10000="RNGA")*1,ISNUMBER(SEARCH("RH*-SHngahp",[1]OUT_FinalEnergyCons!$A$4:$A$10000))*1,[1]OUT_FinalEnergyCons!K$4:K$10000)</f>
        <v>4.547843366938439</v>
      </c>
      <c r="N999" s="1" cm="1">
        <f t="array" ref="N999">SUMPRODUCT(([1]OUT_FinalEnergyCons!$B$4:$B$10000="Var_Fin")*1, ([1]OUT_FinalEnergyCons!$C$4:$C$10000="RNGA")*1,ISNUMBER(SEARCH("RH*-SHngahp",[1]OUT_FinalEnergyCons!$A$4:$A$10000))*1,[1]OUT_FinalEnergyCons!L$4:L$10000)</f>
        <v>2.3023865352811512</v>
      </c>
      <c r="O999" s="1" cm="1">
        <f t="array" ref="O999">SUMPRODUCT(([1]OUT_FinalEnergyCons!$B$4:$B$10000="Var_Fin")*1, ([1]OUT_FinalEnergyCons!$C$4:$C$10000="RNGA")*1,ISNUMBER(SEARCH("RH*-SHngahp",[1]OUT_FinalEnergyCons!$A$4:$A$10000))*1,[1]OUT_FinalEnergyCons!M$4:M$10000)</f>
        <v>2.0541504249443712</v>
      </c>
      <c r="P999" s="1" cm="1">
        <f t="array" ref="P999">SUMPRODUCT(([1]OUT_FinalEnergyCons!$B$4:$B$10000="Var_Fin")*1, ([1]OUT_FinalEnergyCons!$C$4:$C$10000="RNGA")*1,ISNUMBER(SEARCH("RH*-SHngahp",[1]OUT_FinalEnergyCons!$A$4:$A$10000))*1,[1]OUT_FinalEnergyCons!N$4:N$10000)</f>
        <v>2.0541387522561458</v>
      </c>
      <c r="Q999" s="1" cm="1">
        <f t="array" ref="Q999">SUMPRODUCT(([1]OUT_FinalEnergyCons!$B$4:$B$10000="Var_Fin")*1, ([1]OUT_FinalEnergyCons!$C$4:$C$10000="RNGA")*1,ISNUMBER(SEARCH("RH*-SHngahp",[1]OUT_FinalEnergyCons!$A$4:$A$10000))*1,[1]OUT_FinalEnergyCons!O$4:O$10000)</f>
        <v>2.0541380579728581</v>
      </c>
      <c r="S999" s="3"/>
    </row>
    <row r="1000" spans="2:19" x14ac:dyDescent="0.5">
      <c r="B1000" s="5" t="str">
        <f t="shared" si="1193"/>
        <v>SPS1</v>
      </c>
      <c r="C1000" s="5" t="str">
        <f t="shared" si="1194"/>
        <v>CH</v>
      </c>
      <c r="D1000" t="s">
        <v>1013</v>
      </c>
      <c r="E1000" t="s">
        <v>8</v>
      </c>
      <c r="F1000" s="1">
        <f>SUM(F1001:F1002)</f>
        <v>38.239217310972244</v>
      </c>
      <c r="G1000" s="1">
        <f t="shared" ref="G1000:K1000" si="1197">SUM(G1001:G1002)</f>
        <v>41.394848137227399</v>
      </c>
      <c r="H1000" s="1">
        <f t="shared" si="1197"/>
        <v>39.676206332010764</v>
      </c>
      <c r="I1000" s="1">
        <f t="shared" si="1197"/>
        <v>39.676366236158067</v>
      </c>
      <c r="J1000" s="1">
        <f t="shared" si="1197"/>
        <v>40.882189113466026</v>
      </c>
      <c r="K1000" s="1">
        <f t="shared" si="1197"/>
        <v>38.679954113371295</v>
      </c>
      <c r="L1000" s="1">
        <f t="shared" ref="L1000:O1000" si="1198">SUM(L1001:L1002)</f>
        <v>32.377601143917659</v>
      </c>
      <c r="M1000" s="1">
        <f t="shared" si="1198"/>
        <v>12.501091078444063</v>
      </c>
      <c r="N1000" s="1">
        <f t="shared" si="1198"/>
        <v>6.2603808608191187</v>
      </c>
      <c r="O1000" s="1">
        <f t="shared" si="1198"/>
        <v>4.9094643231353219</v>
      </c>
      <c r="P1000" s="1">
        <f>SUM(P1001:P1002)</f>
        <v>4.9091716381783064</v>
      </c>
      <c r="Q1000" s="1">
        <f>SUM(Q1001:Q1002)</f>
        <v>4.025752303530739</v>
      </c>
      <c r="S1000" s="3"/>
    </row>
    <row r="1001" spans="2:19" x14ac:dyDescent="0.5">
      <c r="B1001" s="5" t="str">
        <f t="shared" si="1193"/>
        <v>SPS1</v>
      </c>
      <c r="C1001" s="5" t="str">
        <f t="shared" si="1194"/>
        <v>CH</v>
      </c>
      <c r="D1001" t="s">
        <v>716</v>
      </c>
      <c r="E1001" t="s">
        <v>8</v>
      </c>
      <c r="F1001" s="1">
        <f>F998-F1004</f>
        <v>38.239217310972244</v>
      </c>
      <c r="G1001" s="1">
        <f t="shared" ref="G1001:K1001" si="1199">G998-G1004</f>
        <v>41.394848137227399</v>
      </c>
      <c r="H1001" s="1">
        <f t="shared" si="1199"/>
        <v>39.674454913030644</v>
      </c>
      <c r="I1001" s="1">
        <f t="shared" si="1199"/>
        <v>39.67447278843165</v>
      </c>
      <c r="J1001" s="1">
        <f t="shared" si="1199"/>
        <v>38.220299707168103</v>
      </c>
      <c r="K1001" s="1">
        <f t="shared" si="1199"/>
        <v>33.453464688665839</v>
      </c>
      <c r="L1001" s="1">
        <f t="shared" ref="L1001:O1001" si="1200">L998-L1004</f>
        <v>27.308117776933301</v>
      </c>
      <c r="M1001" s="1">
        <f t="shared" si="1200"/>
        <v>8.0822594702674593</v>
      </c>
      <c r="N1001" s="1">
        <f t="shared" si="1200"/>
        <v>4.0847157197021327</v>
      </c>
      <c r="O1001" s="1">
        <f t="shared" si="1200"/>
        <v>2.9965982077679514</v>
      </c>
      <c r="P1001" s="1">
        <f>P998-P1004</f>
        <v>2.9964240357314305</v>
      </c>
      <c r="Q1001" s="1">
        <f>Q998-Q1004</f>
        <v>2.1401624570492679</v>
      </c>
      <c r="S1001" s="3"/>
    </row>
    <row r="1002" spans="2:19" x14ac:dyDescent="0.5">
      <c r="B1002" s="5" t="str">
        <f t="shared" si="1193"/>
        <v>SPS1</v>
      </c>
      <c r="C1002" s="5" t="str">
        <f t="shared" si="1194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201">G999-G1005</f>
        <v>0</v>
      </c>
      <c r="H1002" s="1">
        <f t="shared" si="1201"/>
        <v>1.7514189801222989E-3</v>
      </c>
      <c r="I1002" s="1">
        <f t="shared" si="1201"/>
        <v>1.8934477264153985E-3</v>
      </c>
      <c r="J1002" s="1">
        <f t="shared" si="1201"/>
        <v>2.6618894062979206</v>
      </c>
      <c r="K1002" s="1">
        <f t="shared" si="1201"/>
        <v>5.2264894247054547</v>
      </c>
      <c r="L1002" s="1">
        <f t="shared" ref="L1002:O1002" si="1202">L999-L1005</f>
        <v>5.0694833669843558</v>
      </c>
      <c r="M1002" s="1">
        <f t="shared" si="1202"/>
        <v>4.4188316081766033</v>
      </c>
      <c r="N1002" s="1">
        <f t="shared" si="1202"/>
        <v>2.1756651411169861</v>
      </c>
      <c r="O1002" s="1">
        <f t="shared" si="1202"/>
        <v>1.9128661153673705</v>
      </c>
      <c r="P1002" s="1">
        <f>P999-P1005</f>
        <v>1.9127476024468761</v>
      </c>
      <c r="Q1002" s="1">
        <f>Q999-Q1005</f>
        <v>1.8855898464814707</v>
      </c>
      <c r="S1002" s="3"/>
    </row>
    <row r="1003" spans="2:19" x14ac:dyDescent="0.5">
      <c r="B1003" s="5" t="str">
        <f t="shared" si="1193"/>
        <v>SPS1</v>
      </c>
      <c r="C1003" s="5" t="str">
        <f t="shared" si="1194"/>
        <v>CH</v>
      </c>
      <c r="D1003" t="s">
        <v>1014</v>
      </c>
      <c r="E1003" t="s">
        <v>8</v>
      </c>
      <c r="F1003" s="1">
        <f>SUM(F1004:F1005)</f>
        <v>0.25543254631775725</v>
      </c>
      <c r="G1003" s="1">
        <f t="shared" ref="G1003:K1003" si="1203">SUM(G1004:G1005)</f>
        <v>4.1806747325059761E-4</v>
      </c>
      <c r="H1003" s="1">
        <f t="shared" si="1203"/>
        <v>3.9926427631335455E-4</v>
      </c>
      <c r="I1003" s="1">
        <f t="shared" si="1203"/>
        <v>3.6693378456620926E-4</v>
      </c>
      <c r="J1003" s="1">
        <f t="shared" si="1203"/>
        <v>3.8724885519733561E-4</v>
      </c>
      <c r="K1003" s="1">
        <f t="shared" si="1203"/>
        <v>0.12002887066382864</v>
      </c>
      <c r="L1003" s="1">
        <f t="shared" ref="L1003:O1003" si="1204">SUM(L1004:L1005)</f>
        <v>0.12783557272230425</v>
      </c>
      <c r="M1003" s="1">
        <f t="shared" si="1204"/>
        <v>0.36498058524965293</v>
      </c>
      <c r="N1003" s="1">
        <f t="shared" si="1204"/>
        <v>0.36463524450015478</v>
      </c>
      <c r="O1003" s="1">
        <f t="shared" si="1204"/>
        <v>0.36261308186426705</v>
      </c>
      <c r="P1003" s="1">
        <f>SUM(P1004:P1005)</f>
        <v>0.36288814145951342</v>
      </c>
      <c r="Q1003" s="1">
        <f>SUM(Q1004:Q1005)</f>
        <v>0.35985203883739048</v>
      </c>
      <c r="S1003" s="3"/>
    </row>
    <row r="1004" spans="2:19" x14ac:dyDescent="0.5">
      <c r="B1004" s="5" t="str">
        <f t="shared" si="1193"/>
        <v>SPS1</v>
      </c>
      <c r="C1004" s="5" t="str">
        <f t="shared" si="1194"/>
        <v>CH</v>
      </c>
      <c r="D1004" t="s">
        <v>717</v>
      </c>
      <c r="E1004" t="s">
        <v>8</v>
      </c>
      <c r="F1004" s="1">
        <f>F998*IFERROR(F$996/F$994,0)</f>
        <v>0.25543254631775725</v>
      </c>
      <c r="G1004" s="1">
        <f t="shared" ref="G1004:K1004" si="1205">G998*IFERROR(G996/G994,0)</f>
        <v>4.1806747325059761E-4</v>
      </c>
      <c r="H1004" s="1">
        <f t="shared" si="1205"/>
        <v>3.9924665166885681E-4</v>
      </c>
      <c r="I1004" s="1">
        <f t="shared" si="1205"/>
        <v>3.669162736395282E-4</v>
      </c>
      <c r="J1004" s="1">
        <f t="shared" si="1205"/>
        <v>3.6203460792721449E-4</v>
      </c>
      <c r="K1004" s="1">
        <f t="shared" si="1205"/>
        <v>0.10381040201350061</v>
      </c>
      <c r="L1004" s="1">
        <f t="shared" ref="L1004:O1004" si="1206">L998*IFERROR(L996/L994,0)</f>
        <v>0.1078198740068859</v>
      </c>
      <c r="M1004" s="1">
        <f t="shared" si="1206"/>
        <v>0.23596882648781725</v>
      </c>
      <c r="N1004" s="1">
        <f t="shared" si="1206"/>
        <v>0.2379138503359895</v>
      </c>
      <c r="O1004" s="1">
        <f t="shared" si="1206"/>
        <v>0.22132877228726638</v>
      </c>
      <c r="P1004" s="1">
        <f>P998*IFERROR(P996/P994,0)</f>
        <v>0.22149699165024367</v>
      </c>
      <c r="Q1004" s="1">
        <f>Q998*IFERROR(Q996/Q994,0)</f>
        <v>0.19130382734600299</v>
      </c>
      <c r="S1004" s="3"/>
    </row>
    <row r="1005" spans="2:19" x14ac:dyDescent="0.5">
      <c r="B1005" s="5" t="str">
        <f t="shared" si="1193"/>
        <v>SPS1</v>
      </c>
      <c r="C1005" s="5" t="str">
        <f t="shared" si="1194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207">G999*IFERROR(G$996/G$994,0)</f>
        <v>0</v>
      </c>
      <c r="H1005" s="1">
        <f t="shared" si="1207"/>
        <v>1.762464449772318E-8</v>
      </c>
      <c r="I1005" s="1">
        <f t="shared" si="1207"/>
        <v>1.7510926681050879E-8</v>
      </c>
      <c r="J1005" s="1">
        <f t="shared" si="1207"/>
        <v>2.5214247270121099E-5</v>
      </c>
      <c r="K1005" s="1">
        <f t="shared" si="1207"/>
        <v>1.6218468650328034E-2</v>
      </c>
      <c r="L1005" s="1">
        <f t="shared" ref="L1005:O1005" si="1208">L999*IFERROR(L$996/L$994,0)</f>
        <v>2.0015698715418355E-2</v>
      </c>
      <c r="M1005" s="1">
        <f t="shared" si="1208"/>
        <v>0.12901175876183571</v>
      </c>
      <c r="N1005" s="1">
        <f t="shared" si="1208"/>
        <v>0.12672139416416528</v>
      </c>
      <c r="O1005" s="1">
        <f t="shared" si="1208"/>
        <v>0.14128430957700067</v>
      </c>
      <c r="P1005" s="1">
        <f>P999*IFERROR(P$996/P$994,0)</f>
        <v>0.14139114980926973</v>
      </c>
      <c r="Q1005" s="1">
        <f>Q999*IFERROR(Q$996/Q$994,0)</f>
        <v>0.16854821149138752</v>
      </c>
      <c r="S1005" s="3"/>
    </row>
    <row r="1006" spans="2:19" x14ac:dyDescent="0.5">
      <c r="B1006" s="5" t="str">
        <f t="shared" si="1193"/>
        <v>SPS1</v>
      </c>
      <c r="C1006" s="5" t="str">
        <f t="shared" si="1194"/>
        <v>CH</v>
      </c>
      <c r="D1006" t="s">
        <v>1015</v>
      </c>
      <c r="E1006" t="s">
        <v>8</v>
      </c>
      <c r="F1006" s="1">
        <f>SUM(F1007:F1008)</f>
        <v>8.507267097201094</v>
      </c>
      <c r="G1006" s="1">
        <f t="shared" ref="G1006:K1006" si="1209">SUM(G1007:G1008)</f>
        <v>6.7818694840942584</v>
      </c>
      <c r="H1006" s="1">
        <f t="shared" si="1209"/>
        <v>8.3956320467044243</v>
      </c>
      <c r="I1006" s="1">
        <f t="shared" si="1209"/>
        <v>12.713459026035716</v>
      </c>
      <c r="J1006" s="1">
        <f t="shared" si="1209"/>
        <v>10.2813222769745</v>
      </c>
      <c r="K1006" s="1">
        <f t="shared" si="1209"/>
        <v>9.9041328597248643</v>
      </c>
      <c r="L1006" s="1">
        <f t="shared" ref="L1006:O1006" si="1210">SUM(L1007:L1008)</f>
        <v>5.86327575999284</v>
      </c>
      <c r="M1006" s="1">
        <f t="shared" si="1210"/>
        <v>1.9473716086727837</v>
      </c>
      <c r="N1006" s="1">
        <f t="shared" si="1210"/>
        <v>0.99963745717752506</v>
      </c>
      <c r="O1006" s="1">
        <f t="shared" si="1210"/>
        <v>0.81700903203877218</v>
      </c>
      <c r="P1006" s="1">
        <f>SUM(P1007:P1008)</f>
        <v>0.93906332790052049</v>
      </c>
      <c r="Q1006" s="1">
        <f>SUM(Q1007:Q1008)</f>
        <v>0.81545060729943897</v>
      </c>
      <c r="S1006" s="3"/>
    </row>
    <row r="1007" spans="2:19" x14ac:dyDescent="0.5">
      <c r="B1007" s="5" t="str">
        <f t="shared" si="1193"/>
        <v>SPS1</v>
      </c>
      <c r="C1007" s="5" t="str">
        <f t="shared" si="1194"/>
        <v>CH</v>
      </c>
      <c r="D1007" t="s">
        <v>719</v>
      </c>
      <c r="E1007" t="s">
        <v>8</v>
      </c>
      <c r="F1007" s="1">
        <f>F994-F998-F999-F1008</f>
        <v>8.507267097201094</v>
      </c>
      <c r="G1007" s="1">
        <f t="shared" ref="G1007:K1007" si="1211">G994-G998-G999-G1008</f>
        <v>6.7818694840942584</v>
      </c>
      <c r="H1007" s="1">
        <f t="shared" si="1211"/>
        <v>8.395218672949543</v>
      </c>
      <c r="I1007" s="1">
        <f t="shared" si="1211"/>
        <v>12.712945250400747</v>
      </c>
      <c r="J1007" s="1">
        <f t="shared" si="1211"/>
        <v>9.4728402279456603</v>
      </c>
      <c r="K1007" s="1">
        <f t="shared" si="1211"/>
        <v>8.123132949482212</v>
      </c>
      <c r="L1007" s="1">
        <f t="shared" ref="L1007:O1007" si="1212">L994-L998-L999-L1008</f>
        <v>3.9199566722754478</v>
      </c>
      <c r="M1007" s="1">
        <f t="shared" si="1212"/>
        <v>0.80629815459198872</v>
      </c>
      <c r="N1007" s="1">
        <f t="shared" si="1212"/>
        <v>0.42195891920826356</v>
      </c>
      <c r="O1007" s="1">
        <f t="shared" si="1212"/>
        <v>0.30161369631795421</v>
      </c>
      <c r="P1007" s="1">
        <f>P994-P998-P999-P1008</f>
        <v>0.42367112547433283</v>
      </c>
      <c r="Q1007" s="1">
        <f>Q994-Q998-Q999-Q1008</f>
        <v>0.30005916488553697</v>
      </c>
      <c r="S1007" s="3"/>
    </row>
    <row r="1008" spans="2:19" x14ac:dyDescent="0.5">
      <c r="B1008" s="5" t="str">
        <f t="shared" si="1193"/>
        <v>SPS1</v>
      </c>
      <c r="C1008" s="5" t="str">
        <f t="shared" si="1194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4.1337375488213789E-4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5.1377563496854449E-4</v>
      </c>
      <c r="J1008" s="1" cm="1">
        <f t="array" ref="J1008">SUMPRODUCT(([1]OUT_FinalEnergyCons!$B$4:$B$10000="Var_Fin")*1, ([1]OUT_FinalEnergyCons!$C$4:$C$10000="RNGA")*1,ISNUMBER(SEARCH("RH*-wHngahp",[1]OUT_FinalEnergyCons!$A$4:$A$10000))*1,[1]OUT_FinalEnergyCons!H$4:H$10000)</f>
        <v>0.80848204902884024</v>
      </c>
      <c r="K1008" s="1" cm="1">
        <f t="array" ref="K1008">SUMPRODUCT(([1]OUT_FinalEnergyCons!$B$4:$B$10000="Var_Fin")*1, ([1]OUT_FinalEnergyCons!$C$4:$C$10000="RNGA")*1,ISNUMBER(SEARCH("RH*-wHngahp",[1]OUT_FinalEnergyCons!$A$4:$A$10000))*1,[1]OUT_FinalEnergyCons!I$4:I$10000)</f>
        <v>1.7809999102426533</v>
      </c>
      <c r="L1008" s="1" cm="1">
        <f t="array" ref="L1008">SUMPRODUCT(([1]OUT_FinalEnergyCons!$B$4:$B$10000="Var_Fin")*1, ([1]OUT_FinalEnergyCons!$C$4:$C$10000="RNGA")*1,ISNUMBER(SEARCH("RH*-wHngahp",[1]OUT_FinalEnergyCons!$A$4:$A$10000))*1,[1]OUT_FinalEnergyCons!J$4:J$10000)</f>
        <v>1.9433190877173925</v>
      </c>
      <c r="M1008" s="1" cm="1">
        <f t="array" ref="M1008">SUMPRODUCT(([1]OUT_FinalEnergyCons!$B$4:$B$10000="Var_Fin")*1, ([1]OUT_FinalEnergyCons!$C$4:$C$10000="RNGA")*1,ISNUMBER(SEARCH("RH*-wHngahp",[1]OUT_FinalEnergyCons!$A$4:$A$10000))*1,[1]OUT_FinalEnergyCons!K$4:K$10000)</f>
        <v>1.141073454080795</v>
      </c>
      <c r="N1008" s="1" cm="1">
        <f t="array" ref="N1008">SUMPRODUCT(([1]OUT_FinalEnergyCons!$B$4:$B$10000="Var_Fin")*1, ([1]OUT_FinalEnergyCons!$C$4:$C$10000="RNGA")*1,ISNUMBER(SEARCH("RH*-wHngahp",[1]OUT_FinalEnergyCons!$A$4:$A$10000))*1,[1]OUT_FinalEnergyCons!L$4:L$10000)</f>
        <v>0.5776785379692615</v>
      </c>
      <c r="O1008" s="1" cm="1">
        <f t="array" ref="O1008">SUMPRODUCT(([1]OUT_FinalEnergyCons!$B$4:$B$10000="Var_Fin")*1, ([1]OUT_FinalEnergyCons!$C$4:$C$10000="RNGA")*1,ISNUMBER(SEARCH("RH*-wHngahp",[1]OUT_FinalEnergyCons!$A$4:$A$10000))*1,[1]OUT_FinalEnergyCons!M$4:M$10000)</f>
        <v>0.51539533572081797</v>
      </c>
      <c r="P1008" s="1" cm="1">
        <f t="array" ref="P1008">SUMPRODUCT(([1]OUT_FinalEnergyCons!$B$4:$B$10000="Var_Fin")*1, ([1]OUT_FinalEnergyCons!$C$4:$C$10000="RNGA")*1,ISNUMBER(SEARCH("RH*-wHngahp",[1]OUT_FinalEnergyCons!$A$4:$A$10000))*1,[1]OUT_FinalEnergyCons!N$4:N$10000)</f>
        <v>0.51539220242618766</v>
      </c>
      <c r="Q1008" s="1" cm="1">
        <f t="array" ref="Q1008">SUMPRODUCT(([1]OUT_FinalEnergyCons!$B$4:$B$10000="Var_Fin")*1, ([1]OUT_FinalEnergyCons!$C$4:$C$10000="RNGA")*1,ISNUMBER(SEARCH("RH*-wHngahp",[1]OUT_FinalEnergyCons!$A$4:$A$10000))*1,[1]OUT_FinalEnergyCons!O$4:O$10000)</f>
        <v>0.515391442413902</v>
      </c>
      <c r="S1008" s="3"/>
    </row>
    <row r="1009" spans="2:19" x14ac:dyDescent="0.5">
      <c r="B1009" s="5" t="str">
        <f t="shared" si="1193"/>
        <v>SPS1</v>
      </c>
      <c r="C1009" s="5" t="str">
        <f t="shared" si="1194"/>
        <v>CH</v>
      </c>
      <c r="D1009" t="s">
        <v>1016</v>
      </c>
      <c r="E1009" t="s">
        <v>8</v>
      </c>
      <c r="F1009" s="1">
        <f>SUM(F1010:F1011)</f>
        <v>8.4508168397003924</v>
      </c>
      <c r="G1009" s="1">
        <f t="shared" ref="G1009:K1009" si="1213">SUM(G1010:G1011)</f>
        <v>6.7818009912616457</v>
      </c>
      <c r="H1009" s="1">
        <f t="shared" si="1213"/>
        <v>8.3955475617566098</v>
      </c>
      <c r="I1009" s="1">
        <f t="shared" si="1213"/>
        <v>12.713341450891225</v>
      </c>
      <c r="J1009" s="1">
        <f t="shared" si="1213"/>
        <v>10.281224890003424</v>
      </c>
      <c r="K1009" s="1">
        <f t="shared" si="1213"/>
        <v>9.8734941379876311</v>
      </c>
      <c r="L1009" s="1">
        <f t="shared" ref="L1009:O1009" si="1214">SUM(L1010:L1011)</f>
        <v>5.8402169953516694</v>
      </c>
      <c r="M1009" s="1">
        <f t="shared" si="1214"/>
        <v>1.8921291968465228</v>
      </c>
      <c r="N1009" s="1">
        <f t="shared" si="1214"/>
        <v>0.94461826283673278</v>
      </c>
      <c r="O1009" s="1">
        <f t="shared" si="1214"/>
        <v>0.7608152131207162</v>
      </c>
      <c r="P1009" s="1">
        <f>SUM(P1010:P1011)</f>
        <v>0.87442541406449492</v>
      </c>
      <c r="Q1009" s="1">
        <f>SUM(Q1010:Q1011)</f>
        <v>0.74854043011518356</v>
      </c>
      <c r="S1009" s="3"/>
    </row>
    <row r="1010" spans="2:19" x14ac:dyDescent="0.5">
      <c r="B1010" s="5" t="str">
        <f t="shared" si="1193"/>
        <v>SPS1</v>
      </c>
      <c r="C1010" s="5" t="str">
        <f t="shared" si="1194"/>
        <v>CH</v>
      </c>
      <c r="D1010" t="s">
        <v>718</v>
      </c>
      <c r="E1010" t="s">
        <v>8</v>
      </c>
      <c r="F1010" s="1">
        <f>F1007-F1013</f>
        <v>8.4508168397003924</v>
      </c>
      <c r="G1010" s="1">
        <f t="shared" ref="G1010:K1010" si="1215">G1007-G1013</f>
        <v>6.7818009912616457</v>
      </c>
      <c r="H1010" s="1">
        <f t="shared" si="1215"/>
        <v>8.3951341921614926</v>
      </c>
      <c r="I1010" s="1">
        <f t="shared" si="1215"/>
        <v>12.712827680007697</v>
      </c>
      <c r="J1010" s="1">
        <f t="shared" si="1215"/>
        <v>9.4727504990963514</v>
      </c>
      <c r="K1010" s="1">
        <f t="shared" si="1215"/>
        <v>8.0980038025292433</v>
      </c>
      <c r="L1010" s="1">
        <f t="shared" ref="L1010:O1010" si="1216">L1007-L1013</f>
        <v>3.9045404848045555</v>
      </c>
      <c r="M1010" s="1">
        <f t="shared" si="1216"/>
        <v>0.78342534772125394</v>
      </c>
      <c r="N1010" s="1">
        <f t="shared" si="1216"/>
        <v>0.39873465963989962</v>
      </c>
      <c r="O1010" s="1">
        <f t="shared" si="1216"/>
        <v>0.28086872928643636</v>
      </c>
      <c r="P1010" s="1">
        <f>P1007-P1013</f>
        <v>0.39450885612616493</v>
      </c>
      <c r="Q1010" s="1">
        <f>Q1007-Q1013</f>
        <v>0.27543840710016865</v>
      </c>
      <c r="S1010" s="3"/>
    </row>
    <row r="1011" spans="2:19" x14ac:dyDescent="0.5">
      <c r="B1011" s="5" t="str">
        <f t="shared" si="1193"/>
        <v>SPS1</v>
      </c>
      <c r="C1011" s="5" t="str">
        <f t="shared" si="1194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217">G1008-G1014</f>
        <v>0</v>
      </c>
      <c r="H1011" s="1">
        <f t="shared" si="1217"/>
        <v>4.1336959511668897E-4</v>
      </c>
      <c r="I1011" s="1">
        <f t="shared" si="1217"/>
        <v>5.1377088352801256E-4</v>
      </c>
      <c r="J1011" s="1">
        <f t="shared" si="1217"/>
        <v>0.80847439090707318</v>
      </c>
      <c r="K1011" s="1">
        <f t="shared" si="1217"/>
        <v>1.7754903354583869</v>
      </c>
      <c r="L1011" s="1">
        <f t="shared" ref="L1011:O1011" si="1218">L1008-L1014</f>
        <v>1.9356765105471136</v>
      </c>
      <c r="M1011" s="1">
        <f t="shared" si="1218"/>
        <v>1.108703849125269</v>
      </c>
      <c r="N1011" s="1">
        <f t="shared" si="1218"/>
        <v>0.54588360319683316</v>
      </c>
      <c r="O1011" s="1">
        <f t="shared" si="1218"/>
        <v>0.4799464838342799</v>
      </c>
      <c r="P1011" s="1">
        <f>P1008-P1014</f>
        <v>0.47991655793832999</v>
      </c>
      <c r="Q1011" s="1">
        <f>Q1008-Q1014</f>
        <v>0.47310202301501492</v>
      </c>
      <c r="S1011" s="3"/>
    </row>
    <row r="1012" spans="2:19" x14ac:dyDescent="0.5">
      <c r="B1012" s="5" t="str">
        <f t="shared" si="1193"/>
        <v>SPS1</v>
      </c>
      <c r="C1012" s="5" t="str">
        <f t="shared" si="1194"/>
        <v>CH</v>
      </c>
      <c r="D1012" t="s">
        <v>1017</v>
      </c>
      <c r="E1012" t="s">
        <v>8</v>
      </c>
      <c r="F1012" s="1">
        <f t="shared" ref="F1012:K1012" si="1219">SUM(F1013:F1014)</f>
        <v>5.6450257500701186E-2</v>
      </c>
      <c r="G1012" s="1">
        <f t="shared" si="1219"/>
        <v>6.849283261303583E-5</v>
      </c>
      <c r="H1012" s="1">
        <f t="shared" si="1219"/>
        <v>8.4484947816058548E-5</v>
      </c>
      <c r="I1012" s="1">
        <f t="shared" si="1219"/>
        <v>1.1757514449008912E-4</v>
      </c>
      <c r="J1012" s="1">
        <f t="shared" si="1219"/>
        <v>9.7386971075107226E-5</v>
      </c>
      <c r="K1012" s="1">
        <f t="shared" si="1219"/>
        <v>3.0638721737234646E-2</v>
      </c>
      <c r="L1012" s="1">
        <f t="shared" ref="L1012:O1012" si="1220">SUM(L1013:L1014)</f>
        <v>2.3058764641171289E-2</v>
      </c>
      <c r="M1012" s="1">
        <f t="shared" si="1220"/>
        <v>5.5242411826260655E-2</v>
      </c>
      <c r="N1012" s="1">
        <f t="shared" si="1220"/>
        <v>5.5019194340792277E-2</v>
      </c>
      <c r="O1012" s="1">
        <f t="shared" si="1220"/>
        <v>5.6193818918055888E-2</v>
      </c>
      <c r="P1012" s="1">
        <f>SUM(P1013:P1014)</f>
        <v>6.4637913836025601E-2</v>
      </c>
      <c r="Q1012" s="1">
        <f>SUM(Q1013:Q1014)</f>
        <v>6.6910177184255404E-2</v>
      </c>
      <c r="S1012" s="3"/>
    </row>
    <row r="1013" spans="2:19" x14ac:dyDescent="0.5">
      <c r="B1013" s="5" t="str">
        <f t="shared" si="1193"/>
        <v>SPS1</v>
      </c>
      <c r="C1013" s="5" t="str">
        <f t="shared" si="1194"/>
        <v>CH</v>
      </c>
      <c r="D1013" t="s">
        <v>738</v>
      </c>
      <c r="E1013" t="s">
        <v>8</v>
      </c>
      <c r="F1013" s="1">
        <f>F1007*IFERROR(F$996/F$994,0)</f>
        <v>5.6450257500701186E-2</v>
      </c>
      <c r="G1013" s="1">
        <f t="shared" ref="G1013:K1013" si="1221">G1007*IFERROR(G$996/G$994,0)</f>
        <v>6.849283261303583E-5</v>
      </c>
      <c r="H1013" s="1">
        <f t="shared" si="1221"/>
        <v>8.4480788050609622E-5</v>
      </c>
      <c r="I1013" s="1">
        <f t="shared" si="1221"/>
        <v>1.1757039304955723E-4</v>
      </c>
      <c r="J1013" s="1">
        <f t="shared" si="1221"/>
        <v>8.9728849308041612E-5</v>
      </c>
      <c r="K1013" s="1">
        <f t="shared" si="1221"/>
        <v>2.512914695296823E-2</v>
      </c>
      <c r="L1013" s="1">
        <f t="shared" ref="L1013:O1013" si="1222">L1007*IFERROR(L$996/L$994,0)</f>
        <v>1.541618747089237E-2</v>
      </c>
      <c r="M1013" s="1">
        <f t="shared" si="1222"/>
        <v>2.2872806870734744E-2</v>
      </c>
      <c r="N1013" s="1">
        <f t="shared" si="1222"/>
        <v>2.3224259568363926E-2</v>
      </c>
      <c r="O1013" s="1">
        <f t="shared" si="1222"/>
        <v>2.0744967031517823E-2</v>
      </c>
      <c r="P1013" s="1">
        <f>P1007*IFERROR(P$996/P$994,0)</f>
        <v>2.9162269348167926E-2</v>
      </c>
      <c r="Q1013" s="1">
        <f>Q1007*IFERROR(Q$996/Q$994,0)</f>
        <v>2.4620757785368319E-2</v>
      </c>
      <c r="S1013" s="3"/>
    </row>
    <row r="1014" spans="2:19" x14ac:dyDescent="0.5">
      <c r="B1014" s="5" t="str">
        <f t="shared" si="1193"/>
        <v>SPS1</v>
      </c>
      <c r="C1014" s="5" t="str">
        <f t="shared" si="1194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223">G1008*IFERROR(G$996/G$994,0)</f>
        <v>0</v>
      </c>
      <c r="H1014" s="1">
        <f t="shared" si="1223"/>
        <v>4.1597654489222658E-9</v>
      </c>
      <c r="I1014" s="1">
        <f t="shared" si="1223"/>
        <v>4.7514405318966895E-9</v>
      </c>
      <c r="J1014" s="1">
        <f t="shared" si="1223"/>
        <v>7.6581217670656199E-6</v>
      </c>
      <c r="K1014" s="1">
        <f t="shared" si="1223"/>
        <v>5.5095747842664146E-3</v>
      </c>
      <c r="L1014" s="1">
        <f t="shared" ref="L1014:O1014" si="1224">L1008*IFERROR(L$996/L$994,0)</f>
        <v>7.6425771702789188E-3</v>
      </c>
      <c r="M1014" s="1">
        <f t="shared" si="1224"/>
        <v>3.2369604955525912E-2</v>
      </c>
      <c r="N1014" s="1">
        <f t="shared" si="1224"/>
        <v>3.1794934772428347E-2</v>
      </c>
      <c r="O1014" s="1">
        <f t="shared" si="1224"/>
        <v>3.5448851886538062E-2</v>
      </c>
      <c r="P1014" s="1">
        <f>P1008*IFERROR(P$996/P$994,0)</f>
        <v>3.5475644487857672E-2</v>
      </c>
      <c r="Q1014" s="1">
        <f>Q1008*IFERROR(Q$996/Q$994,0)</f>
        <v>4.2289419398887085E-2</v>
      </c>
      <c r="S1014" s="3"/>
    </row>
    <row r="1015" spans="2:19" x14ac:dyDescent="0.5">
      <c r="B1015" s="5" t="str">
        <f t="shared" si="1193"/>
        <v>SPS1</v>
      </c>
      <c r="C1015" s="5" t="str">
        <f t="shared" si="1194"/>
        <v>CH</v>
      </c>
      <c r="D1015" t="s">
        <v>1018</v>
      </c>
      <c r="E1015" t="s">
        <v>8</v>
      </c>
      <c r="F1015" s="1">
        <f>[1]Residential!B$20</f>
        <v>0.10000044537725621</v>
      </c>
      <c r="G1015" s="1">
        <f>[1]Residential!C$20</f>
        <v>0.1000001436310361</v>
      </c>
      <c r="H1015" s="1">
        <f>[1]Residential!D$20</f>
        <v>5.7864149463041168E-4</v>
      </c>
      <c r="I1015" s="1">
        <f>[1]Residential!E$20</f>
        <v>3.4932701939050268E-4</v>
      </c>
      <c r="J1015" s="1">
        <f>[1]Residential!F$20</f>
        <v>1.3319526647412544E-4</v>
      </c>
      <c r="K1015" s="1">
        <f>[1]Residential!G$20</f>
        <v>0</v>
      </c>
      <c r="L1015" s="1">
        <f>[1]Residential!H$20</f>
        <v>0</v>
      </c>
      <c r="M1015" s="1">
        <f>[1]Residential!I$20</f>
        <v>0</v>
      </c>
      <c r="N1015" s="1">
        <f>[1]Residential!J$20</f>
        <v>0</v>
      </c>
      <c r="O1015" s="1">
        <f>[1]Residential!K$20</f>
        <v>0</v>
      </c>
      <c r="P1015" s="1">
        <f>[1]Residential!L$20</f>
        <v>0</v>
      </c>
      <c r="Q1015" s="1">
        <f>[1]Residential!M$20</f>
        <v>0</v>
      </c>
      <c r="S1015" s="3"/>
    </row>
    <row r="1016" spans="2:19" x14ac:dyDescent="0.5">
      <c r="B1016" s="5" t="str">
        <f t="shared" si="1193"/>
        <v>SPS1</v>
      </c>
      <c r="C1016" s="5" t="str">
        <f t="shared" si="1194"/>
        <v>CH</v>
      </c>
      <c r="D1016" t="s">
        <v>1019</v>
      </c>
      <c r="E1016" t="s">
        <v>8</v>
      </c>
      <c r="F1016" s="1">
        <f>F1015</f>
        <v>0.10000044537725621</v>
      </c>
      <c r="G1016" s="1">
        <f t="shared" ref="G1016:G1017" si="1225">G1015</f>
        <v>0.1000001436310361</v>
      </c>
      <c r="H1016" s="1">
        <f t="shared" ref="H1016:H1017" si="1226">H1015</f>
        <v>5.7864149463041168E-4</v>
      </c>
      <c r="I1016" s="1">
        <f t="shared" ref="I1016:I1017" si="1227">I1015</f>
        <v>3.4932701939050268E-4</v>
      </c>
      <c r="J1016" s="1">
        <f t="shared" ref="J1016:J1017" si="1228">J1015</f>
        <v>1.3319526647412544E-4</v>
      </c>
      <c r="K1016" s="1">
        <f t="shared" ref="K1016:K1017" si="1229">K1015</f>
        <v>0</v>
      </c>
      <c r="L1016" s="1">
        <f t="shared" ref="L1016:O1016" si="1230">L1015</f>
        <v>0</v>
      </c>
      <c r="M1016" s="1">
        <f t="shared" si="1230"/>
        <v>0</v>
      </c>
      <c r="N1016" s="1">
        <f t="shared" si="1230"/>
        <v>0</v>
      </c>
      <c r="O1016" s="1">
        <f t="shared" si="1230"/>
        <v>0</v>
      </c>
      <c r="P1016" s="1">
        <f>P1015</f>
        <v>0</v>
      </c>
      <c r="Q1016" s="1">
        <f>Q1015</f>
        <v>0</v>
      </c>
      <c r="S1016" s="3"/>
    </row>
    <row r="1017" spans="2:19" x14ac:dyDescent="0.5">
      <c r="B1017" s="5" t="str">
        <f t="shared" si="1193"/>
        <v>SPS1</v>
      </c>
      <c r="C1017" s="5" t="str">
        <f t="shared" si="1194"/>
        <v>CH</v>
      </c>
      <c r="D1017" t="s">
        <v>764</v>
      </c>
      <c r="E1017" t="s">
        <v>8</v>
      </c>
      <c r="F1017" s="1">
        <f t="shared" ref="F1017" si="1231">F1016</f>
        <v>0.10000044537725621</v>
      </c>
      <c r="G1017" s="1">
        <f t="shared" si="1225"/>
        <v>0.1000001436310361</v>
      </c>
      <c r="H1017" s="1">
        <f t="shared" si="1226"/>
        <v>5.7864149463041168E-4</v>
      </c>
      <c r="I1017" s="1">
        <f t="shared" si="1227"/>
        <v>3.4932701939050268E-4</v>
      </c>
      <c r="J1017" s="1">
        <f t="shared" si="1228"/>
        <v>1.3319526647412544E-4</v>
      </c>
      <c r="K1017" s="1">
        <f t="shared" si="1229"/>
        <v>0</v>
      </c>
      <c r="L1017" s="1">
        <f t="shared" ref="L1017:O1017" si="1232">L1016</f>
        <v>0</v>
      </c>
      <c r="M1017" s="1">
        <f t="shared" si="1232"/>
        <v>0</v>
      </c>
      <c r="N1017" s="1">
        <f t="shared" si="1232"/>
        <v>0</v>
      </c>
      <c r="O1017" s="1">
        <f t="shared" si="1232"/>
        <v>0</v>
      </c>
      <c r="P1017" s="1">
        <f>P1016</f>
        <v>0</v>
      </c>
      <c r="Q1017" s="1">
        <f>Q1016</f>
        <v>0</v>
      </c>
      <c r="S1017" s="3"/>
    </row>
    <row r="1018" spans="2:19" x14ac:dyDescent="0.5">
      <c r="B1018" s="5" t="str">
        <f t="shared" si="1193"/>
        <v>SPS1</v>
      </c>
      <c r="C1018" s="5" t="str">
        <f t="shared" si="1194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S1018" s="3"/>
    </row>
    <row r="1019" spans="2:19" x14ac:dyDescent="0.5">
      <c r="B1019" s="5" t="str">
        <f t="shared" si="1193"/>
        <v>SPS1</v>
      </c>
      <c r="C1019" s="5" t="str">
        <f t="shared" si="1194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S1019" s="3"/>
    </row>
    <row r="1020" spans="2:19" x14ac:dyDescent="0.5">
      <c r="B1020" s="5" t="str">
        <f t="shared" si="1193"/>
        <v>SPS1</v>
      </c>
      <c r="C1020" s="5" t="str">
        <f t="shared" si="1194"/>
        <v>CH</v>
      </c>
      <c r="D1020" t="s">
        <v>1021</v>
      </c>
      <c r="E1020" t="s">
        <v>8</v>
      </c>
      <c r="F1020" s="1">
        <f>F1021+F1023</f>
        <v>13.722990789272421</v>
      </c>
      <c r="G1020" s="1">
        <f t="shared" ref="G1020:K1020" si="1233">G1021+G1023</f>
        <v>13.929124207407078</v>
      </c>
      <c r="H1020" s="1">
        <f t="shared" si="1233"/>
        <v>11.844178213921056</v>
      </c>
      <c r="I1020" s="1">
        <f t="shared" si="1233"/>
        <v>10.452775685100182</v>
      </c>
      <c r="J1020" s="1">
        <f t="shared" si="1233"/>
        <v>9.3020138967734951</v>
      </c>
      <c r="K1020" s="1">
        <f t="shared" si="1233"/>
        <v>6.918688160229153</v>
      </c>
      <c r="L1020" s="1">
        <f t="shared" ref="L1020:O1020" si="1234">L1021+L1023</f>
        <v>6.0121855482496507</v>
      </c>
      <c r="M1020" s="1">
        <f t="shared" si="1234"/>
        <v>5.720504861981345</v>
      </c>
      <c r="N1020" s="1">
        <f t="shared" si="1234"/>
        <v>4.7315831462238895</v>
      </c>
      <c r="O1020" s="1">
        <f t="shared" si="1234"/>
        <v>4.3168312276692777</v>
      </c>
      <c r="P1020" s="1">
        <f>P1021+P1023</f>
        <v>4.3032305935472221</v>
      </c>
      <c r="Q1020" s="1">
        <f>Q1021+Q1023</f>
        <v>3.3883790378686376</v>
      </c>
      <c r="S1020" s="3"/>
    </row>
    <row r="1021" spans="2:19" x14ac:dyDescent="0.5">
      <c r="B1021" s="5" t="str">
        <f t="shared" si="1193"/>
        <v>SPS1</v>
      </c>
      <c r="C1021" s="5" t="str">
        <f t="shared" si="1194"/>
        <v>CH</v>
      </c>
      <c r="D1021" t="s">
        <v>1022</v>
      </c>
      <c r="E1021" t="s">
        <v>8</v>
      </c>
      <c r="F1021" s="1">
        <f>F1022</f>
        <v>12.6820489673837</v>
      </c>
      <c r="G1021" s="1">
        <f t="shared" ref="G1021:O1021" si="1235">G1022</f>
        <v>12.734642558335675</v>
      </c>
      <c r="H1021" s="1">
        <f t="shared" si="1235"/>
        <v>11.189205912264573</v>
      </c>
      <c r="I1021" s="1">
        <f t="shared" si="1235"/>
        <v>9.8747673772231082</v>
      </c>
      <c r="J1021" s="1">
        <f t="shared" si="1235"/>
        <v>8.7876339183715064</v>
      </c>
      <c r="K1021" s="1">
        <f t="shared" si="1235"/>
        <v>6.5361041673393778</v>
      </c>
      <c r="L1021" s="1">
        <f t="shared" si="1235"/>
        <v>5.679729203937435</v>
      </c>
      <c r="M1021" s="1">
        <f t="shared" si="1235"/>
        <v>5.4041775830047998</v>
      </c>
      <c r="N1021" s="1">
        <f t="shared" si="1235"/>
        <v>4.4699409297866008</v>
      </c>
      <c r="O1021" s="1">
        <f t="shared" si="1235"/>
        <v>4.078122636468839</v>
      </c>
      <c r="P1021" s="1">
        <f>P1022</f>
        <v>4.0652747288490154</v>
      </c>
      <c r="Q1021" s="1">
        <f>Q1022</f>
        <v>3.2010084470219189</v>
      </c>
      <c r="S1021" s="3"/>
    </row>
    <row r="1022" spans="2:19" x14ac:dyDescent="0.5">
      <c r="B1022" s="5" t="str">
        <f t="shared" si="1193"/>
        <v>SPS1</v>
      </c>
      <c r="C1022" s="5" t="str">
        <f t="shared" si="1194"/>
        <v>CH</v>
      </c>
      <c r="D1022" t="s">
        <v>766</v>
      </c>
      <c r="E1022" t="s">
        <v>8</v>
      </c>
      <c r="F1022" s="1">
        <f>[1]Residential!B$22-F1024-F1025</f>
        <v>12.6820489673837</v>
      </c>
      <c r="G1022" s="1">
        <f>[1]Residential!C$22-G1024-G1025</f>
        <v>12.734642558335675</v>
      </c>
      <c r="H1022" s="1">
        <f>[1]Residential!D$22-H1024-H1025</f>
        <v>11.189205912264573</v>
      </c>
      <c r="I1022" s="1">
        <f>[1]Residential!E$22-I1024-I1025</f>
        <v>9.8747673772231082</v>
      </c>
      <c r="J1022" s="1">
        <f>[1]Residential!F$22-J1024-J1025</f>
        <v>8.7876339183715064</v>
      </c>
      <c r="K1022" s="1">
        <f>[1]Residential!G$22-K1024-K1025</f>
        <v>6.5361041673393778</v>
      </c>
      <c r="L1022" s="1">
        <f>[1]Residential!H$22-L1024-L1025</f>
        <v>5.679729203937435</v>
      </c>
      <c r="M1022" s="1">
        <f>[1]Residential!I$22-M1024-M1025</f>
        <v>5.4041775830047998</v>
      </c>
      <c r="N1022" s="1">
        <f>[1]Residential!J$22-N1024-N1025</f>
        <v>4.4699409297866008</v>
      </c>
      <c r="O1022" s="1">
        <f>[1]Residential!K$22-O1024-O1025</f>
        <v>4.078122636468839</v>
      </c>
      <c r="P1022" s="1">
        <f>[1]Residential!L$22-P1024-P1025</f>
        <v>4.0652747288490154</v>
      </c>
      <c r="Q1022" s="1">
        <f>[1]Residential!M$22-Q1024-Q1025</f>
        <v>3.2010084470219189</v>
      </c>
      <c r="S1022" s="3"/>
    </row>
    <row r="1023" spans="2:19" x14ac:dyDescent="0.5">
      <c r="B1023" s="5" t="str">
        <f t="shared" si="1193"/>
        <v>SPS1</v>
      </c>
      <c r="C1023" s="5" t="str">
        <f t="shared" si="1194"/>
        <v>CH</v>
      </c>
      <c r="D1023" t="s">
        <v>1023</v>
      </c>
      <c r="E1023" t="s">
        <v>8</v>
      </c>
      <c r="F1023" s="1">
        <f>F1024</f>
        <v>1.0409418218887201</v>
      </c>
      <c r="G1023" s="1">
        <f t="shared" ref="G1023" si="1236">G1024</f>
        <v>1.194481649071403</v>
      </c>
      <c r="H1023" s="1">
        <f t="shared" ref="H1023" si="1237">H1024</f>
        <v>0.65497230165648312</v>
      </c>
      <c r="I1023" s="1">
        <f t="shared" ref="I1023" si="1238">I1024</f>
        <v>0.57800830787707291</v>
      </c>
      <c r="J1023" s="1">
        <f t="shared" ref="J1023" si="1239">J1024</f>
        <v>0.51437997840198924</v>
      </c>
      <c r="K1023" s="1">
        <f t="shared" ref="K1023:O1023" si="1240">K1024</f>
        <v>0.38258399288977507</v>
      </c>
      <c r="L1023" s="1">
        <f t="shared" si="1240"/>
        <v>0.33245634431221571</v>
      </c>
      <c r="M1023" s="1">
        <f t="shared" si="1240"/>
        <v>0.31632727897654522</v>
      </c>
      <c r="N1023" s="1">
        <f t="shared" si="1240"/>
        <v>0.26164221643728836</v>
      </c>
      <c r="O1023" s="1">
        <f t="shared" si="1240"/>
        <v>0.23870859120043905</v>
      </c>
      <c r="P1023" s="1">
        <f>P1024</f>
        <v>0.23795586469820676</v>
      </c>
      <c r="Q1023" s="1">
        <f>Q1024</f>
        <v>0.18737059084671889</v>
      </c>
      <c r="S1023" s="3"/>
    </row>
    <row r="1024" spans="2:19" x14ac:dyDescent="0.5">
      <c r="B1024" s="5" t="str">
        <f t="shared" si="1193"/>
        <v>SPS1</v>
      </c>
      <c r="C1024" s="5" t="str">
        <f t="shared" si="1194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1.0409418218887201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1.194481649071403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0.65497230165648312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0.57800830787707291</v>
      </c>
      <c r="J1024" s="1" cm="1">
        <f t="array" ref="J1024">SUMPRODUCT(([1]OUT_FinalEnergyCons!$B$4:$B$10000="Var_Fin")*1, ISNUMBER(SEARCH("WOD",[1]OUT_FinalEnergyCons!$C$4:$C$10000))*1,(ISNUMBER(SEARCH("RH*-wHWODBR",[1]OUT_FinalEnergyCons!$A$4:$A$10000)))*1,[1]OUT_FinalEnergyCons!H$4:H$10000)</f>
        <v>0.51437997840198924</v>
      </c>
      <c r="K1024" s="1" cm="1">
        <f t="array" ref="K1024">SUMPRODUCT(([1]OUT_FinalEnergyCons!$B$4:$B$10000="Var_Fin")*1, ISNUMBER(SEARCH("WOD",[1]OUT_FinalEnergyCons!$C$4:$C$10000))*1,(ISNUMBER(SEARCH("RH*-wHWODBR",[1]OUT_FinalEnergyCons!$A$4:$A$10000)))*1,[1]OUT_FinalEnergyCons!I$4:I$10000)</f>
        <v>0.38258399288977507</v>
      </c>
      <c r="L1024" s="1" cm="1">
        <f t="array" ref="L1024">SUMPRODUCT(([1]OUT_FinalEnergyCons!$B$4:$B$10000="Var_Fin")*1, ISNUMBER(SEARCH("WOD",[1]OUT_FinalEnergyCons!$C$4:$C$10000))*1,(ISNUMBER(SEARCH("RH*-wHWODBR",[1]OUT_FinalEnergyCons!$A$4:$A$10000)))*1,[1]OUT_FinalEnergyCons!J$4:J$10000)</f>
        <v>0.33245634431221571</v>
      </c>
      <c r="M1024" s="1" cm="1">
        <f t="array" ref="M1024">SUMPRODUCT(([1]OUT_FinalEnergyCons!$B$4:$B$10000="Var_Fin")*1, ISNUMBER(SEARCH("WOD",[1]OUT_FinalEnergyCons!$C$4:$C$10000))*1,(ISNUMBER(SEARCH("RH*-wHWODBR",[1]OUT_FinalEnergyCons!$A$4:$A$10000)))*1,[1]OUT_FinalEnergyCons!K$4:K$10000)</f>
        <v>0.31632727897654522</v>
      </c>
      <c r="N1024" s="1" cm="1">
        <f t="array" ref="N1024">SUMPRODUCT(([1]OUT_FinalEnergyCons!$B$4:$B$10000="Var_Fin")*1, ISNUMBER(SEARCH("WOD",[1]OUT_FinalEnergyCons!$C$4:$C$10000))*1,(ISNUMBER(SEARCH("RH*-wHWODBR",[1]OUT_FinalEnergyCons!$A$4:$A$10000)))*1,[1]OUT_FinalEnergyCons!L$4:L$10000)</f>
        <v>0.26164221643728836</v>
      </c>
      <c r="O1024" s="1" cm="1">
        <f t="array" ref="O1024">SUMPRODUCT(([1]OUT_FinalEnergyCons!$B$4:$B$10000="Var_Fin")*1, ISNUMBER(SEARCH("WOD",[1]OUT_FinalEnergyCons!$C$4:$C$10000))*1,(ISNUMBER(SEARCH("RH*-wHWODBR",[1]OUT_FinalEnergyCons!$A$4:$A$10000)))*1,[1]OUT_FinalEnergyCons!M$4:M$10000)</f>
        <v>0.23870859120043905</v>
      </c>
      <c r="P1024" s="1" cm="1">
        <f t="array" ref="P1024">SUMPRODUCT(([1]OUT_FinalEnergyCons!$B$4:$B$10000="Var_Fin")*1, ISNUMBER(SEARCH("WOD",[1]OUT_FinalEnergyCons!$C$4:$C$10000))*1,(ISNUMBER(SEARCH("RH*-wHWODBR",[1]OUT_FinalEnergyCons!$A$4:$A$10000)))*1,[1]OUT_FinalEnergyCons!N$4:N$10000)</f>
        <v>0.23795586469820676</v>
      </c>
      <c r="Q1024" s="1" cm="1">
        <f t="array" ref="Q1024">SUMPRODUCT(([1]OUT_FinalEnergyCons!$B$4:$B$10000="Var_Fin")*1, ISNUMBER(SEARCH("WOD",[1]OUT_FinalEnergyCons!$C$4:$C$10000))*1,(ISNUMBER(SEARCH("RH*-wHWODBR",[1]OUT_FinalEnergyCons!$A$4:$A$10000)))*1,[1]OUT_FinalEnergyCons!O$4:O$10000)</f>
        <v>0.18737059084671889</v>
      </c>
      <c r="S1024" s="3"/>
    </row>
    <row r="1025" spans="2:19" x14ac:dyDescent="0.5">
      <c r="B1025" s="5" t="str">
        <f t="shared" si="1193"/>
        <v>SPS1</v>
      </c>
      <c r="C1025" s="5" t="str">
        <f t="shared" si="1194"/>
        <v>CH</v>
      </c>
      <c r="D1025" t="s">
        <v>1024</v>
      </c>
      <c r="E1025" t="s">
        <v>8</v>
      </c>
      <c r="F1025" s="1">
        <f>F1026+F1028</f>
        <v>3.2682074554834717</v>
      </c>
      <c r="G1025" s="1">
        <f t="shared" ref="G1025:K1025" si="1241">G1026+G1028</f>
        <v>3.8319833054839307</v>
      </c>
      <c r="H1025" s="1">
        <f t="shared" si="1241"/>
        <v>3.729958433541003</v>
      </c>
      <c r="I1025" s="1">
        <f t="shared" si="1241"/>
        <v>3.8828767595337155</v>
      </c>
      <c r="J1025" s="1">
        <f t="shared" si="1241"/>
        <v>4.0211952147008567</v>
      </c>
      <c r="K1025" s="1">
        <f t="shared" si="1241"/>
        <v>4.1339440893052082</v>
      </c>
      <c r="L1025" s="1">
        <f t="shared" ref="L1025:O1025" si="1242">L1026+L1028</f>
        <v>4.2258044700455306</v>
      </c>
      <c r="M1025" s="1">
        <f t="shared" si="1242"/>
        <v>4.3124806686491928</v>
      </c>
      <c r="N1025" s="1">
        <f t="shared" si="1242"/>
        <v>4.3751606564051979</v>
      </c>
      <c r="O1025" s="1">
        <f t="shared" si="1242"/>
        <v>4.4464035528336314</v>
      </c>
      <c r="P1025" s="1">
        <f>P1026+P1028</f>
        <v>4.4466592509703275</v>
      </c>
      <c r="Q1025" s="1">
        <f>Q1026+Q1028</f>
        <v>4.4466688584898062</v>
      </c>
      <c r="S1025" s="3"/>
    </row>
    <row r="1026" spans="2:19" x14ac:dyDescent="0.5">
      <c r="B1026" s="5" t="str">
        <f t="shared" si="1193"/>
        <v>SPS1</v>
      </c>
      <c r="C1026" s="5" t="str">
        <f t="shared" si="1194"/>
        <v>CH</v>
      </c>
      <c r="D1026" t="s">
        <v>1025</v>
      </c>
      <c r="E1026" t="s">
        <v>8</v>
      </c>
      <c r="F1026" s="1">
        <f>F1027</f>
        <v>2.996539128708414</v>
      </c>
      <c r="G1026" s="1">
        <f t="shared" ref="G1026:O1026" si="1243">G1027</f>
        <v>3.5202453077939144</v>
      </c>
      <c r="H1026" s="1">
        <f t="shared" si="1243"/>
        <v>3.5237026750686904</v>
      </c>
      <c r="I1026" s="1">
        <f t="shared" si="1243"/>
        <v>3.6681644396875037</v>
      </c>
      <c r="J1026" s="1">
        <f t="shared" si="1243"/>
        <v>3.7988327445482599</v>
      </c>
      <c r="K1026" s="1">
        <f t="shared" si="1243"/>
        <v>3.9053481621922002</v>
      </c>
      <c r="L1026" s="1">
        <f t="shared" si="1243"/>
        <v>3.9921297701944236</v>
      </c>
      <c r="M1026" s="1">
        <f t="shared" si="1243"/>
        <v>4.0740130088968671</v>
      </c>
      <c r="N1026" s="1">
        <f t="shared" si="1243"/>
        <v>4.1332275953597302</v>
      </c>
      <c r="O1026" s="1">
        <f t="shared" si="1243"/>
        <v>4.2005303607750717</v>
      </c>
      <c r="P1026" s="1">
        <f>P1027</f>
        <v>4.200772476110501</v>
      </c>
      <c r="Q1026" s="1">
        <f>Q1027</f>
        <v>4.2007801493285095</v>
      </c>
      <c r="S1026" s="3"/>
    </row>
    <row r="1027" spans="2:19" x14ac:dyDescent="0.5">
      <c r="B1027" s="5" t="str">
        <f t="shared" si="1193"/>
        <v>SPS1</v>
      </c>
      <c r="C1027" s="5" t="str">
        <f t="shared" si="1194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2.996539128708414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3.5202453077939144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3.5237026750686904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3.6681644396875037</v>
      </c>
      <c r="J1027" s="1" cm="1">
        <f t="array" ref="J1027">SUMPRODUCT(([1]OUT_FinalEnergyCons!$B$4:$B$10000="Var_Fin")*1, ISNUMBER(SEARCH("RPLT",[1]OUT_FinalEnergyCons!$C$4:$C$10000))*1,(ISNUMBER(SEARCH("RH*-SHPLTBR",[1]OUT_FinalEnergyCons!$A$4:$A$10000)))*1,[1]OUT_FinalEnergyCons!H$4:H$10000)</f>
        <v>3.7988327445482599</v>
      </c>
      <c r="K1027" s="1" cm="1">
        <f t="array" ref="K1027">SUMPRODUCT(([1]OUT_FinalEnergyCons!$B$4:$B$10000="Var_Fin")*1, ISNUMBER(SEARCH("RPLT",[1]OUT_FinalEnergyCons!$C$4:$C$10000))*1,(ISNUMBER(SEARCH("RH*-SHPLTBR",[1]OUT_FinalEnergyCons!$A$4:$A$10000)))*1,[1]OUT_FinalEnergyCons!I$4:I$10000)</f>
        <v>3.9053481621922002</v>
      </c>
      <c r="L1027" s="1" cm="1">
        <f t="array" ref="L1027">SUMPRODUCT(([1]OUT_FinalEnergyCons!$B$4:$B$10000="Var_Fin")*1, ISNUMBER(SEARCH("RPLT",[1]OUT_FinalEnergyCons!$C$4:$C$10000))*1,(ISNUMBER(SEARCH("RH*-SHPLTBR",[1]OUT_FinalEnergyCons!$A$4:$A$10000)))*1,[1]OUT_FinalEnergyCons!J$4:J$10000)</f>
        <v>3.9921297701944236</v>
      </c>
      <c r="M1027" s="1" cm="1">
        <f t="array" ref="M1027">SUMPRODUCT(([1]OUT_FinalEnergyCons!$B$4:$B$10000="Var_Fin")*1, ISNUMBER(SEARCH("RPLT",[1]OUT_FinalEnergyCons!$C$4:$C$10000))*1,(ISNUMBER(SEARCH("RH*-SHPLTBR",[1]OUT_FinalEnergyCons!$A$4:$A$10000)))*1,[1]OUT_FinalEnergyCons!K$4:K$10000)</f>
        <v>4.0740130088968671</v>
      </c>
      <c r="N1027" s="1" cm="1">
        <f t="array" ref="N1027">SUMPRODUCT(([1]OUT_FinalEnergyCons!$B$4:$B$10000="Var_Fin")*1, ISNUMBER(SEARCH("RPLT",[1]OUT_FinalEnergyCons!$C$4:$C$10000))*1,(ISNUMBER(SEARCH("RH*-SHPLTBR",[1]OUT_FinalEnergyCons!$A$4:$A$10000)))*1,[1]OUT_FinalEnergyCons!L$4:L$10000)</f>
        <v>4.1332275953597302</v>
      </c>
      <c r="O1027" s="1" cm="1">
        <f t="array" ref="O1027">SUMPRODUCT(([1]OUT_FinalEnergyCons!$B$4:$B$10000="Var_Fin")*1, ISNUMBER(SEARCH("RPLT",[1]OUT_FinalEnergyCons!$C$4:$C$10000))*1,(ISNUMBER(SEARCH("RH*-SHPLTBR",[1]OUT_FinalEnergyCons!$A$4:$A$10000)))*1,[1]OUT_FinalEnergyCons!M$4:M$10000)</f>
        <v>4.2005303607750717</v>
      </c>
      <c r="P1027" s="1" cm="1">
        <f t="array" ref="P1027">SUMPRODUCT(([1]OUT_FinalEnergyCons!$B$4:$B$10000="Var_Fin")*1, ISNUMBER(SEARCH("RPLT",[1]OUT_FinalEnergyCons!$C$4:$C$10000))*1,(ISNUMBER(SEARCH("RH*-SHPLTBR",[1]OUT_FinalEnergyCons!$A$4:$A$10000)))*1,[1]OUT_FinalEnergyCons!N$4:N$10000)</f>
        <v>4.200772476110501</v>
      </c>
      <c r="Q1027" s="1" cm="1">
        <f t="array" ref="Q1027">SUMPRODUCT(([1]OUT_FinalEnergyCons!$B$4:$B$10000="Var_Fin")*1, ISNUMBER(SEARCH("RPLT",[1]OUT_FinalEnergyCons!$C$4:$C$10000))*1,(ISNUMBER(SEARCH("RH*-SHPLTBR",[1]OUT_FinalEnergyCons!$A$4:$A$10000)))*1,[1]OUT_FinalEnergyCons!O$4:O$10000)</f>
        <v>4.2007801493285095</v>
      </c>
      <c r="S1027" s="3"/>
    </row>
    <row r="1028" spans="2:19" x14ac:dyDescent="0.5">
      <c r="B1028" s="5" t="str">
        <f t="shared" si="1193"/>
        <v>SPS1</v>
      </c>
      <c r="C1028" s="5" t="str">
        <f t="shared" si="1194"/>
        <v>CH</v>
      </c>
      <c r="D1028" t="s">
        <v>1026</v>
      </c>
      <c r="E1028" t="s">
        <v>8</v>
      </c>
      <c r="F1028" s="1">
        <f>F1029</f>
        <v>0.27166832677505753</v>
      </c>
      <c r="G1028" s="1">
        <f t="shared" ref="G1028:O1028" si="1244">G1029</f>
        <v>0.31173799769001642</v>
      </c>
      <c r="H1028" s="1">
        <f t="shared" si="1244"/>
        <v>0.2062557584723127</v>
      </c>
      <c r="I1028" s="1">
        <f t="shared" si="1244"/>
        <v>0.21471231984621186</v>
      </c>
      <c r="J1028" s="1">
        <f t="shared" si="1244"/>
        <v>0.22236247015259714</v>
      </c>
      <c r="K1028" s="1">
        <f t="shared" si="1244"/>
        <v>0.22859592711300805</v>
      </c>
      <c r="L1028" s="1">
        <f t="shared" si="1244"/>
        <v>0.23367469985110675</v>
      </c>
      <c r="M1028" s="1">
        <f t="shared" si="1244"/>
        <v>0.23846765975232539</v>
      </c>
      <c r="N1028" s="1">
        <f t="shared" si="1244"/>
        <v>0.24193306104546794</v>
      </c>
      <c r="O1028" s="1">
        <f t="shared" si="1244"/>
        <v>0.24587319205855943</v>
      </c>
      <c r="P1028" s="1">
        <f>P1029</f>
        <v>0.24588677485982627</v>
      </c>
      <c r="Q1028" s="1">
        <f>Q1029</f>
        <v>0.24588870916129654</v>
      </c>
      <c r="S1028" s="3"/>
    </row>
    <row r="1029" spans="2:19" x14ac:dyDescent="0.5">
      <c r="B1029" s="5" t="str">
        <f t="shared" si="1193"/>
        <v>SPS1</v>
      </c>
      <c r="C1029" s="5" t="str">
        <f t="shared" si="1194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0.27166832677505753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0.31173799769001642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0.2062557584723127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0.21471231984621186</v>
      </c>
      <c r="J1029" s="1" cm="1">
        <f t="array" ref="J1029">SUMPRODUCT(([1]OUT_FinalEnergyCons!$B$4:$B$10000="Var_Fin")*1, ISNUMBER(SEARCH("PLT",[1]OUT_FinalEnergyCons!$C$4:$C$10000))*1,(ISNUMBER(SEARCH("RH*-wHPLTBR",[1]OUT_FinalEnergyCons!$A$4:$A$10000)))*1,[1]OUT_FinalEnergyCons!H$4:H$10000)</f>
        <v>0.22236247015259714</v>
      </c>
      <c r="K1029" s="1" cm="1">
        <f t="array" ref="K1029">SUMPRODUCT(([1]OUT_FinalEnergyCons!$B$4:$B$10000="Var_Fin")*1, ISNUMBER(SEARCH("PLT",[1]OUT_FinalEnergyCons!$C$4:$C$10000))*1,(ISNUMBER(SEARCH("RH*-wHPLTBR",[1]OUT_FinalEnergyCons!$A$4:$A$10000)))*1,[1]OUT_FinalEnergyCons!I$4:I$10000)</f>
        <v>0.22859592711300805</v>
      </c>
      <c r="L1029" s="1" cm="1">
        <f t="array" ref="L1029">SUMPRODUCT(([1]OUT_FinalEnergyCons!$B$4:$B$10000="Var_Fin")*1, ISNUMBER(SEARCH("PLT",[1]OUT_FinalEnergyCons!$C$4:$C$10000))*1,(ISNUMBER(SEARCH("RH*-wHPLTBR",[1]OUT_FinalEnergyCons!$A$4:$A$10000)))*1,[1]OUT_FinalEnergyCons!J$4:J$10000)</f>
        <v>0.23367469985110675</v>
      </c>
      <c r="M1029" s="1" cm="1">
        <f t="array" ref="M1029">SUMPRODUCT(([1]OUT_FinalEnergyCons!$B$4:$B$10000="Var_Fin")*1, ISNUMBER(SEARCH("PLT",[1]OUT_FinalEnergyCons!$C$4:$C$10000))*1,(ISNUMBER(SEARCH("RH*-wHPLTBR",[1]OUT_FinalEnergyCons!$A$4:$A$10000)))*1,[1]OUT_FinalEnergyCons!K$4:K$10000)</f>
        <v>0.23846765975232539</v>
      </c>
      <c r="N1029" s="1" cm="1">
        <f t="array" ref="N1029">SUMPRODUCT(([1]OUT_FinalEnergyCons!$B$4:$B$10000="Var_Fin")*1, ISNUMBER(SEARCH("PLT",[1]OUT_FinalEnergyCons!$C$4:$C$10000))*1,(ISNUMBER(SEARCH("RH*-wHPLTBR",[1]OUT_FinalEnergyCons!$A$4:$A$10000)))*1,[1]OUT_FinalEnergyCons!L$4:L$10000)</f>
        <v>0.24193306104546794</v>
      </c>
      <c r="O1029" s="1" cm="1">
        <f t="array" ref="O1029">SUMPRODUCT(([1]OUT_FinalEnergyCons!$B$4:$B$10000="Var_Fin")*1, ISNUMBER(SEARCH("PLT",[1]OUT_FinalEnergyCons!$C$4:$C$10000))*1,(ISNUMBER(SEARCH("RH*-wHPLTBR",[1]OUT_FinalEnergyCons!$A$4:$A$10000)))*1,[1]OUT_FinalEnergyCons!M$4:M$10000)</f>
        <v>0.24587319205855943</v>
      </c>
      <c r="P1029" s="1" cm="1">
        <f t="array" ref="P1029">SUMPRODUCT(([1]OUT_FinalEnergyCons!$B$4:$B$10000="Var_Fin")*1, ISNUMBER(SEARCH("PLT",[1]OUT_FinalEnergyCons!$C$4:$C$10000))*1,(ISNUMBER(SEARCH("RH*-wHPLTBR",[1]OUT_FinalEnergyCons!$A$4:$A$10000)))*1,[1]OUT_FinalEnergyCons!N$4:N$10000)</f>
        <v>0.24588677485982627</v>
      </c>
      <c r="Q1029" s="1" cm="1">
        <f t="array" ref="Q1029">SUMPRODUCT(([1]OUT_FinalEnergyCons!$B$4:$B$10000="Var_Fin")*1, ISNUMBER(SEARCH("PLT",[1]OUT_FinalEnergyCons!$C$4:$C$10000))*1,(ISNUMBER(SEARCH("RH*-wHPLTBR",[1]OUT_FinalEnergyCons!$A$4:$A$10000)))*1,[1]OUT_FinalEnergyCons!O$4:O$10000)</f>
        <v>0.24588870916129654</v>
      </c>
      <c r="S1029" s="3"/>
    </row>
    <row r="1030" spans="2:19" x14ac:dyDescent="0.5">
      <c r="B1030" s="5" t="str">
        <f t="shared" si="1193"/>
        <v>SPS1</v>
      </c>
      <c r="C1030" s="5" t="str">
        <f t="shared" si="1194"/>
        <v>CH</v>
      </c>
      <c r="D1030" t="s">
        <v>1027</v>
      </c>
      <c r="E1030" t="s">
        <v>8</v>
      </c>
      <c r="F1030" s="1">
        <f>[1]Residential!B$23</f>
        <v>2.5068257272374477</v>
      </c>
      <c r="G1030" s="1">
        <f>[1]Residential!C$23</f>
        <v>2.9279922943235821</v>
      </c>
      <c r="H1030" s="1">
        <f>[1]Residential!D$23</f>
        <v>2.8900078050978095</v>
      </c>
      <c r="I1030" s="1">
        <f>[1]Residential!E$23</f>
        <v>2.4124818845796039</v>
      </c>
      <c r="J1030" s="1">
        <f>[1]Residential!F$23</f>
        <v>2.1465966588588863</v>
      </c>
      <c r="K1030" s="1">
        <f>[1]Residential!G$23</f>
        <v>1.9207107474277274</v>
      </c>
      <c r="L1030" s="1">
        <f>[1]Residential!H$23</f>
        <v>1.9148160439816473</v>
      </c>
      <c r="M1030" s="1">
        <f>[1]Residential!I$23</f>
        <v>5.4712637462064588</v>
      </c>
      <c r="N1030" s="1">
        <f>[1]Residential!J$23</f>
        <v>5.4712136639607056</v>
      </c>
      <c r="O1030" s="1">
        <f>[1]Residential!K$23</f>
        <v>5.4712554504271562</v>
      </c>
      <c r="P1030" s="1">
        <f>[1]Residential!L$23</f>
        <v>5.471106182739927</v>
      </c>
      <c r="Q1030" s="1">
        <f>[1]Residential!M$23</f>
        <v>4.8354962947106328</v>
      </c>
      <c r="S1030" s="3"/>
    </row>
    <row r="1031" spans="2:19" x14ac:dyDescent="0.5">
      <c r="B1031" s="5" t="str">
        <f t="shared" si="1193"/>
        <v>SPS1</v>
      </c>
      <c r="C1031" s="5" t="str">
        <f t="shared" si="1194"/>
        <v>CH</v>
      </c>
      <c r="D1031" t="s">
        <v>1028</v>
      </c>
      <c r="E1031" t="s">
        <v>8</v>
      </c>
      <c r="F1031" s="1">
        <f>F1032</f>
        <v>0.78533770257759683</v>
      </c>
      <c r="G1031" s="1">
        <f t="shared" ref="G1031:O1031" si="1245">G1032</f>
        <v>0.94127258189450358</v>
      </c>
      <c r="H1031" s="1">
        <f t="shared" si="1245"/>
        <v>0.94200201055953925</v>
      </c>
      <c r="I1031" s="1">
        <f t="shared" si="1245"/>
        <v>0.84753582452225318</v>
      </c>
      <c r="J1031" s="1">
        <f t="shared" si="1245"/>
        <v>0.89556014322022548</v>
      </c>
      <c r="K1031" s="1">
        <f t="shared" si="1245"/>
        <v>0.8451125135538291</v>
      </c>
      <c r="L1031" s="1">
        <f t="shared" si="1245"/>
        <v>0.84207692619254337</v>
      </c>
      <c r="M1031" s="1">
        <f t="shared" si="1245"/>
        <v>2.4073565201074434</v>
      </c>
      <c r="N1031" s="1">
        <f t="shared" si="1245"/>
        <v>2.4073342377536679</v>
      </c>
      <c r="O1031" s="1">
        <f t="shared" si="1245"/>
        <v>2.4073540864490703</v>
      </c>
      <c r="P1031" s="1">
        <f>P1032</f>
        <v>2.407287291960964</v>
      </c>
      <c r="Q1031" s="1">
        <f>Q1032</f>
        <v>2.1276210574222425</v>
      </c>
      <c r="S1031" s="3"/>
    </row>
    <row r="1032" spans="2:19" x14ac:dyDescent="0.5">
      <c r="B1032" s="5" t="str">
        <f t="shared" si="1193"/>
        <v>SPS1</v>
      </c>
      <c r="C1032" s="5" t="str">
        <f t="shared" si="1194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0.78533770257759683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0.94127258189450358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0.94200201055953925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0.84753582452225318</v>
      </c>
      <c r="J1032" s="1" cm="1">
        <f t="array" ref="J1032">SUMPRODUCT(([1]OUT_FinalEnergyCons!$B$4:$B$10000="Var_Fin")*1, ("SOL"=[1]OUT_FinalEnergyCons!$C$4:$C$10000)*1,(ISNUMBER(SEARCH("RH*-SHSOLBR",[1]OUT_FinalEnergyCons!$A$4:$A$10000)))*1,[1]OUT_FinalEnergyCons!H$4:H$10000)</f>
        <v>0.89556014322022548</v>
      </c>
      <c r="K1032" s="1" cm="1">
        <f t="array" ref="K1032">SUMPRODUCT(([1]OUT_FinalEnergyCons!$B$4:$B$10000="Var_Fin")*1, ("SOL"=[1]OUT_FinalEnergyCons!$C$4:$C$10000)*1,(ISNUMBER(SEARCH("RH*-SHSOLBR",[1]OUT_FinalEnergyCons!$A$4:$A$10000)))*1,[1]OUT_FinalEnergyCons!I$4:I$10000)</f>
        <v>0.8451125135538291</v>
      </c>
      <c r="L1032" s="1" cm="1">
        <f t="array" ref="L1032">SUMPRODUCT(([1]OUT_FinalEnergyCons!$B$4:$B$10000="Var_Fin")*1, ("SOL"=[1]OUT_FinalEnergyCons!$C$4:$C$10000)*1,(ISNUMBER(SEARCH("RH*-SHSOLBR",[1]OUT_FinalEnergyCons!$A$4:$A$10000)))*1,[1]OUT_FinalEnergyCons!J$4:J$10000)</f>
        <v>0.84207692619254337</v>
      </c>
      <c r="M1032" s="1" cm="1">
        <f t="array" ref="M1032">SUMPRODUCT(([1]OUT_FinalEnergyCons!$B$4:$B$10000="Var_Fin")*1, ("SOL"=[1]OUT_FinalEnergyCons!$C$4:$C$10000)*1,(ISNUMBER(SEARCH("RH*-SHSOLBR",[1]OUT_FinalEnergyCons!$A$4:$A$10000)))*1,[1]OUT_FinalEnergyCons!K$4:K$10000)</f>
        <v>2.4073565201074434</v>
      </c>
      <c r="N1032" s="1" cm="1">
        <f t="array" ref="N1032">SUMPRODUCT(([1]OUT_FinalEnergyCons!$B$4:$B$10000="Var_Fin")*1, ("SOL"=[1]OUT_FinalEnergyCons!$C$4:$C$10000)*1,(ISNUMBER(SEARCH("RH*-SHSOLBR",[1]OUT_FinalEnergyCons!$A$4:$A$10000)))*1,[1]OUT_FinalEnergyCons!L$4:L$10000)</f>
        <v>2.4073342377536679</v>
      </c>
      <c r="O1032" s="1" cm="1">
        <f t="array" ref="O1032">SUMPRODUCT(([1]OUT_FinalEnergyCons!$B$4:$B$10000="Var_Fin")*1, ("SOL"=[1]OUT_FinalEnergyCons!$C$4:$C$10000)*1,(ISNUMBER(SEARCH("RH*-SHSOLBR",[1]OUT_FinalEnergyCons!$A$4:$A$10000)))*1,[1]OUT_FinalEnergyCons!M$4:M$10000)</f>
        <v>2.4073540864490703</v>
      </c>
      <c r="P1032" s="1" cm="1">
        <f t="array" ref="P1032">SUMPRODUCT(([1]OUT_FinalEnergyCons!$B$4:$B$10000="Var_Fin")*1, ("SOL"=[1]OUT_FinalEnergyCons!$C$4:$C$10000)*1,(ISNUMBER(SEARCH("RH*-SHSOLBR",[1]OUT_FinalEnergyCons!$A$4:$A$10000)))*1,[1]OUT_FinalEnergyCons!N$4:N$10000)</f>
        <v>2.407287291960964</v>
      </c>
      <c r="Q1032" s="1" cm="1">
        <f t="array" ref="Q1032">SUMPRODUCT(([1]OUT_FinalEnergyCons!$B$4:$B$10000="Var_Fin")*1, ("SOL"=[1]OUT_FinalEnergyCons!$C$4:$C$10000)*1,(ISNUMBER(SEARCH("RH*-SHSOLBR",[1]OUT_FinalEnergyCons!$A$4:$A$10000)))*1,[1]OUT_FinalEnergyCons!O$4:O$10000)</f>
        <v>2.1276210574222425</v>
      </c>
      <c r="S1032" s="3"/>
    </row>
    <row r="1033" spans="2:19" x14ac:dyDescent="0.5">
      <c r="B1033" s="5" t="str">
        <f t="shared" si="1193"/>
        <v>SPS1</v>
      </c>
      <c r="C1033" s="5" t="str">
        <f t="shared" si="1194"/>
        <v>CH</v>
      </c>
      <c r="D1033" t="s">
        <v>1029</v>
      </c>
      <c r="E1033" t="s">
        <v>8</v>
      </c>
      <c r="F1033" s="1">
        <f>F1030-F1031</f>
        <v>1.721488024659851</v>
      </c>
      <c r="G1033" s="1">
        <f t="shared" ref="G1033:K1033" si="1246">G1030-G1031</f>
        <v>1.9867197124290785</v>
      </c>
      <c r="H1033" s="1">
        <f t="shared" si="1246"/>
        <v>1.9480057945382703</v>
      </c>
      <c r="I1033" s="1">
        <f t="shared" si="1246"/>
        <v>1.5649460600573506</v>
      </c>
      <c r="J1033" s="1">
        <f t="shared" si="1246"/>
        <v>1.2510365156386607</v>
      </c>
      <c r="K1033" s="1">
        <f t="shared" si="1246"/>
        <v>1.0755982338738983</v>
      </c>
      <c r="L1033" s="1">
        <f t="shared" ref="L1033:O1033" si="1247">L1030-L1031</f>
        <v>1.0727391177891039</v>
      </c>
      <c r="M1033" s="1">
        <f t="shared" si="1247"/>
        <v>3.0639072260990154</v>
      </c>
      <c r="N1033" s="1">
        <f t="shared" si="1247"/>
        <v>3.0638794262070377</v>
      </c>
      <c r="O1033" s="1">
        <f t="shared" si="1247"/>
        <v>3.0639013639780859</v>
      </c>
      <c r="P1033" s="1">
        <f>P1030-P1031</f>
        <v>3.063818890778963</v>
      </c>
      <c r="Q1033" s="1">
        <f>Q1030-Q1031</f>
        <v>2.7078752372883903</v>
      </c>
      <c r="S1033" s="3"/>
    </row>
    <row r="1034" spans="2:19" x14ac:dyDescent="0.5">
      <c r="B1034" s="5" t="str">
        <f t="shared" si="1193"/>
        <v>SPS1</v>
      </c>
      <c r="C1034" s="5" t="str">
        <f t="shared" si="1194"/>
        <v>CH</v>
      </c>
      <c r="D1034" t="s">
        <v>743</v>
      </c>
      <c r="E1034" t="s">
        <v>8</v>
      </c>
      <c r="F1034" s="1">
        <f>F1033</f>
        <v>1.721488024659851</v>
      </c>
      <c r="G1034" s="1">
        <f t="shared" ref="G1034:K1034" si="1248">G1033</f>
        <v>1.9867197124290785</v>
      </c>
      <c r="H1034" s="1">
        <f t="shared" si="1248"/>
        <v>1.9480057945382703</v>
      </c>
      <c r="I1034" s="1">
        <f t="shared" si="1248"/>
        <v>1.5649460600573506</v>
      </c>
      <c r="J1034" s="1">
        <f t="shared" si="1248"/>
        <v>1.2510365156386607</v>
      </c>
      <c r="K1034" s="1">
        <f t="shared" si="1248"/>
        <v>1.0755982338738983</v>
      </c>
      <c r="L1034" s="1">
        <f t="shared" ref="L1034:O1034" si="1249">L1033</f>
        <v>1.0727391177891039</v>
      </c>
      <c r="M1034" s="1">
        <f t="shared" si="1249"/>
        <v>3.0639072260990154</v>
      </c>
      <c r="N1034" s="1">
        <f t="shared" si="1249"/>
        <v>3.0638794262070377</v>
      </c>
      <c r="O1034" s="1">
        <f t="shared" si="1249"/>
        <v>3.0639013639780859</v>
      </c>
      <c r="P1034" s="1">
        <f>P1033</f>
        <v>3.063818890778963</v>
      </c>
      <c r="Q1034" s="1">
        <f>Q1033</f>
        <v>2.7078752372883903</v>
      </c>
      <c r="S1034" s="3"/>
    </row>
    <row r="1035" spans="2:19" x14ac:dyDescent="0.5">
      <c r="B1035" s="5" t="str">
        <f t="shared" si="1193"/>
        <v>SPS1</v>
      </c>
      <c r="C1035" s="5" t="str">
        <f t="shared" si="1194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4.813309741546766E-4</v>
      </c>
      <c r="J1035" s="1">
        <f>[1]Residential!F$24</f>
        <v>4.4407610354319484E-2</v>
      </c>
      <c r="K1035" s="1">
        <f>[1]Residential!G$24</f>
        <v>0.25077557453201871</v>
      </c>
      <c r="L1035" s="1">
        <f>[1]Residential!H$24</f>
        <v>0.27148438335175451</v>
      </c>
      <c r="M1035" s="1">
        <f>[1]Residential!I$24</f>
        <v>0.45746597189422905</v>
      </c>
      <c r="N1035" s="1">
        <f>[1]Residential!J$24</f>
        <v>0.23476519219288011</v>
      </c>
      <c r="O1035" s="1">
        <f>[1]Residential!K$24</f>
        <v>0.18727789395241162</v>
      </c>
      <c r="P1035" s="1">
        <f>[1]Residential!L$24</f>
        <v>6.5218301397721626E-2</v>
      </c>
      <c r="Q1035" s="1">
        <f>[1]Residential!M$24</f>
        <v>5.415603574103009E-2</v>
      </c>
      <c r="S1035" s="3"/>
    </row>
    <row r="1036" spans="2:19" x14ac:dyDescent="0.5">
      <c r="B1036" s="5" t="str">
        <f t="shared" si="1193"/>
        <v>SPS1</v>
      </c>
      <c r="C1036" s="5" t="str">
        <f t="shared" si="1194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250">G1035-G1038-G1040</f>
        <v>0</v>
      </c>
      <c r="H1036" s="1">
        <f t="shared" si="1250"/>
        <v>0</v>
      </c>
      <c r="I1036" s="1">
        <f t="shared" si="1250"/>
        <v>4.813309741546766E-4</v>
      </c>
      <c r="J1036" s="1">
        <f t="shared" si="1250"/>
        <v>4.4407610354319484E-2</v>
      </c>
      <c r="K1036" s="1">
        <f t="shared" si="1250"/>
        <v>0.25077557453201871</v>
      </c>
      <c r="L1036" s="1">
        <f t="shared" ref="L1036:O1036" si="1251">L1035-L1038-L1040</f>
        <v>0.27148438335175451</v>
      </c>
      <c r="M1036" s="1">
        <f t="shared" si="1251"/>
        <v>0.45746597189422905</v>
      </c>
      <c r="N1036" s="1">
        <f t="shared" si="1251"/>
        <v>0.23476519219288011</v>
      </c>
      <c r="O1036" s="1">
        <f t="shared" si="1251"/>
        <v>0.18727789395241162</v>
      </c>
      <c r="P1036" s="1">
        <f>P1035-P1038-P1040</f>
        <v>6.5218301397721626E-2</v>
      </c>
      <c r="Q1036" s="1">
        <f>Q1035-Q1038-Q1040</f>
        <v>5.415603574103009E-2</v>
      </c>
      <c r="S1036" s="3"/>
    </row>
    <row r="1037" spans="2:19" x14ac:dyDescent="0.5">
      <c r="B1037" s="5" t="str">
        <f t="shared" si="1193"/>
        <v>SPS1</v>
      </c>
      <c r="C1037" s="5" t="str">
        <f t="shared" si="1194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252">G1038+G1040</f>
        <v>0</v>
      </c>
      <c r="H1037" s="1">
        <f t="shared" si="1252"/>
        <v>0</v>
      </c>
      <c r="I1037" s="1">
        <f t="shared" si="1252"/>
        <v>0</v>
      </c>
      <c r="J1037" s="1">
        <f t="shared" si="1252"/>
        <v>0</v>
      </c>
      <c r="K1037" s="1">
        <f t="shared" si="1252"/>
        <v>0</v>
      </c>
      <c r="L1037" s="1">
        <f t="shared" ref="L1037:O1037" si="1253">L1038+L1040</f>
        <v>0</v>
      </c>
      <c r="M1037" s="1">
        <f t="shared" si="1253"/>
        <v>0</v>
      </c>
      <c r="N1037" s="1">
        <f t="shared" si="1253"/>
        <v>0</v>
      </c>
      <c r="O1037" s="1">
        <f t="shared" si="1253"/>
        <v>0</v>
      </c>
      <c r="P1037" s="1">
        <f>P1038+P1040</f>
        <v>0</v>
      </c>
      <c r="Q1037" s="1">
        <f>Q1038+Q1040</f>
        <v>0</v>
      </c>
      <c r="S1037" s="3"/>
    </row>
    <row r="1038" spans="2:19" x14ac:dyDescent="0.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O1038" si="1254">G1039</f>
        <v>0</v>
      </c>
      <c r="H1038" s="1">
        <f t="shared" si="1254"/>
        <v>0</v>
      </c>
      <c r="I1038" s="1">
        <f t="shared" si="1254"/>
        <v>0</v>
      </c>
      <c r="J1038" s="1">
        <f t="shared" si="1254"/>
        <v>0</v>
      </c>
      <c r="K1038" s="1">
        <f t="shared" si="1254"/>
        <v>0</v>
      </c>
      <c r="L1038" s="1">
        <f t="shared" si="1254"/>
        <v>0</v>
      </c>
      <c r="M1038" s="1">
        <f t="shared" si="1254"/>
        <v>0</v>
      </c>
      <c r="N1038" s="1">
        <f t="shared" si="1254"/>
        <v>0</v>
      </c>
      <c r="O1038" s="1">
        <f t="shared" si="1254"/>
        <v>0</v>
      </c>
      <c r="P1038" s="1">
        <f>P1039</f>
        <v>0</v>
      </c>
      <c r="Q1038" s="1">
        <f>Q1039</f>
        <v>0</v>
      </c>
      <c r="S1038" s="3"/>
    </row>
    <row r="1039" spans="2:19" x14ac:dyDescent="0.5">
      <c r="B1039" s="5" t="str">
        <f t="shared" si="1193"/>
        <v>SPS1</v>
      </c>
      <c r="C1039" s="5" t="str">
        <f t="shared" si="1194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SUMPRODUCT(([1]OUT_FinalEnergyCons!$B$4:$B$10000="Var_Fin")*1, ISNUMBER(SEARCH("RSH2",[1]OUT_FinalEnergyCons!$C$4:$C$10000))*1,(ISNUMBER(SEARCH("RH*-SHH2BR",[1]OUT_FinalEnergyCons!$A$4:$A$10000)))*1,[1]OUT_FinalEnergyCons!H$4:H$10000)</f>
        <v>0</v>
      </c>
      <c r="K1039" s="1" cm="1">
        <f t="array" ref="K1039">SUMPRODUCT(([1]OUT_FinalEnergyCons!$B$4:$B$10000="Var_Fin")*1, ISNUMBER(SEARCH("RSH2",[1]OUT_FinalEnergyCons!$C$4:$C$10000))*1,(ISNUMBER(SEARCH("RH*-SHH2BR",[1]OUT_FinalEnergyCons!$A$4:$A$10000)))*1,[1]OUT_FinalEnergyCons!I$4:I$10000)</f>
        <v>0</v>
      </c>
      <c r="L1039" s="1" cm="1">
        <f t="array" ref="L1039">SUMPRODUCT(([1]OUT_FinalEnergyCons!$B$4:$B$10000="Var_Fin")*1, ISNUMBER(SEARCH("RSH2",[1]OUT_FinalEnergyCons!$C$4:$C$10000))*1,(ISNUMBER(SEARCH("RH*-SHH2BR",[1]OUT_FinalEnergyCons!$A$4:$A$10000)))*1,[1]OUT_FinalEnergyCons!J$4:J$10000)</f>
        <v>0</v>
      </c>
      <c r="M1039" s="1" cm="1">
        <f t="array" ref="M1039">SUMPRODUCT(([1]OUT_FinalEnergyCons!$B$4:$B$10000="Var_Fin")*1, ISNUMBER(SEARCH("RSH2",[1]OUT_FinalEnergyCons!$C$4:$C$10000))*1,(ISNUMBER(SEARCH("RH*-SHH2BR",[1]OUT_FinalEnergyCons!$A$4:$A$10000)))*1,[1]OUT_FinalEnergyCons!K$4:K$10000)</f>
        <v>0</v>
      </c>
      <c r="N1039" s="1" cm="1">
        <f t="array" ref="N1039">SUMPRODUCT(([1]OUT_FinalEnergyCons!$B$4:$B$10000="Var_Fin")*1, ISNUMBER(SEARCH("RSH2",[1]OUT_FinalEnergyCons!$C$4:$C$10000))*1,(ISNUMBER(SEARCH("RH*-SHH2BR",[1]OUT_FinalEnergyCons!$A$4:$A$10000)))*1,[1]OUT_FinalEnergyCons!L$4:L$10000)</f>
        <v>0</v>
      </c>
      <c r="O1039" s="1" cm="1">
        <f t="array" ref="O1039">SUMPRODUCT(([1]OUT_FinalEnergyCons!$B$4:$B$10000="Var_Fin")*1, ISNUMBER(SEARCH("RSH2",[1]OUT_FinalEnergyCons!$C$4:$C$10000))*1,(ISNUMBER(SEARCH("RH*-SHH2BR",[1]OUT_FinalEnergyCons!$A$4:$A$10000)))*1,[1]OUT_FinalEnergyCons!M$4:M$10000)</f>
        <v>0</v>
      </c>
      <c r="P1039" s="1" cm="1">
        <f t="array" ref="P1039">SUMPRODUCT(([1]OUT_FinalEnergyCons!$B$4:$B$10000="Var_Fin")*1, ISNUMBER(SEARCH("RSH2",[1]OUT_FinalEnergyCons!$C$4:$C$10000))*1,(ISNUMBER(SEARCH("RH*-SHH2BR",[1]OUT_FinalEnergyCons!$A$4:$A$10000)))*1,[1]OUT_FinalEnergyCons!N$4:N$10000)</f>
        <v>0</v>
      </c>
      <c r="Q1039" s="1" cm="1">
        <f t="array" ref="Q1039">SUMPRODUCT(([1]OUT_FinalEnergyCons!$B$4:$B$10000="Var_Fin")*1, ISNUMBER(SEARCH("RSH2",[1]OUT_FinalEnergyCons!$C$4:$C$10000))*1,(ISNUMBER(SEARCH("RH*-SHH2BR",[1]OUT_FinalEnergyCons!$A$4:$A$10000)))*1,[1]OUT_FinalEnergyCons!O$4:O$10000)</f>
        <v>0</v>
      </c>
      <c r="S1039" s="3"/>
    </row>
    <row r="1040" spans="2:19" x14ac:dyDescent="0.5">
      <c r="B1040" s="5" t="str">
        <f t="shared" si="1193"/>
        <v>SPS1</v>
      </c>
      <c r="C1040" s="5" t="str">
        <f t="shared" si="1194"/>
        <v>CH</v>
      </c>
      <c r="D1040" t="s">
        <v>1033</v>
      </c>
      <c r="E1040" t="s">
        <v>8</v>
      </c>
      <c r="F1040" s="1">
        <f>F1041</f>
        <v>0</v>
      </c>
      <c r="G1040" s="1">
        <f t="shared" ref="G1040:O1040" si="1255">G1041</f>
        <v>0</v>
      </c>
      <c r="H1040" s="1">
        <f t="shared" si="1255"/>
        <v>0</v>
      </c>
      <c r="I1040" s="1">
        <f t="shared" si="1255"/>
        <v>0</v>
      </c>
      <c r="J1040" s="1">
        <f t="shared" si="1255"/>
        <v>0</v>
      </c>
      <c r="K1040" s="1">
        <f t="shared" si="1255"/>
        <v>0</v>
      </c>
      <c r="L1040" s="1">
        <f t="shared" si="1255"/>
        <v>0</v>
      </c>
      <c r="M1040" s="1">
        <f t="shared" si="1255"/>
        <v>0</v>
      </c>
      <c r="N1040" s="1">
        <f t="shared" si="1255"/>
        <v>0</v>
      </c>
      <c r="O1040" s="1">
        <f t="shared" si="1255"/>
        <v>0</v>
      </c>
      <c r="P1040" s="1">
        <f>P1041</f>
        <v>0</v>
      </c>
      <c r="Q1040" s="1">
        <f>Q1041</f>
        <v>0</v>
      </c>
      <c r="S1040" s="3"/>
    </row>
    <row r="1041" spans="2:19" x14ac:dyDescent="0.5">
      <c r="B1041" s="5" t="str">
        <f t="shared" si="1193"/>
        <v>SPS1</v>
      </c>
      <c r="C1041" s="5" t="str">
        <f t="shared" si="1194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SUMPRODUCT(([1]OUT_FinalEnergyCons!$B$4:$B$10000="Var_Fin")*1, ISNUMBER(SEARCH("RSH2",[1]OUT_FinalEnergyCons!$C$4:$C$10000))*1,(ISNUMBER(SEARCH("RH*-wHH2BR",[1]OUT_FinalEnergyCons!$A$4:$A$10000)))*1,[1]OUT_FinalEnergyCons!H$4:H$10000)</f>
        <v>0</v>
      </c>
      <c r="K1041" s="1" cm="1">
        <f t="array" ref="K1041">SUMPRODUCT(([1]OUT_FinalEnergyCons!$B$4:$B$10000="Var_Fin")*1, ISNUMBER(SEARCH("RSH2",[1]OUT_FinalEnergyCons!$C$4:$C$10000))*1,(ISNUMBER(SEARCH("RH*-wHH2BR",[1]OUT_FinalEnergyCons!$A$4:$A$10000)))*1,[1]OUT_FinalEnergyCons!I$4:I$10000)</f>
        <v>0</v>
      </c>
      <c r="L1041" s="1" cm="1">
        <f t="array" ref="L1041">SUMPRODUCT(([1]OUT_FinalEnergyCons!$B$4:$B$10000="Var_Fin")*1, ISNUMBER(SEARCH("RSH2",[1]OUT_FinalEnergyCons!$C$4:$C$10000))*1,(ISNUMBER(SEARCH("RH*-wHH2BR",[1]OUT_FinalEnergyCons!$A$4:$A$10000)))*1,[1]OUT_FinalEnergyCons!J$4:J$10000)</f>
        <v>0</v>
      </c>
      <c r="M1041" s="1" cm="1">
        <f t="array" ref="M1041">SUMPRODUCT(([1]OUT_FinalEnergyCons!$B$4:$B$10000="Var_Fin")*1, ISNUMBER(SEARCH("RSH2",[1]OUT_FinalEnergyCons!$C$4:$C$10000))*1,(ISNUMBER(SEARCH("RH*-wHH2BR",[1]OUT_FinalEnergyCons!$A$4:$A$10000)))*1,[1]OUT_FinalEnergyCons!K$4:K$10000)</f>
        <v>0</v>
      </c>
      <c r="N1041" s="1" cm="1">
        <f t="array" ref="N1041">SUMPRODUCT(([1]OUT_FinalEnergyCons!$B$4:$B$10000="Var_Fin")*1, ISNUMBER(SEARCH("RSH2",[1]OUT_FinalEnergyCons!$C$4:$C$10000))*1,(ISNUMBER(SEARCH("RH*-wHH2BR",[1]OUT_FinalEnergyCons!$A$4:$A$10000)))*1,[1]OUT_FinalEnergyCons!L$4:L$10000)</f>
        <v>0</v>
      </c>
      <c r="O1041" s="1" cm="1">
        <f t="array" ref="O1041">SUMPRODUCT(([1]OUT_FinalEnergyCons!$B$4:$B$10000="Var_Fin")*1, ISNUMBER(SEARCH("RSH2",[1]OUT_FinalEnergyCons!$C$4:$C$10000))*1,(ISNUMBER(SEARCH("RH*-wHH2BR",[1]OUT_FinalEnergyCons!$A$4:$A$10000)))*1,[1]OUT_FinalEnergyCons!M$4:M$10000)</f>
        <v>0</v>
      </c>
      <c r="P1041" s="1" cm="1">
        <f t="array" ref="P1041">SUMPRODUCT(([1]OUT_FinalEnergyCons!$B$4:$B$10000="Var_Fin")*1, ISNUMBER(SEARCH("RSH2",[1]OUT_FinalEnergyCons!$C$4:$C$10000))*1,(ISNUMBER(SEARCH("RH*-wHH2BR",[1]OUT_FinalEnergyCons!$A$4:$A$10000)))*1,[1]OUT_FinalEnergyCons!N$4:N$10000)</f>
        <v>0</v>
      </c>
      <c r="Q1041" s="1" cm="1">
        <f t="array" ref="Q1041">SUMPRODUCT(([1]OUT_FinalEnergyCons!$B$4:$B$10000="Var_Fin")*1, ISNUMBER(SEARCH("RSH2",[1]OUT_FinalEnergyCons!$C$4:$C$10000))*1,(ISNUMBER(SEARCH("RH*-wHH2BR",[1]OUT_FinalEnergyCons!$A$4:$A$10000)))*1,[1]OUT_FinalEnergyCons!O$4:O$10000)</f>
        <v>0</v>
      </c>
      <c r="S1041" s="3"/>
    </row>
    <row r="1042" spans="2:19" x14ac:dyDescent="0.5">
      <c r="B1042" s="5" t="str">
        <f t="shared" si="1193"/>
        <v>SPS1</v>
      </c>
      <c r="C1042" s="5" t="str">
        <f t="shared" si="1194"/>
        <v>CH</v>
      </c>
      <c r="D1042" t="s">
        <v>1034</v>
      </c>
      <c r="E1042" t="s">
        <v>8</v>
      </c>
      <c r="F1042" s="1">
        <f>[1]Residential!B$21</f>
        <v>5.7412971189269948</v>
      </c>
      <c r="G1042" s="1">
        <f>[1]Residential!C$21</f>
        <v>9.6698853365345432</v>
      </c>
      <c r="H1042" s="1">
        <f>[1]Residential!D$21</f>
        <v>10.126229414611192</v>
      </c>
      <c r="I1042" s="1">
        <f>[1]Residential!E$21</f>
        <v>7.0209391107820807</v>
      </c>
      <c r="J1042" s="1">
        <f>[1]Residential!F$21</f>
        <v>7.2045513546578155</v>
      </c>
      <c r="K1042" s="1">
        <f>[1]Residential!G$21</f>
        <v>9.4267400619514508</v>
      </c>
      <c r="L1042" s="1">
        <f>[1]Residential!H$21</f>
        <v>7.1606479217394714</v>
      </c>
      <c r="M1042" s="1">
        <f>[1]Residential!I$21</f>
        <v>9.4044823310177925</v>
      </c>
      <c r="N1042" s="1">
        <f>[1]Residential!J$21</f>
        <v>9.2169689618576154</v>
      </c>
      <c r="O1042" s="1">
        <f>[1]Residential!K$21</f>
        <v>9.0968664535653936</v>
      </c>
      <c r="P1042" s="1">
        <f>[1]Residential!L$21</f>
        <v>9.339761236196825</v>
      </c>
      <c r="Q1042" s="1">
        <f>[1]Residential!M$21</f>
        <v>8.6171455438135993</v>
      </c>
      <c r="S1042" s="3"/>
    </row>
    <row r="1043" spans="2:19" x14ac:dyDescent="0.5">
      <c r="B1043" s="5" t="str">
        <f t="shared" si="1193"/>
        <v>SPS1</v>
      </c>
      <c r="C1043" s="5" t="str">
        <f t="shared" si="1194"/>
        <v>CH</v>
      </c>
      <c r="D1043" t="s">
        <v>1035</v>
      </c>
      <c r="E1043" t="s">
        <v>8</v>
      </c>
      <c r="F1043" s="1">
        <f>SUM(F1044:F1046)</f>
        <v>9.1862125923291293E-2</v>
      </c>
      <c r="G1043" s="1">
        <f t="shared" ref="G1043:K1043" si="1256">SUM(G1044:G1046)</f>
        <v>6.6586856995642735E-2</v>
      </c>
      <c r="H1043" s="1">
        <f t="shared" si="1256"/>
        <v>0.2536219653127692</v>
      </c>
      <c r="I1043" s="1">
        <f t="shared" si="1256"/>
        <v>0.24450213316218117</v>
      </c>
      <c r="J1043" s="1">
        <f t="shared" si="1256"/>
        <v>0.24429427916469071</v>
      </c>
      <c r="K1043" s="1">
        <f t="shared" si="1256"/>
        <v>0.24635395388078929</v>
      </c>
      <c r="L1043" s="1">
        <f t="shared" ref="L1043:O1043" si="1257">SUM(L1044:L1046)</f>
        <v>0.2427721530871661</v>
      </c>
      <c r="M1043" s="1">
        <f t="shared" si="1257"/>
        <v>0.24170531074806118</v>
      </c>
      <c r="N1043" s="1">
        <f t="shared" si="1257"/>
        <v>0.24321416486273703</v>
      </c>
      <c r="O1043" s="1">
        <f t="shared" si="1257"/>
        <v>0.24519535245709531</v>
      </c>
      <c r="P1043" s="1">
        <f>SUM(P1044:P1046)</f>
        <v>0.24499975090337564</v>
      </c>
      <c r="Q1043" s="1">
        <f>SUM(Q1044:Q1046)</f>
        <v>0.24841489216902291</v>
      </c>
      <c r="S1043" s="3"/>
    </row>
    <row r="1044" spans="2:19" x14ac:dyDescent="0.5">
      <c r="B1044" s="5" t="str">
        <f t="shared" si="1193"/>
        <v>SPS1</v>
      </c>
      <c r="C1044" s="5" t="str">
        <f t="shared" si="1194"/>
        <v>CH</v>
      </c>
      <c r="D1044" t="s">
        <v>749</v>
      </c>
      <c r="E1044" t="s">
        <v>8</v>
      </c>
      <c r="F1044" s="1">
        <f t="shared" ref="F1044:K1045" si="1258">SUM(F244,F246)</f>
        <v>9.1862125923291293E-2</v>
      </c>
      <c r="G1044" s="1">
        <f t="shared" si="1258"/>
        <v>6.6586856995642735E-2</v>
      </c>
      <c r="H1044" s="1">
        <f t="shared" si="1258"/>
        <v>0.2536219653127692</v>
      </c>
      <c r="I1044" s="1">
        <f t="shared" si="1258"/>
        <v>0.24307856481939086</v>
      </c>
      <c r="J1044" s="1">
        <f t="shared" si="1258"/>
        <v>0.24185546499805974</v>
      </c>
      <c r="K1044" s="1">
        <f t="shared" si="1258"/>
        <v>0.10224195331695844</v>
      </c>
      <c r="L1044" s="1">
        <f t="shared" ref="L1044:O1044" si="1259">SUM(L244,L246)</f>
        <v>0</v>
      </c>
      <c r="M1044" s="1">
        <f t="shared" si="1259"/>
        <v>0</v>
      </c>
      <c r="N1044" s="1">
        <f t="shared" si="1259"/>
        <v>7.6482061687655088E-3</v>
      </c>
      <c r="O1044" s="1">
        <f t="shared" si="1259"/>
        <v>1.4785999814230674E-2</v>
      </c>
      <c r="P1044" s="1">
        <f>SUM(P244,P246)</f>
        <v>1.1909126490773398E-2</v>
      </c>
      <c r="Q1044" s="1">
        <f>SUM(Q244,Q246)</f>
        <v>1.7059714079954394E-2</v>
      </c>
      <c r="S1044" s="3"/>
    </row>
    <row r="1045" spans="2:19" x14ac:dyDescent="0.5">
      <c r="B1045" s="5" t="str">
        <f t="shared" si="1193"/>
        <v>SPS1</v>
      </c>
      <c r="C1045" s="5" t="str">
        <f t="shared" si="1194"/>
        <v>CH</v>
      </c>
      <c r="D1045" t="s">
        <v>750</v>
      </c>
      <c r="E1045" t="s">
        <v>8</v>
      </c>
      <c r="F1045" s="1">
        <f t="shared" si="1258"/>
        <v>0</v>
      </c>
      <c r="G1045" s="1">
        <f t="shared" si="1258"/>
        <v>0</v>
      </c>
      <c r="H1045" s="1">
        <f t="shared" si="1258"/>
        <v>0</v>
      </c>
      <c r="I1045" s="1">
        <f t="shared" si="1258"/>
        <v>0</v>
      </c>
      <c r="J1045" s="1">
        <f t="shared" si="1258"/>
        <v>0</v>
      </c>
      <c r="K1045" s="1">
        <f t="shared" si="1258"/>
        <v>0</v>
      </c>
      <c r="L1045" s="1">
        <f t="shared" ref="L1045:O1045" si="1260">SUM(L245,L247)</f>
        <v>0</v>
      </c>
      <c r="M1045" s="1">
        <f t="shared" si="1260"/>
        <v>0</v>
      </c>
      <c r="N1045" s="1">
        <f t="shared" si="1260"/>
        <v>0</v>
      </c>
      <c r="O1045" s="1">
        <f t="shared" si="1260"/>
        <v>0</v>
      </c>
      <c r="P1045" s="1">
        <f>SUM(P245,P247)</f>
        <v>0</v>
      </c>
      <c r="Q1045" s="1">
        <f>SUM(Q245,Q247)</f>
        <v>0</v>
      </c>
      <c r="S1045" s="3"/>
    </row>
    <row r="1046" spans="2:19" x14ac:dyDescent="0.5">
      <c r="B1046" s="5" t="str">
        <f t="shared" si="1193"/>
        <v>SPS1</v>
      </c>
      <c r="C1046" s="5" t="str">
        <f t="shared" si="1194"/>
        <v>CH</v>
      </c>
      <c r="D1046" t="s">
        <v>751</v>
      </c>
      <c r="E1046" t="s">
        <v>8</v>
      </c>
      <c r="F1046" s="1">
        <f t="shared" ref="F1046:K1046" si="1261">SUM(F285,F286)</f>
        <v>0</v>
      </c>
      <c r="G1046" s="1">
        <f t="shared" si="1261"/>
        <v>0</v>
      </c>
      <c r="H1046" s="1">
        <f t="shared" si="1261"/>
        <v>0</v>
      </c>
      <c r="I1046" s="1">
        <f t="shared" si="1261"/>
        <v>1.4235683427902971E-3</v>
      </c>
      <c r="J1046" s="1">
        <f t="shared" si="1261"/>
        <v>2.4388141666309734E-3</v>
      </c>
      <c r="K1046" s="1">
        <f t="shared" si="1261"/>
        <v>0.14411200056383086</v>
      </c>
      <c r="L1046" s="1">
        <f t="shared" ref="L1046:O1046" si="1262">SUM(L285,L286)</f>
        <v>0.2427721530871661</v>
      </c>
      <c r="M1046" s="1">
        <f t="shared" si="1262"/>
        <v>0.24170531074806118</v>
      </c>
      <c r="N1046" s="1">
        <f t="shared" si="1262"/>
        <v>0.23556595869397151</v>
      </c>
      <c r="O1046" s="1">
        <f t="shared" si="1262"/>
        <v>0.23040935264286463</v>
      </c>
      <c r="P1046" s="1">
        <f>SUM(P285,P286)</f>
        <v>0.23309062441260225</v>
      </c>
      <c r="Q1046" s="1">
        <f>SUM(Q285,Q286)</f>
        <v>0.2313551780890685</v>
      </c>
      <c r="S1046" s="3"/>
    </row>
    <row r="1047" spans="2:19" x14ac:dyDescent="0.5">
      <c r="B1047" s="5" t="str">
        <f t="shared" si="1193"/>
        <v>SPS1</v>
      </c>
      <c r="C1047" s="5" t="str">
        <f t="shared" si="1194"/>
        <v>CH</v>
      </c>
      <c r="D1047" t="s">
        <v>1036</v>
      </c>
      <c r="E1047" t="s">
        <v>8</v>
      </c>
      <c r="F1047" s="1">
        <f>F1042-F1043</f>
        <v>5.6494349930037036</v>
      </c>
      <c r="G1047" s="1">
        <f t="shared" ref="G1047:K1047" si="1263">G1042-G1043</f>
        <v>9.6032984795388998</v>
      </c>
      <c r="H1047" s="1">
        <f t="shared" si="1263"/>
        <v>9.8726074492984228</v>
      </c>
      <c r="I1047" s="1">
        <f t="shared" si="1263"/>
        <v>6.7764369776198992</v>
      </c>
      <c r="J1047" s="1">
        <f t="shared" si="1263"/>
        <v>6.960257075493125</v>
      </c>
      <c r="K1047" s="1">
        <f t="shared" si="1263"/>
        <v>9.1803861080706621</v>
      </c>
      <c r="L1047" s="1">
        <f t="shared" ref="L1047:O1047" si="1264">L1042-L1043</f>
        <v>6.9178757686523049</v>
      </c>
      <c r="M1047" s="1">
        <f t="shared" si="1264"/>
        <v>9.162777020269731</v>
      </c>
      <c r="N1047" s="1">
        <f t="shared" si="1264"/>
        <v>8.9737547969948785</v>
      </c>
      <c r="O1047" s="1">
        <f t="shared" si="1264"/>
        <v>8.8516711011082982</v>
      </c>
      <c r="P1047" s="1">
        <f>P1042-P1043</f>
        <v>9.09476148529345</v>
      </c>
      <c r="Q1047" s="1">
        <f>Q1042-Q1043</f>
        <v>8.3687306516445759</v>
      </c>
      <c r="S1047" s="3"/>
    </row>
    <row r="1048" spans="2:19" x14ac:dyDescent="0.5">
      <c r="B1048" s="5" t="str">
        <f t="shared" si="1193"/>
        <v>SPS1</v>
      </c>
      <c r="C1048" s="5" t="str">
        <f t="shared" si="1194"/>
        <v>CH</v>
      </c>
      <c r="D1048" t="s">
        <v>1037</v>
      </c>
      <c r="E1048" t="s">
        <v>8</v>
      </c>
      <c r="F1048" s="1">
        <f>[1]Residential!B$25</f>
        <v>15.19497008190949</v>
      </c>
      <c r="G1048" s="1">
        <f>[1]Residential!C$25</f>
        <v>18.072338581805035</v>
      </c>
      <c r="H1048" s="1">
        <f>[1]Residential!D$25</f>
        <v>20.552418943767982</v>
      </c>
      <c r="I1048" s="1">
        <f>[1]Residential!E$25</f>
        <v>28.35804008175251</v>
      </c>
      <c r="J1048" s="1">
        <f>[1]Residential!F$25</f>
        <v>44.681109353099785</v>
      </c>
      <c r="K1048" s="1">
        <f>[1]Residential!G$25</f>
        <v>49.456608393594564</v>
      </c>
      <c r="L1048" s="1">
        <f>[1]Residential!H$25</f>
        <v>59.496022761562273</v>
      </c>
      <c r="M1048" s="1">
        <f>[1]Residential!I$25</f>
        <v>69.448401725021469</v>
      </c>
      <c r="N1048" s="1">
        <f>[1]Residential!J$25</f>
        <v>71.959335591118105</v>
      </c>
      <c r="O1048" s="1">
        <f>[1]Residential!K$25</f>
        <v>72.794904005945625</v>
      </c>
      <c r="P1048" s="1">
        <f>[1]Residential!L$25</f>
        <v>72.043424013566153</v>
      </c>
      <c r="Q1048" s="1">
        <f>[1]Residential!M$25</f>
        <v>73.010906472373421</v>
      </c>
      <c r="S1048" s="3"/>
    </row>
    <row r="1049" spans="2:19" x14ac:dyDescent="0.5">
      <c r="B1049" s="5" t="str">
        <f t="shared" si="1193"/>
        <v>SPS1</v>
      </c>
      <c r="C1049" s="5" t="str">
        <f t="shared" si="1194"/>
        <v>CH</v>
      </c>
      <c r="D1049" t="s">
        <v>1038</v>
      </c>
      <c r="E1049" t="s">
        <v>8</v>
      </c>
      <c r="F1049" s="1">
        <f>F1048-F1052</f>
        <v>13.103976435669558</v>
      </c>
      <c r="G1049" s="1">
        <f t="shared" ref="G1049:K1049" si="1265">G1048-G1052</f>
        <v>15.723313744525404</v>
      </c>
      <c r="H1049" s="1">
        <f t="shared" si="1265"/>
        <v>17.335031146559221</v>
      </c>
      <c r="I1049" s="1">
        <f t="shared" si="1265"/>
        <v>23.557861608764235</v>
      </c>
      <c r="J1049" s="1">
        <f t="shared" si="1265"/>
        <v>36.484251285647673</v>
      </c>
      <c r="K1049" s="1">
        <f t="shared" si="1265"/>
        <v>40.227165685259791</v>
      </c>
      <c r="L1049" s="1">
        <f t="shared" ref="L1049:O1049" si="1266">L1048-L1052</f>
        <v>47.64031049090935</v>
      </c>
      <c r="M1049" s="1">
        <f t="shared" si="1266"/>
        <v>57.629218677533515</v>
      </c>
      <c r="N1049" s="1">
        <f t="shared" si="1266"/>
        <v>59.099630424225168</v>
      </c>
      <c r="O1049" s="1">
        <f t="shared" si="1266"/>
        <v>59.764074831852291</v>
      </c>
      <c r="P1049" s="1">
        <f>P1048-P1052</f>
        <v>59.764073403032285</v>
      </c>
      <c r="Q1049" s="1">
        <f>Q1048-Q1052</f>
        <v>59.764091144661393</v>
      </c>
      <c r="S1049" s="3"/>
    </row>
    <row r="1050" spans="2:19" x14ac:dyDescent="0.5">
      <c r="B1050" s="5" t="str">
        <f t="shared" si="1193"/>
        <v>SPS1</v>
      </c>
      <c r="C1050" s="5" t="str">
        <f t="shared" si="1194"/>
        <v>CH</v>
      </c>
      <c r="D1050" t="s">
        <v>752</v>
      </c>
      <c r="E1050" t="s">
        <v>8</v>
      </c>
      <c r="F1050" s="1">
        <f>F1049-F1051</f>
        <v>13.103976435669558</v>
      </c>
      <c r="G1050" s="1">
        <f t="shared" ref="G1050:K1050" si="1267">G1049-G1051</f>
        <v>15.723313744525404</v>
      </c>
      <c r="H1050" s="1">
        <f t="shared" si="1267"/>
        <v>17.333279709954454</v>
      </c>
      <c r="I1050" s="1">
        <f t="shared" si="1267"/>
        <v>23.555816666307905</v>
      </c>
      <c r="J1050" s="1">
        <f t="shared" si="1267"/>
        <v>33.423049472020701</v>
      </c>
      <c r="K1050" s="1">
        <f t="shared" si="1267"/>
        <v>33.831062055365742</v>
      </c>
      <c r="L1050" s="1">
        <f t="shared" ref="L1050:O1050" si="1268">L1049-L1051</f>
        <v>41.125751686813629</v>
      </c>
      <c r="M1050" s="1">
        <f t="shared" si="1268"/>
        <v>51.535108565836012</v>
      </c>
      <c r="N1050" s="1">
        <f t="shared" si="1268"/>
        <v>56.014432466948428</v>
      </c>
      <c r="O1050" s="1">
        <f t="shared" si="1268"/>
        <v>57.011513262426831</v>
      </c>
      <c r="P1050" s="1">
        <f>P1049-P1051</f>
        <v>57.011527475009053</v>
      </c>
      <c r="Q1050" s="1">
        <f>Q1049-Q1051</f>
        <v>57.011546146977757</v>
      </c>
      <c r="S1050" s="3"/>
    </row>
    <row r="1051" spans="2:19" x14ac:dyDescent="0.5">
      <c r="B1051" s="5" t="str">
        <f t="shared" si="1193"/>
        <v>SPS1</v>
      </c>
      <c r="C1051" s="5" t="str">
        <f t="shared" si="1194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1.7514366047667966E-3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2.0449424563294448E-3</v>
      </c>
      <c r="J1051" s="1" cm="1">
        <f t="array" ref="J1051">SUMPRODUCT(([1]OUT_FinalEnergyCons!$B$4:$B$10000="Var_FOut")*1, ISNUMBER(SEARCH("RH*SHANGAH",[1]OUT_FinalEnergyCons!$C$4:$C$10000))*1,ISNUMBER(SEARCH("RH*-SHngahp",[1]OUT_FinalEnergyCons!$A$4:$A$10000))*1,[1]OUT_FinalEnergyCons!H$4:H$10000)-J999</f>
        <v>3.0612018136269707</v>
      </c>
      <c r="K1051" s="1" cm="1">
        <f t="array" ref="K1051">SUMPRODUCT(([1]OUT_FinalEnergyCons!$B$4:$B$10000="Var_FOut")*1, ISNUMBER(SEARCH("RH*SHANGAH",[1]OUT_FinalEnergyCons!$C$4:$C$10000))*1,ISNUMBER(SEARCH("RH*-SHngahp",[1]OUT_FinalEnergyCons!$A$4:$A$10000))*1,[1]OUT_FinalEnergyCons!I$4:I$10000)-K999</f>
        <v>6.3961036298940472</v>
      </c>
      <c r="L1051" s="1" cm="1">
        <f t="array" ref="L1051">SUMPRODUCT(([1]OUT_FinalEnergyCons!$B$4:$B$10000="Var_FOut")*1, ISNUMBER(SEARCH("RH*SHANGAH",[1]OUT_FinalEnergyCons!$C$4:$C$10000))*1,ISNUMBER(SEARCH("RH*-SHngahp",[1]OUT_FinalEnergyCons!$A$4:$A$10000))*1,[1]OUT_FinalEnergyCons!J$4:J$10000)-L999</f>
        <v>6.5145588040957207</v>
      </c>
      <c r="M1051" s="1" cm="1">
        <f t="array" ref="M1051">SUMPRODUCT(([1]OUT_FinalEnergyCons!$B$4:$B$10000="Var_FOut")*1, ISNUMBER(SEARCH("RH*SHANGAH",[1]OUT_FinalEnergyCons!$C$4:$C$10000))*1,ISNUMBER(SEARCH("RH*-SHngahp",[1]OUT_FinalEnergyCons!$A$4:$A$10000))*1,[1]OUT_FinalEnergyCons!K$4:K$10000)-M999</f>
        <v>6.0941101116975016</v>
      </c>
      <c r="N1051" s="1" cm="1">
        <f t="array" ref="N1051">SUMPRODUCT(([1]OUT_FinalEnergyCons!$B$4:$B$10000="Var_FOut")*1, ISNUMBER(SEARCH("RH*SHANGAH",[1]OUT_FinalEnergyCons!$C$4:$C$10000))*1,ISNUMBER(SEARCH("RH*-SHngahp",[1]OUT_FinalEnergyCons!$A$4:$A$10000))*1,[1]OUT_FinalEnergyCons!L$4:L$10000)-N999</f>
        <v>3.0851979572767432</v>
      </c>
      <c r="O1051" s="1" cm="1">
        <f t="array" ref="O1051">SUMPRODUCT(([1]OUT_FinalEnergyCons!$B$4:$B$10000="Var_FOut")*1, ISNUMBER(SEARCH("RH*SHANGAH",[1]OUT_FinalEnergyCons!$C$4:$C$10000))*1,ISNUMBER(SEARCH("RH*-SHngahp",[1]OUT_FinalEnergyCons!$A$4:$A$10000))*1,[1]OUT_FinalEnergyCons!M$4:M$10000)-O999</f>
        <v>2.7525615694254579</v>
      </c>
      <c r="P1051" s="1" cm="1">
        <f t="array" ref="P1051">SUMPRODUCT(([1]OUT_FinalEnergyCons!$B$4:$B$10000="Var_FOut")*1, ISNUMBER(SEARCH("RH*SHANGAH",[1]OUT_FinalEnergyCons!$C$4:$C$10000))*1,ISNUMBER(SEARCH("RH*-SHngahp",[1]OUT_FinalEnergyCons!$A$4:$A$10000))*1,[1]OUT_FinalEnergyCons!N$4:N$10000)-P999</f>
        <v>2.7525459280232316</v>
      </c>
      <c r="Q1051" s="1" cm="1">
        <f t="array" ref="Q1051">SUMPRODUCT(([1]OUT_FinalEnergyCons!$B$4:$B$10000="Var_FOut")*1, ISNUMBER(SEARCH("RH*SHANGAH",[1]OUT_FinalEnergyCons!$C$4:$C$10000))*1,ISNUMBER(SEARCH("RH*-SHngahp",[1]OUT_FinalEnergyCons!$A$4:$A$10000))*1,[1]OUT_FinalEnergyCons!O$4:O$10000)-Q999</f>
        <v>2.7525449976836343</v>
      </c>
      <c r="S1051" s="3"/>
    </row>
    <row r="1052" spans="2:19" x14ac:dyDescent="0.5">
      <c r="B1052" s="5" t="str">
        <f t="shared" si="1193"/>
        <v>SPS1</v>
      </c>
      <c r="C1052" s="5" t="str">
        <f t="shared" si="1194"/>
        <v>CH</v>
      </c>
      <c r="D1052" t="s">
        <v>1039</v>
      </c>
      <c r="E1052" t="s">
        <v>8</v>
      </c>
      <c r="F1052" s="1">
        <f>SUM(F1053:F1054)</f>
        <v>2.0909936462399323</v>
      </c>
      <c r="G1052" s="1">
        <f t="shared" ref="G1052:K1052" si="1269">SUM(G1053:G1054)</f>
        <v>2.3490248372796305</v>
      </c>
      <c r="H1052" s="1">
        <f t="shared" si="1269"/>
        <v>3.2173877972087617</v>
      </c>
      <c r="I1052" s="1">
        <f t="shared" si="1269"/>
        <v>4.8001784729882768</v>
      </c>
      <c r="J1052" s="1">
        <f t="shared" si="1269"/>
        <v>8.1968580674521103</v>
      </c>
      <c r="K1052" s="1">
        <f t="shared" si="1269"/>
        <v>9.2294427083347763</v>
      </c>
      <c r="L1052" s="1">
        <f t="shared" ref="L1052:O1052" si="1270">SUM(L1053:L1054)</f>
        <v>11.855712270652921</v>
      </c>
      <c r="M1052" s="1">
        <f t="shared" si="1270"/>
        <v>11.81918304748795</v>
      </c>
      <c r="N1052" s="1">
        <f t="shared" si="1270"/>
        <v>12.859705166892939</v>
      </c>
      <c r="O1052" s="1">
        <f t="shared" si="1270"/>
        <v>13.030829174093334</v>
      </c>
      <c r="P1052" s="1">
        <f>SUM(P1053:P1054)</f>
        <v>12.279350610533868</v>
      </c>
      <c r="Q1052" s="1">
        <f>SUM(Q1053:Q1054)</f>
        <v>13.246815327712024</v>
      </c>
      <c r="S1052" s="3"/>
    </row>
    <row r="1053" spans="2:19" x14ac:dyDescent="0.5">
      <c r="B1053" s="5" t="str">
        <f t="shared" si="1193"/>
        <v>SPS1</v>
      </c>
      <c r="C1053" s="5" t="str">
        <f t="shared" si="1194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2.0909936462399323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2.3490248372796305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3.2170980222065895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4.799813692287449</v>
      </c>
      <c r="J1053" s="1" cm="1">
        <f t="array" ref="J1053">SUMPRODUCT(([1]OUT_FinalEnergyCons!$B$4:$B$10000="Var_FOut")*1, ISNUMBER(SEARCH("RHSA-WHAELCH",[1]OUT_FinalEnergyCons!$C$4:$C$10000))*1,(ISNUMBER(SEARCH("RHSA-WHELCHP",[1]OUT_FinalEnergyCons!$A$4:$A$10000)))*1,[1]OUT_FinalEnergyCons!H$4:H$10000)-J979</f>
        <v>7.5840286742882501</v>
      </c>
      <c r="K1053" s="1" cm="1">
        <f t="array" ref="K1053">SUMPRODUCT(([1]OUT_FinalEnergyCons!$B$4:$B$10000="Var_FOut")*1, ISNUMBER(SEARCH("RHSA-WHAELCH",[1]OUT_FinalEnergyCons!$C$4:$C$10000))*1,(ISNUMBER(SEARCH("RHSA-WHELCHP",[1]OUT_FinalEnergyCons!$A$4:$A$10000)))*1,[1]OUT_FinalEnergyCons!I$4:I$10000)-K979</f>
        <v>7.7939567806791956</v>
      </c>
      <c r="L1053" s="1" cm="1">
        <f t="array" ref="L1053">SUMPRODUCT(([1]OUT_FinalEnergyCons!$B$4:$B$10000="Var_FOut")*1, ISNUMBER(SEARCH("RHSA-WHAELCH",[1]OUT_FinalEnergyCons!$C$4:$C$10000))*1,(ISNUMBER(SEARCH("RHSA-WHELCHP",[1]OUT_FinalEnergyCons!$A$4:$A$10000)))*1,[1]OUT_FinalEnergyCons!J$4:J$10000)-L979</f>
        <v>10.225267556058029</v>
      </c>
      <c r="M1053" s="1" cm="1">
        <f t="array" ref="M1053">SUMPRODUCT(([1]OUT_FinalEnergyCons!$B$4:$B$10000="Var_FOut")*1, ISNUMBER(SEARCH("RHSA-WHAELCH",[1]OUT_FinalEnergyCons!$C$4:$C$10000))*1,(ISNUMBER(SEARCH("RHSA-WHELCHP",[1]OUT_FinalEnergyCons!$A$4:$A$10000)))*1,[1]OUT_FinalEnergyCons!K$4:K$10000)-M979</f>
        <v>10.824166995529499</v>
      </c>
      <c r="N1053" s="1" cm="1">
        <f t="array" ref="N1053">SUMPRODUCT(([1]OUT_FinalEnergyCons!$B$4:$B$10000="Var_FOut")*1, ISNUMBER(SEARCH("RHSA-WHAELCH",[1]OUT_FinalEnergyCons!$C$4:$C$10000))*1,(ISNUMBER(SEARCH("RHSA-WHELCHP",[1]OUT_FinalEnergyCons!$A$4:$A$10000)))*1,[1]OUT_FinalEnergyCons!L$4:L$10000)-N979</f>
        <v>12.355969481783744</v>
      </c>
      <c r="O1053" s="1" cm="1">
        <f t="array" ref="O1053">SUMPRODUCT(([1]OUT_FinalEnergyCons!$B$4:$B$10000="Var_FOut")*1, ISNUMBER(SEARCH("RHSA-WHAELCH",[1]OUT_FinalEnergyCons!$C$4:$C$10000))*1,(ISNUMBER(SEARCH("RHSA-WHELCHP",[1]OUT_FinalEnergyCons!$A$4:$A$10000)))*1,[1]OUT_FinalEnergyCons!M$4:M$10000)-O979</f>
        <v>12.58140444134478</v>
      </c>
      <c r="P1053" s="1" cm="1">
        <f t="array" ref="P1053">SUMPRODUCT(([1]OUT_FinalEnergyCons!$B$4:$B$10000="Var_FOut")*1, ISNUMBER(SEARCH("RHSA-WHAELCH",[1]OUT_FinalEnergyCons!$C$4:$C$10000))*1,(ISNUMBER(SEARCH("RHSA-WHELCHP",[1]OUT_FinalEnergyCons!$A$4:$A$10000)))*1,[1]OUT_FinalEnergyCons!N$4:N$10000)-P979</f>
        <v>11.829928610018232</v>
      </c>
      <c r="Q1053" s="1" cm="1">
        <f t="array" ref="Q1053">SUMPRODUCT(([1]OUT_FinalEnergyCons!$B$4:$B$10000="Var_FOut")*1, ISNUMBER(SEARCH("RHSA-WHAELCH",[1]OUT_FinalEnergyCons!$C$4:$C$10000))*1,(ISNUMBER(SEARCH("RHSA-WHELCHP",[1]OUT_FinalEnergyCons!$A$4:$A$10000)))*1,[1]OUT_FinalEnergyCons!O$4:O$10000)-Q979</f>
        <v>12.797393989927102</v>
      </c>
      <c r="S1053" s="3"/>
    </row>
    <row r="1054" spans="2:19" x14ac:dyDescent="0.5">
      <c r="B1054" s="5" t="str">
        <f t="shared" si="1193"/>
        <v>SPS1</v>
      </c>
      <c r="C1054" s="5" t="str">
        <f t="shared" si="1194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2.8977500217237874E-4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3.6478070082766629E-4</v>
      </c>
      <c r="J1054" s="1" cm="1">
        <f t="array" ref="J1054">SUMPRODUCT(([1]OUT_FinalEnergyCons!$B$4:$B$10000="Var_FOut")*1,ISNUMBER(SEARCH("RHSA-WHangah",[1]OUT_FinalEnergyCons!$C$4:$C$10000))*1,(ISNUMBER(SEARCH("RHSA-WHngahp",[1]OUT_FinalEnergyCons!$A$4:$A$10000)))*1,[1]OUT_FinalEnergyCons!H$4:H$10000)-J1008</f>
        <v>0.6128293931638602</v>
      </c>
      <c r="K1054" s="1" cm="1">
        <f t="array" ref="K1054">SUMPRODUCT(([1]OUT_FinalEnergyCons!$B$4:$B$10000="Var_FOut")*1,ISNUMBER(SEARCH("RHSA-WHangah",[1]OUT_FinalEnergyCons!$C$4:$C$10000))*1,(ISNUMBER(SEARCH("RHSA-WHngahp",[1]OUT_FinalEnergyCons!$A$4:$A$10000)))*1,[1]OUT_FinalEnergyCons!I$4:I$10000)-K1008</f>
        <v>1.4354859276555803</v>
      </c>
      <c r="L1054" s="1" cm="1">
        <f t="array" ref="L1054">SUMPRODUCT(([1]OUT_FinalEnergyCons!$B$4:$B$10000="Var_FOut")*1,ISNUMBER(SEARCH("RHSA-WHangah",[1]OUT_FinalEnergyCons!$C$4:$C$10000))*1,(ISNUMBER(SEARCH("RHSA-WHngahp",[1]OUT_FinalEnergyCons!$A$4:$A$10000)))*1,[1]OUT_FinalEnergyCons!J$4:J$10000)-L1008</f>
        <v>1.630444714594893</v>
      </c>
      <c r="M1054" s="1" cm="1">
        <f t="array" ref="M1054">SUMPRODUCT(([1]OUT_FinalEnergyCons!$B$4:$B$10000="Var_FOut")*1,ISNUMBER(SEARCH("RHSA-WHangah",[1]OUT_FinalEnergyCons!$C$4:$C$10000))*1,(ISNUMBER(SEARCH("RHSA-WHngahp",[1]OUT_FinalEnergyCons!$A$4:$A$10000)))*1,[1]OUT_FinalEnergyCons!K$4:K$10000)-M1008</f>
        <v>0.99501605195845078</v>
      </c>
      <c r="N1054" s="1" cm="1">
        <f t="array" ref="N1054">SUMPRODUCT(([1]OUT_FinalEnergyCons!$B$4:$B$10000="Var_FOut")*1,ISNUMBER(SEARCH("RHSA-WHangah",[1]OUT_FinalEnergyCons!$C$4:$C$10000))*1,(ISNUMBER(SEARCH("RHSA-WHngahp",[1]OUT_FinalEnergyCons!$A$4:$A$10000)))*1,[1]OUT_FinalEnergyCons!L$4:L$10000)-N1008</f>
        <v>0.50373568510919542</v>
      </c>
      <c r="O1054" s="1" cm="1">
        <f t="array" ref="O1054">SUMPRODUCT(([1]OUT_FinalEnergyCons!$B$4:$B$10000="Var_FOut")*1,ISNUMBER(SEARCH("RHSA-WHangah",[1]OUT_FinalEnergyCons!$C$4:$C$10000))*1,(ISNUMBER(SEARCH("RHSA-WHngahp",[1]OUT_FinalEnergyCons!$A$4:$A$10000)))*1,[1]OUT_FinalEnergyCons!M$4:M$10000)-O1008</f>
        <v>0.44942473274855388</v>
      </c>
      <c r="P1054" s="1" cm="1">
        <f t="array" ref="P1054">SUMPRODUCT(([1]OUT_FinalEnergyCons!$B$4:$B$10000="Var_FOut")*1,ISNUMBER(SEARCH("RHSA-WHangah",[1]OUT_FinalEnergyCons!$C$4:$C$10000))*1,(ISNUMBER(SEARCH("RHSA-WHngahp",[1]OUT_FinalEnergyCons!$A$4:$A$10000)))*1,[1]OUT_FinalEnergyCons!N$4:N$10000)-P1008</f>
        <v>0.44942200051563608</v>
      </c>
      <c r="Q1054" s="1" cm="1">
        <f t="array" ref="Q1054">SUMPRODUCT(([1]OUT_FinalEnergyCons!$B$4:$B$10000="Var_FOut")*1,ISNUMBER(SEARCH("RHSA-WHangah",[1]OUT_FinalEnergyCons!$C$4:$C$10000))*1,(ISNUMBER(SEARCH("RHSA-WHngahp",[1]OUT_FinalEnergyCons!$A$4:$A$10000)))*1,[1]OUT_FinalEnergyCons!O$4:O$10000)-Q1008</f>
        <v>0.44942133778492221</v>
      </c>
      <c r="S1054" s="3"/>
    </row>
    <row r="1055" spans="2:19" x14ac:dyDescent="0.5">
      <c r="B1055" s="5" t="str">
        <f t="shared" si="1193"/>
        <v>SPS1</v>
      </c>
      <c r="C1055" s="5" t="str">
        <f t="shared" si="1194"/>
        <v>CH</v>
      </c>
      <c r="D1055" s="2" t="s">
        <v>756</v>
      </c>
      <c r="E1055" t="s">
        <v>8</v>
      </c>
      <c r="F1055" s="3">
        <f>[1]Residential!B$245</f>
        <v>156.22832139522524</v>
      </c>
      <c r="G1055" s="3">
        <f>[1]Residential!C$245</f>
        <v>162.2426497095681</v>
      </c>
      <c r="H1055" s="3">
        <f>[1]Residential!D$245</f>
        <v>164.13395802307807</v>
      </c>
      <c r="I1055" s="3">
        <f>[1]Residential!E$245</f>
        <v>163.72986261879748</v>
      </c>
      <c r="J1055" s="3">
        <f>[1]Residential!F$245</f>
        <v>163.98154344570912</v>
      </c>
      <c r="K1055" s="3">
        <f>[1]Residential!G$245</f>
        <v>163.82680005093971</v>
      </c>
      <c r="L1055" s="3">
        <f>[1]Residential!H$245</f>
        <v>161.89837176020495</v>
      </c>
      <c r="M1055" s="3">
        <f>[1]Residential!I$245</f>
        <v>161.87524545433362</v>
      </c>
      <c r="N1055" s="3">
        <f>[1]Residential!J$245</f>
        <v>158.12998840246257</v>
      </c>
      <c r="O1055" s="3">
        <f>[1]Residential!K$245</f>
        <v>154.34208659695537</v>
      </c>
      <c r="P1055" s="3">
        <f>[1]Residential!L$245</f>
        <v>154.40301238840817</v>
      </c>
      <c r="Q1055" s="3">
        <f>[1]Residential!M$245</f>
        <v>141.89369259787136</v>
      </c>
      <c r="S1055" s="3"/>
    </row>
    <row r="1056" spans="2:19" x14ac:dyDescent="0.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129.25002986937261</v>
      </c>
      <c r="G1056" s="1">
        <f>[1]Residential!C$116</f>
        <v>136.31268039911998</v>
      </c>
      <c r="H1056" s="1">
        <f>[1]Residential!D$116</f>
        <v>138.17596834569181</v>
      </c>
      <c r="I1056" s="1">
        <f>[1]Residential!E$116</f>
        <v>138.06650250034636</v>
      </c>
      <c r="J1056" s="1">
        <f>[1]Residential!F$116</f>
        <v>138.27500050517935</v>
      </c>
      <c r="K1056" s="1">
        <f>[1]Residential!G$116</f>
        <v>138.22685561260164</v>
      </c>
      <c r="L1056" s="1">
        <f>[1]Residential!H$116</f>
        <v>136.52382245175633</v>
      </c>
      <c r="M1056" s="1">
        <f>[1]Residential!I$116</f>
        <v>136.24902658091966</v>
      </c>
      <c r="N1056" s="1">
        <f>[1]Residential!J$116</f>
        <v>132.1054919135876</v>
      </c>
      <c r="O1056" s="1">
        <f>[1]Residential!K$116</f>
        <v>128.78212071682429</v>
      </c>
      <c r="P1056" s="1">
        <f>[1]Residential!L$116</f>
        <v>128.90780853972183</v>
      </c>
      <c r="Q1056" s="1">
        <f>[1]Residential!M$116</f>
        <v>116.82736078898411</v>
      </c>
      <c r="S1056" s="3"/>
    </row>
    <row r="1057" spans="2:19" x14ac:dyDescent="0.5">
      <c r="B1057" s="5" t="str">
        <f t="shared" ref="B1057:B1107" si="1271">B1056</f>
        <v>SPS1</v>
      </c>
      <c r="C1057" s="5" t="str">
        <f t="shared" ref="C1057:C1107" si="1272">C1056</f>
        <v>CH</v>
      </c>
      <c r="D1057" t="s">
        <v>1115</v>
      </c>
      <c r="E1057" t="s">
        <v>8</v>
      </c>
      <c r="F1057" s="1">
        <f>SUM(F1058:F1059)</f>
        <v>27.968330956781319</v>
      </c>
      <c r="G1057" s="1">
        <f t="shared" ref="G1057:K1057" si="1273">SUM(G1058:G1059)</f>
        <v>30.432172388669752</v>
      </c>
      <c r="H1057" s="1">
        <f t="shared" si="1273"/>
        <v>32.748073424536997</v>
      </c>
      <c r="I1057" s="1">
        <f t="shared" si="1273"/>
        <v>38.283500231458348</v>
      </c>
      <c r="J1057" s="1">
        <f t="shared" si="1273"/>
        <v>49.201094343431627</v>
      </c>
      <c r="K1057" s="1">
        <f t="shared" si="1273"/>
        <v>48.128264609886841</v>
      </c>
      <c r="L1057" s="1">
        <f t="shared" ref="L1057:O1057" si="1274">SUM(L1058:L1059)</f>
        <v>56.980189443680914</v>
      </c>
      <c r="M1057" s="1">
        <f t="shared" si="1274"/>
        <v>71.720350099370535</v>
      </c>
      <c r="N1057" s="1">
        <f t="shared" si="1274"/>
        <v>77.398918713362519</v>
      </c>
      <c r="O1057" s="1">
        <f t="shared" si="1274"/>
        <v>78.060020252551752</v>
      </c>
      <c r="P1057" s="1">
        <f>SUM(P1058:P1059)</f>
        <v>79.378016069390696</v>
      </c>
      <c r="Q1057" s="1">
        <f>SUM(Q1058:Q1059)</f>
        <v>77.727295770819111</v>
      </c>
      <c r="S1057" s="3"/>
    </row>
    <row r="1058" spans="2:19" x14ac:dyDescent="0.5">
      <c r="B1058" s="5" t="str">
        <f t="shared" si="1271"/>
        <v>SPS1</v>
      </c>
      <c r="C1058" s="5" t="str">
        <f t="shared" si="1272"/>
        <v>CH</v>
      </c>
      <c r="D1058" t="s">
        <v>1116</v>
      </c>
      <c r="E1058" t="s">
        <v>8</v>
      </c>
      <c r="F1058" s="1">
        <f>[1]Residential!B$102</f>
        <v>8.9080016308090286</v>
      </c>
      <c r="G1058" s="1">
        <f>[1]Residential!C$102</f>
        <v>7.7310567408944415</v>
      </c>
      <c r="H1058" s="1">
        <f>[1]Residential!D$102</f>
        <v>7.9862452674592177</v>
      </c>
      <c r="I1058" s="1">
        <f>[1]Residential!E$102</f>
        <v>5.1780281598905002</v>
      </c>
      <c r="J1058" s="1">
        <f>[1]Residential!F$102</f>
        <v>2.8400902370803265</v>
      </c>
      <c r="K1058" s="1">
        <f>[1]Residential!G$102</f>
        <v>1.7671795710523108</v>
      </c>
      <c r="L1058" s="1">
        <f>[1]Residential!H$102</f>
        <v>1.1666692972909822</v>
      </c>
      <c r="M1058" s="1">
        <f>[1]Residential!I$102</f>
        <v>2.414514441866916</v>
      </c>
      <c r="N1058" s="1">
        <f>[1]Residential!J$102</f>
        <v>2.0691647060870579</v>
      </c>
      <c r="O1058" s="1">
        <f>[1]Residential!K$102</f>
        <v>1.3893644858397927</v>
      </c>
      <c r="P1058" s="1">
        <f>[1]Residential!L$102</f>
        <v>2.7073411892061112</v>
      </c>
      <c r="Q1058" s="1">
        <f>[1]Residential!M$102</f>
        <v>1.0565957800559016</v>
      </c>
      <c r="S1058" s="3"/>
    </row>
    <row r="1059" spans="2:19" x14ac:dyDescent="0.5">
      <c r="B1059" s="5" t="str">
        <f t="shared" si="1271"/>
        <v>SPS1</v>
      </c>
      <c r="C1059" s="5" t="str">
        <f t="shared" si="1272"/>
        <v>CH</v>
      </c>
      <c r="D1059" t="s">
        <v>1117</v>
      </c>
      <c r="E1059" t="s">
        <v>8</v>
      </c>
      <c r="F1059" s="1">
        <f>[1]Residential!B$104</f>
        <v>19.06032932597229</v>
      </c>
      <c r="G1059" s="1">
        <f>[1]Residential!C$104</f>
        <v>22.70111564777531</v>
      </c>
      <c r="H1059" s="1">
        <f>[1]Residential!D$104</f>
        <v>24.761828157077783</v>
      </c>
      <c r="I1059" s="1">
        <f>[1]Residential!E$104</f>
        <v>33.105472071567846</v>
      </c>
      <c r="J1059" s="1">
        <f>[1]Residential!F$104</f>
        <v>46.361004106351302</v>
      </c>
      <c r="K1059" s="1">
        <f>[1]Residential!G$104</f>
        <v>46.361085038834531</v>
      </c>
      <c r="L1059" s="1">
        <f>[1]Residential!H$104</f>
        <v>55.813520146389934</v>
      </c>
      <c r="M1059" s="1">
        <f>[1]Residential!I$104</f>
        <v>69.305835657503621</v>
      </c>
      <c r="N1059" s="1">
        <f>[1]Residential!J$104</f>
        <v>75.329754007275469</v>
      </c>
      <c r="O1059" s="1">
        <f>[1]Residential!K$104</f>
        <v>76.67065576671196</v>
      </c>
      <c r="P1059" s="1">
        <f>[1]Residential!L$104</f>
        <v>76.670674880184592</v>
      </c>
      <c r="Q1059" s="1">
        <f>[1]Residential!M$104</f>
        <v>76.670699990763211</v>
      </c>
      <c r="S1059" s="3"/>
    </row>
    <row r="1060" spans="2:19" x14ac:dyDescent="0.5">
      <c r="B1060" s="5" t="str">
        <f t="shared" si="1271"/>
        <v>SPS1</v>
      </c>
      <c r="C1060" s="5" t="str">
        <f t="shared" si="1272"/>
        <v>CH</v>
      </c>
      <c r="D1060" t="s">
        <v>1046</v>
      </c>
      <c r="E1060" t="s">
        <v>8</v>
      </c>
      <c r="F1060" s="1">
        <f>F1061</f>
        <v>45.124391003610008</v>
      </c>
      <c r="G1060" s="1">
        <f t="shared" ref="G1060:O1060" si="1275">G1061</f>
        <v>38.489784762751775</v>
      </c>
      <c r="H1060" s="1">
        <f t="shared" si="1275"/>
        <v>40.347336866206376</v>
      </c>
      <c r="I1060" s="1">
        <f t="shared" si="1275"/>
        <v>35.917263189460002</v>
      </c>
      <c r="J1060" s="1">
        <f t="shared" si="1275"/>
        <v>18.698352416989906</v>
      </c>
      <c r="K1060" s="1">
        <f t="shared" si="1275"/>
        <v>10.792965387614171</v>
      </c>
      <c r="L1060" s="1">
        <f t="shared" si="1275"/>
        <v>8.4897576005452819</v>
      </c>
      <c r="M1060" s="1">
        <f t="shared" si="1275"/>
        <v>8.4897564459887978</v>
      </c>
      <c r="N1060" s="1">
        <f t="shared" si="1275"/>
        <v>8.4897538257694016</v>
      </c>
      <c r="O1060" s="1">
        <f t="shared" si="1275"/>
        <v>6.454570267658676</v>
      </c>
      <c r="P1060" s="1">
        <f>P1061</f>
        <v>5.0742913477944445</v>
      </c>
      <c r="Q1060" s="1">
        <f>Q1061</f>
        <v>1.2365404976075174</v>
      </c>
      <c r="S1060" s="3"/>
    </row>
    <row r="1061" spans="2:19" x14ac:dyDescent="0.5">
      <c r="B1061" s="5" t="str">
        <f t="shared" si="1271"/>
        <v>SPS1</v>
      </c>
      <c r="C1061" s="5" t="str">
        <f t="shared" si="1272"/>
        <v>CH</v>
      </c>
      <c r="D1061" t="s">
        <v>1047</v>
      </c>
      <c r="E1061" t="s">
        <v>8</v>
      </c>
      <c r="F1061" s="1">
        <f>[1]Residential!B$105</f>
        <v>45.124391003610008</v>
      </c>
      <c r="G1061" s="1">
        <f>[1]Residential!C$105</f>
        <v>38.489784762751775</v>
      </c>
      <c r="H1061" s="1">
        <f>[1]Residential!D$105</f>
        <v>40.347336866206376</v>
      </c>
      <c r="I1061" s="1">
        <f>[1]Residential!E$105</f>
        <v>35.917263189460002</v>
      </c>
      <c r="J1061" s="1">
        <f>[1]Residential!F$105</f>
        <v>18.698352416989906</v>
      </c>
      <c r="K1061" s="1">
        <f>[1]Residential!G$105</f>
        <v>10.792965387614171</v>
      </c>
      <c r="L1061" s="1">
        <f>[1]Residential!H$105</f>
        <v>8.4897576005452819</v>
      </c>
      <c r="M1061" s="1">
        <f>[1]Residential!I$105</f>
        <v>8.4897564459887978</v>
      </c>
      <c r="N1061" s="1">
        <f>[1]Residential!J$105</f>
        <v>8.4897538257694016</v>
      </c>
      <c r="O1061" s="1">
        <f>[1]Residential!K$105</f>
        <v>6.454570267658676</v>
      </c>
      <c r="P1061" s="1">
        <f>[1]Residential!L$105</f>
        <v>5.0742913477944445</v>
      </c>
      <c r="Q1061" s="1">
        <f>[1]Residential!M$105</f>
        <v>1.2365404976075174</v>
      </c>
      <c r="S1061" s="3"/>
    </row>
    <row r="1062" spans="2:19" x14ac:dyDescent="0.5">
      <c r="B1062" s="5" t="str">
        <f t="shared" si="1271"/>
        <v>SPS1</v>
      </c>
      <c r="C1062" s="5" t="str">
        <f t="shared" si="1272"/>
        <v>CH</v>
      </c>
      <c r="D1062" t="s">
        <v>1048</v>
      </c>
      <c r="E1062" t="s">
        <v>8</v>
      </c>
      <c r="F1062" s="1">
        <f>SUM(F1063:F1064)</f>
        <v>36.569917364425521</v>
      </c>
      <c r="G1062" s="1">
        <f t="shared" ref="G1062:K1062" si="1276">SUM(G1063:G1064)</f>
        <v>39.325502894465615</v>
      </c>
      <c r="H1062" s="1">
        <f t="shared" si="1276"/>
        <v>37.694614324907711</v>
      </c>
      <c r="I1062" s="1">
        <f t="shared" si="1276"/>
        <v>37.695036127163718</v>
      </c>
      <c r="J1062" s="1">
        <f t="shared" si="1276"/>
        <v>42.032745088859379</v>
      </c>
      <c r="K1062" s="1">
        <f t="shared" si="1276"/>
        <v>43.518222859395223</v>
      </c>
      <c r="L1062" s="1">
        <f t="shared" ref="L1062:O1062" si="1277">SUM(L1063:L1064)</f>
        <v>37.649198638188679</v>
      </c>
      <c r="M1062" s="1">
        <f t="shared" si="1277"/>
        <v>18.544270360553455</v>
      </c>
      <c r="N1062" s="1">
        <f t="shared" si="1277"/>
        <v>9.4940825840941088</v>
      </c>
      <c r="O1062" s="1">
        <f t="shared" si="1277"/>
        <v>7.8637426254222866</v>
      </c>
      <c r="P1062" s="1">
        <f>SUM(P1063:P1064)</f>
        <v>7.8637096562919684</v>
      </c>
      <c r="Q1062" s="1">
        <f>SUM(Q1063:Q1064)</f>
        <v>7.0215760258319975</v>
      </c>
      <c r="S1062" s="3"/>
    </row>
    <row r="1063" spans="2:19" x14ac:dyDescent="0.5">
      <c r="B1063" s="5" t="str">
        <f t="shared" si="1271"/>
        <v>SPS1</v>
      </c>
      <c r="C1063" s="5" t="str">
        <f t="shared" si="1272"/>
        <v>CH</v>
      </c>
      <c r="D1063" t="s">
        <v>1049</v>
      </c>
      <c r="E1063" t="s">
        <v>8</v>
      </c>
      <c r="F1063" s="1">
        <f>[1]Residential!B$106</f>
        <v>36.569917364425521</v>
      </c>
      <c r="G1063" s="1">
        <f>[1]Residential!C$106</f>
        <v>39.325502894465615</v>
      </c>
      <c r="H1063" s="1">
        <f>[1]Residential!D$106</f>
        <v>37.691111451698177</v>
      </c>
      <c r="I1063" s="1">
        <f>[1]Residential!E$106</f>
        <v>37.691097719470044</v>
      </c>
      <c r="J1063" s="1">
        <f>[1]Residential!F$106</f>
        <v>36.309628654687216</v>
      </c>
      <c r="K1063" s="1">
        <f>[1]Residential!G$106</f>
        <v>31.879411336145388</v>
      </c>
      <c r="L1063" s="1">
        <f>[1]Residential!H$106</f>
        <v>26.045140768393185</v>
      </c>
      <c r="M1063" s="1">
        <f>[1]Residential!I$106</f>
        <v>7.9023168819175122</v>
      </c>
      <c r="N1063" s="1">
        <f>[1]Residential!J$106</f>
        <v>4.1064980915362135</v>
      </c>
      <c r="O1063" s="1">
        <f>[1]Residential!K$106</f>
        <v>3.057030631052458</v>
      </c>
      <c r="P1063" s="1">
        <f>[1]Residential!L$106</f>
        <v>3.0570249760125914</v>
      </c>
      <c r="Q1063" s="1">
        <f>[1]Residential!M$106</f>
        <v>2.2148929701755056</v>
      </c>
      <c r="S1063" s="3"/>
    </row>
    <row r="1064" spans="2:19" x14ac:dyDescent="0.5">
      <c r="B1064" s="5" t="str">
        <f t="shared" si="1271"/>
        <v>SPS1</v>
      </c>
      <c r="C1064" s="5" t="str">
        <f t="shared" si="1272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3.5028732095335928E-3</v>
      </c>
      <c r="I1064" s="1">
        <f>[1]Residential!E$107</f>
        <v>3.9384076936715244E-3</v>
      </c>
      <c r="J1064" s="1">
        <f>[1]Residential!F$107</f>
        <v>5.7231164341721614</v>
      </c>
      <c r="K1064" s="1">
        <f>[1]Residential!G$107</f>
        <v>11.638811523249831</v>
      </c>
      <c r="L1064" s="1">
        <f>[1]Residential!H$107</f>
        <v>11.604057869795497</v>
      </c>
      <c r="M1064" s="1">
        <f>[1]Residential!I$107</f>
        <v>10.641953478635942</v>
      </c>
      <c r="N1064" s="1">
        <f>[1]Residential!J$107</f>
        <v>5.3875844925578953</v>
      </c>
      <c r="O1064" s="1">
        <f>[1]Residential!K$107</f>
        <v>4.8067119943698291</v>
      </c>
      <c r="P1064" s="1">
        <f>[1]Residential!L$107</f>
        <v>4.8066846802793775</v>
      </c>
      <c r="Q1064" s="1">
        <f>[1]Residential!M$107</f>
        <v>4.8066830556564923</v>
      </c>
      <c r="S1064" s="3"/>
    </row>
    <row r="1065" spans="2:19" x14ac:dyDescent="0.5">
      <c r="B1065" s="5" t="str">
        <f t="shared" si="1271"/>
        <v>SPS1</v>
      </c>
      <c r="C1065" s="5" t="str">
        <f t="shared" si="1272"/>
        <v>CH</v>
      </c>
      <c r="D1065" t="s">
        <v>1051</v>
      </c>
      <c r="E1065" t="s">
        <v>8</v>
      </c>
      <c r="F1065" s="1">
        <f>F1066</f>
        <v>7.2000320671624485E-2</v>
      </c>
      <c r="G1065" s="1">
        <f t="shared" ref="G1065:O1065" si="1278">G1066</f>
        <v>7.2000103414345998E-2</v>
      </c>
      <c r="H1065" s="1">
        <f t="shared" si="1278"/>
        <v>4.1662187613389649E-4</v>
      </c>
      <c r="I1065" s="1">
        <f t="shared" si="1278"/>
        <v>2.5151545396116207E-4</v>
      </c>
      <c r="J1065" s="1">
        <f t="shared" si="1278"/>
        <v>9.5900591861370406E-5</v>
      </c>
      <c r="K1065" s="1">
        <f t="shared" si="1278"/>
        <v>0</v>
      </c>
      <c r="L1065" s="1">
        <f t="shared" si="1278"/>
        <v>0</v>
      </c>
      <c r="M1065" s="1">
        <f t="shared" si="1278"/>
        <v>0</v>
      </c>
      <c r="N1065" s="1">
        <f t="shared" si="1278"/>
        <v>0</v>
      </c>
      <c r="O1065" s="1">
        <f t="shared" si="1278"/>
        <v>0</v>
      </c>
      <c r="P1065" s="1">
        <f>P1066</f>
        <v>0</v>
      </c>
      <c r="Q1065" s="1">
        <f>Q1066</f>
        <v>0</v>
      </c>
      <c r="S1065" s="3"/>
    </row>
    <row r="1066" spans="2:19" x14ac:dyDescent="0.5">
      <c r="B1066" s="5" t="str">
        <f t="shared" si="1271"/>
        <v>SPS1</v>
      </c>
      <c r="C1066" s="5" t="str">
        <f t="shared" si="1272"/>
        <v>CH</v>
      </c>
      <c r="D1066" t="s">
        <v>1052</v>
      </c>
      <c r="E1066" t="s">
        <v>8</v>
      </c>
      <c r="F1066" s="1">
        <f>[1]Residential!B$108</f>
        <v>7.2000320671624485E-2</v>
      </c>
      <c r="G1066" s="1">
        <f>[1]Residential!C$108</f>
        <v>7.2000103414345998E-2</v>
      </c>
      <c r="H1066" s="1">
        <f>[1]Residential!D$108</f>
        <v>4.1662187613389649E-4</v>
      </c>
      <c r="I1066" s="1">
        <f>[1]Residential!E$108</f>
        <v>2.5151545396116207E-4</v>
      </c>
      <c r="J1066" s="1">
        <f>[1]Residential!F$108</f>
        <v>9.5900591861370406E-5</v>
      </c>
      <c r="K1066" s="1">
        <f>[1]Residential!G$108</f>
        <v>0</v>
      </c>
      <c r="L1066" s="1">
        <f>[1]Residential!H$108</f>
        <v>0</v>
      </c>
      <c r="M1066" s="1">
        <f>[1]Residential!I$108</f>
        <v>0</v>
      </c>
      <c r="N1066" s="1">
        <f>[1]Residential!J$108</f>
        <v>0</v>
      </c>
      <c r="O1066" s="1">
        <f>[1]Residential!K$108</f>
        <v>0</v>
      </c>
      <c r="P1066" s="1">
        <f>[1]Residential!L$108</f>
        <v>0</v>
      </c>
      <c r="Q1066" s="1">
        <f>[1]Residential!M$108</f>
        <v>0</v>
      </c>
      <c r="S1066" s="3"/>
    </row>
    <row r="1067" spans="2:19" x14ac:dyDescent="0.5">
      <c r="B1067" s="5" t="str">
        <f t="shared" si="1271"/>
        <v>SPS1</v>
      </c>
      <c r="C1067" s="5" t="str">
        <f t="shared" si="1272"/>
        <v>CH</v>
      </c>
      <c r="D1067" t="s">
        <v>1053</v>
      </c>
      <c r="E1067" t="s">
        <v>8</v>
      </c>
      <c r="F1067" s="1">
        <f>SUM([1]Residential!B$109:B$110)</f>
        <v>3.9905422059098781</v>
      </c>
      <c r="G1067" s="1">
        <f>SUM([1]Residential!C$109:C$110)</f>
        <v>7.6965772123388296</v>
      </c>
      <c r="H1067" s="1">
        <f>SUM([1]Residential!D$109:D$110)</f>
        <v>8.1983023527070777</v>
      </c>
      <c r="I1067" s="1">
        <f>SUM([1]Residential!E$109:E$110)</f>
        <v>5.6908707482510934</v>
      </c>
      <c r="J1067" s="1">
        <f>SUM([1]Residential!F$109:F$110)</f>
        <v>5.8464497756781624</v>
      </c>
      <c r="K1067" s="1">
        <f>SUM([1]Residential!G$109:G$110)</f>
        <v>7.6584812056099398</v>
      </c>
      <c r="L1067" s="1">
        <f>SUM([1]Residential!H$109:H$110)</f>
        <v>5.8174604104470742</v>
      </c>
      <c r="M1067" s="1">
        <f>SUM([1]Residential!I$109:I$110)</f>
        <v>7.640415803147425</v>
      </c>
      <c r="N1067" s="1">
        <f>SUM([1]Residential!J$109:J$110)</f>
        <v>7.4880586543470757</v>
      </c>
      <c r="O1067" s="1">
        <f>SUM([1]Residential!K$109:K$110)</f>
        <v>7.3904862549312353</v>
      </c>
      <c r="P1067" s="1">
        <f>SUM([1]Residential!L$109:L$110)</f>
        <v>7.587818960556687</v>
      </c>
      <c r="Q1067" s="1">
        <f>SUM([1]Residential!M$109:M$110)</f>
        <v>7.0007518110687998</v>
      </c>
      <c r="S1067" s="3"/>
    </row>
    <row r="1068" spans="2:19" x14ac:dyDescent="0.5">
      <c r="B1068" s="5" t="str">
        <f t="shared" si="1271"/>
        <v>SPS1</v>
      </c>
      <c r="C1068" s="5" t="str">
        <f t="shared" si="1272"/>
        <v>CH</v>
      </c>
      <c r="D1068" t="s">
        <v>1054</v>
      </c>
      <c r="E1068" t="s">
        <v>8</v>
      </c>
      <c r="F1068" s="1">
        <f>[1]Residential!B$109</f>
        <v>7.3436676285130217E-2</v>
      </c>
      <c r="G1068" s="1">
        <f>[1]Residential!C$109</f>
        <v>3.5700579495133757E-3</v>
      </c>
      <c r="H1068" s="1">
        <f>[1]Residential!D$109</f>
        <v>0.23575781514239766</v>
      </c>
      <c r="I1068" s="1">
        <f>[1]Residential!E$109</f>
        <v>0.23611237576097829</v>
      </c>
      <c r="J1068" s="1">
        <f>[1]Residential!F$109</f>
        <v>0.23611961314289931</v>
      </c>
      <c r="K1068" s="1">
        <f>[1]Residential!G$109</f>
        <v>0.23753705830481534</v>
      </c>
      <c r="L1068" s="1">
        <f>[1]Residential!H$109</f>
        <v>0.23753639420717818</v>
      </c>
      <c r="M1068" s="1">
        <f>[1]Residential!I$109</f>
        <v>0.23754462335887494</v>
      </c>
      <c r="N1068" s="1">
        <f>[1]Residential!J$109</f>
        <v>0.23754357760884662</v>
      </c>
      <c r="O1068" s="1">
        <f>[1]Residential!K$109</f>
        <v>0.23775717212685982</v>
      </c>
      <c r="P1068" s="1">
        <f>[1]Residential!L$109</f>
        <v>0.23775565044110772</v>
      </c>
      <c r="Q1068" s="1">
        <f>[1]Residential!M$109</f>
        <v>0.23777139712515274</v>
      </c>
      <c r="S1068" s="3"/>
    </row>
    <row r="1069" spans="2:19" x14ac:dyDescent="0.5">
      <c r="B1069" s="5" t="str">
        <f t="shared" si="1271"/>
        <v>SPS1</v>
      </c>
      <c r="C1069" s="5" t="str">
        <f t="shared" si="1272"/>
        <v>CH</v>
      </c>
      <c r="D1069" t="s">
        <v>1055</v>
      </c>
      <c r="E1069" t="s">
        <v>8</v>
      </c>
      <c r="F1069" s="1">
        <f>IFERROR(F$1068/F$1043,0)*F1044</f>
        <v>7.3436676285130217E-2</v>
      </c>
      <c r="G1069" s="1">
        <f t="shared" ref="G1069:K1069" si="1279">IFERROR(G$1068/G$1043,0)*G1044</f>
        <v>3.5700579495133757E-3</v>
      </c>
      <c r="H1069" s="1">
        <f t="shared" si="1279"/>
        <v>0.23575781514239766</v>
      </c>
      <c r="I1069" s="1">
        <f t="shared" si="1279"/>
        <v>0.23473765522530352</v>
      </c>
      <c r="J1069" s="1">
        <f t="shared" si="1279"/>
        <v>0.23376240748290056</v>
      </c>
      <c r="K1069" s="1">
        <f t="shared" si="1279"/>
        <v>9.858276046992405E-2</v>
      </c>
      <c r="L1069" s="1">
        <f t="shared" ref="L1069:O1069" si="1280">IFERROR(L$1068/L$1043,0)*L1044</f>
        <v>0</v>
      </c>
      <c r="M1069" s="1">
        <f t="shared" si="1280"/>
        <v>0</v>
      </c>
      <c r="N1069" s="1">
        <f t="shared" si="1280"/>
        <v>7.4698867010642572E-3</v>
      </c>
      <c r="O1069" s="1">
        <f t="shared" si="1280"/>
        <v>1.4337455696738393E-2</v>
      </c>
      <c r="P1069" s="1">
        <f t="shared" ref="P1069:Q1071" si="1281">IFERROR(P$1068/P$1043,0)*P1044</f>
        <v>1.1556999974730356E-2</v>
      </c>
      <c r="Q1069" s="1">
        <f t="shared" si="1281"/>
        <v>1.632877971175117E-2</v>
      </c>
      <c r="S1069" s="3"/>
    </row>
    <row r="1070" spans="2:19" x14ac:dyDescent="0.5">
      <c r="B1070" s="5" t="str">
        <f t="shared" si="1271"/>
        <v>SPS1</v>
      </c>
      <c r="C1070" s="5" t="str">
        <f t="shared" si="1272"/>
        <v>CH</v>
      </c>
      <c r="D1070" t="s">
        <v>1056</v>
      </c>
      <c r="E1070" t="s">
        <v>8</v>
      </c>
      <c r="F1070" s="1">
        <f t="shared" ref="F1070:K1070" si="1282">IFERROR(F$1068/F$1043,0)*F1045</f>
        <v>0</v>
      </c>
      <c r="G1070" s="1">
        <f t="shared" si="1282"/>
        <v>0</v>
      </c>
      <c r="H1070" s="1">
        <f t="shared" si="1282"/>
        <v>0</v>
      </c>
      <c r="I1070" s="1">
        <f t="shared" si="1282"/>
        <v>0</v>
      </c>
      <c r="J1070" s="1">
        <f t="shared" si="1282"/>
        <v>0</v>
      </c>
      <c r="K1070" s="1">
        <f t="shared" si="1282"/>
        <v>0</v>
      </c>
      <c r="L1070" s="1">
        <f t="shared" ref="L1070:O1070" si="1283">IFERROR(L$1068/L$1043,0)*L1045</f>
        <v>0</v>
      </c>
      <c r="M1070" s="1">
        <f t="shared" si="1283"/>
        <v>0</v>
      </c>
      <c r="N1070" s="1">
        <f t="shared" si="1283"/>
        <v>0</v>
      </c>
      <c r="O1070" s="1">
        <f t="shared" si="1283"/>
        <v>0</v>
      </c>
      <c r="P1070" s="1">
        <f t="shared" si="1281"/>
        <v>0</v>
      </c>
      <c r="Q1070" s="1">
        <f t="shared" si="1281"/>
        <v>0</v>
      </c>
      <c r="S1070" s="3"/>
    </row>
    <row r="1071" spans="2:19" x14ac:dyDescent="0.5">
      <c r="B1071" s="5" t="str">
        <f t="shared" si="1271"/>
        <v>SPS1</v>
      </c>
      <c r="C1071" s="5" t="str">
        <f t="shared" si="1272"/>
        <v>CH</v>
      </c>
      <c r="D1071" t="s">
        <v>1057</v>
      </c>
      <c r="E1071" t="s">
        <v>8</v>
      </c>
      <c r="F1071" s="1">
        <f t="shared" ref="F1071:K1071" si="1284">IFERROR(F$1068/F$1043,0)*F1046</f>
        <v>0</v>
      </c>
      <c r="G1071" s="1">
        <f t="shared" si="1284"/>
        <v>0</v>
      </c>
      <c r="H1071" s="1">
        <f t="shared" si="1284"/>
        <v>0</v>
      </c>
      <c r="I1071" s="1">
        <f t="shared" si="1284"/>
        <v>1.3747205356747624E-3</v>
      </c>
      <c r="J1071" s="1">
        <f t="shared" si="1284"/>
        <v>2.3572056599987672E-3</v>
      </c>
      <c r="K1071" s="1">
        <f t="shared" si="1284"/>
        <v>0.1389542978348913</v>
      </c>
      <c r="L1071" s="1">
        <f t="shared" ref="L1071:O1071" si="1285">IFERROR(L$1068/L$1043,0)*L1046</f>
        <v>0.23753639420717818</v>
      </c>
      <c r="M1071" s="1">
        <f t="shared" si="1285"/>
        <v>0.23754462335887494</v>
      </c>
      <c r="N1071" s="1">
        <f t="shared" si="1285"/>
        <v>0.23007369090778235</v>
      </c>
      <c r="O1071" s="1">
        <f t="shared" si="1285"/>
        <v>0.2234197164301214</v>
      </c>
      <c r="P1071" s="1">
        <f t="shared" si="1281"/>
        <v>0.22619865046637735</v>
      </c>
      <c r="Q1071" s="1">
        <f t="shared" si="1281"/>
        <v>0.22144261741340157</v>
      </c>
      <c r="S1071" s="3"/>
    </row>
    <row r="1072" spans="2:19" x14ac:dyDescent="0.5">
      <c r="B1072" s="5" t="str">
        <f t="shared" si="1271"/>
        <v>SPS1</v>
      </c>
      <c r="C1072" s="5" t="str">
        <f t="shared" si="1272"/>
        <v>CH</v>
      </c>
      <c r="D1072" t="s">
        <v>1058</v>
      </c>
      <c r="E1072" t="s">
        <v>8</v>
      </c>
      <c r="F1072" s="1">
        <f>F1067-F1068</f>
        <v>3.9171055296247479</v>
      </c>
      <c r="G1072" s="1">
        <f t="shared" ref="G1072:K1072" si="1286">G1067-G1068</f>
        <v>7.6930071543893161</v>
      </c>
      <c r="H1072" s="1">
        <f t="shared" si="1286"/>
        <v>7.9625445375646802</v>
      </c>
      <c r="I1072" s="1">
        <f t="shared" si="1286"/>
        <v>5.4547583724901152</v>
      </c>
      <c r="J1072" s="1">
        <f t="shared" si="1286"/>
        <v>5.6103301625352628</v>
      </c>
      <c r="K1072" s="1">
        <f t="shared" si="1286"/>
        <v>7.4209441473051241</v>
      </c>
      <c r="L1072" s="1">
        <f t="shared" ref="L1072:O1072" si="1287">L1067-L1068</f>
        <v>5.5799240162398958</v>
      </c>
      <c r="M1072" s="1">
        <f t="shared" si="1287"/>
        <v>7.4028711797885496</v>
      </c>
      <c r="N1072" s="1">
        <f t="shared" si="1287"/>
        <v>7.2505150767382291</v>
      </c>
      <c r="O1072" s="1">
        <f t="shared" si="1287"/>
        <v>7.1527290828043757</v>
      </c>
      <c r="P1072" s="1">
        <f>P1067-P1068</f>
        <v>7.350063310115579</v>
      </c>
      <c r="Q1072" s="1">
        <f>Q1067-Q1068</f>
        <v>6.7629804139436471</v>
      </c>
      <c r="S1072" s="3"/>
    </row>
    <row r="1073" spans="2:19" x14ac:dyDescent="0.5">
      <c r="B1073" s="5" t="str">
        <f t="shared" si="1271"/>
        <v>SPS1</v>
      </c>
      <c r="C1073" s="5" t="str">
        <f t="shared" si="1272"/>
        <v>CH</v>
      </c>
      <c r="D1073" t="s">
        <v>1059</v>
      </c>
      <c r="E1073" t="s">
        <v>8</v>
      </c>
      <c r="F1073" s="1">
        <f>F1074</f>
        <v>9.1310752565162652</v>
      </c>
      <c r="G1073" s="1">
        <f t="shared" ref="G1073:O1073" si="1288">G1074</f>
        <v>9.1689426420016975</v>
      </c>
      <c r="H1073" s="1">
        <f t="shared" si="1288"/>
        <v>8.0562282568304919</v>
      </c>
      <c r="I1073" s="1">
        <f t="shared" si="1288"/>
        <v>7.1098325116006347</v>
      </c>
      <c r="J1073" s="1">
        <f t="shared" si="1288"/>
        <v>6.3270964212274805</v>
      </c>
      <c r="K1073" s="1">
        <f t="shared" si="1288"/>
        <v>4.7059950004843554</v>
      </c>
      <c r="L1073" s="1">
        <f t="shared" si="1288"/>
        <v>4.0894050268349522</v>
      </c>
      <c r="M1073" s="1">
        <f t="shared" si="1288"/>
        <v>3.8910078597634574</v>
      </c>
      <c r="N1073" s="1">
        <f t="shared" si="1288"/>
        <v>3.2183574694463521</v>
      </c>
      <c r="O1073" s="1">
        <f t="shared" si="1288"/>
        <v>2.9362482982575631</v>
      </c>
      <c r="P1073" s="1">
        <f>P1074</f>
        <v>2.9269978047712923</v>
      </c>
      <c r="Q1073" s="1">
        <f>Q1074</f>
        <v>2.3047260818557809</v>
      </c>
      <c r="S1073" s="3"/>
    </row>
    <row r="1074" spans="2:19" x14ac:dyDescent="0.5">
      <c r="B1074" s="5" t="str">
        <f t="shared" si="1271"/>
        <v>SPS1</v>
      </c>
      <c r="C1074" s="5" t="str">
        <f t="shared" si="1272"/>
        <v>CH</v>
      </c>
      <c r="D1074" t="s">
        <v>1060</v>
      </c>
      <c r="E1074" t="s">
        <v>8</v>
      </c>
      <c r="F1074" s="1">
        <f>[1]Residential!B$111</f>
        <v>9.1310752565162652</v>
      </c>
      <c r="G1074" s="1">
        <f>[1]Residential!C$111</f>
        <v>9.1689426420016975</v>
      </c>
      <c r="H1074" s="1">
        <f>[1]Residential!D$111</f>
        <v>8.0562282568304919</v>
      </c>
      <c r="I1074" s="1">
        <f>[1]Residential!E$111</f>
        <v>7.1098325116006347</v>
      </c>
      <c r="J1074" s="1">
        <f>[1]Residential!F$111</f>
        <v>6.3270964212274805</v>
      </c>
      <c r="K1074" s="1">
        <f>[1]Residential!G$111</f>
        <v>4.7059950004843554</v>
      </c>
      <c r="L1074" s="1">
        <f>[1]Residential!H$111</f>
        <v>4.0894050268349522</v>
      </c>
      <c r="M1074" s="1">
        <f>[1]Residential!I$111</f>
        <v>3.8910078597634574</v>
      </c>
      <c r="N1074" s="1">
        <f>[1]Residential!J$111</f>
        <v>3.2183574694463521</v>
      </c>
      <c r="O1074" s="1">
        <f>[1]Residential!K$111</f>
        <v>2.9362482982575631</v>
      </c>
      <c r="P1074" s="1">
        <f>[1]Residential!L$111</f>
        <v>2.9269978047712923</v>
      </c>
      <c r="Q1074" s="1">
        <f>[1]Residential!M$111</f>
        <v>2.3047260818557809</v>
      </c>
      <c r="S1074" s="3"/>
    </row>
    <row r="1075" spans="2:19" x14ac:dyDescent="0.5">
      <c r="B1075" s="5" t="str">
        <f t="shared" si="1271"/>
        <v>SPS1</v>
      </c>
      <c r="C1075" s="5" t="str">
        <f t="shared" si="1272"/>
        <v>CH</v>
      </c>
      <c r="D1075" t="s">
        <v>1061</v>
      </c>
      <c r="E1075" t="s">
        <v>8</v>
      </c>
      <c r="F1075" s="1">
        <f>F1076</f>
        <v>2.6968852158375718</v>
      </c>
      <c r="G1075" s="1">
        <f t="shared" ref="G1075:O1075" si="1289">G1076</f>
        <v>3.168220777014525</v>
      </c>
      <c r="H1075" s="1">
        <f t="shared" si="1289"/>
        <v>3.1713324075618234</v>
      </c>
      <c r="I1075" s="1">
        <f t="shared" si="1289"/>
        <v>3.3013479957187535</v>
      </c>
      <c r="J1075" s="1">
        <f t="shared" si="1289"/>
        <v>3.4189494700934362</v>
      </c>
      <c r="K1075" s="1">
        <f t="shared" si="1289"/>
        <v>3.5148133459729771</v>
      </c>
      <c r="L1075" s="1">
        <f t="shared" si="1289"/>
        <v>3.5929167931749819</v>
      </c>
      <c r="M1075" s="1">
        <f t="shared" si="1289"/>
        <v>3.6666117080071823</v>
      </c>
      <c r="N1075" s="1">
        <f t="shared" si="1289"/>
        <v>3.7199048358237561</v>
      </c>
      <c r="O1075" s="1">
        <f t="shared" si="1289"/>
        <v>3.780477324697566</v>
      </c>
      <c r="P1075" s="1">
        <f>P1076</f>
        <v>3.7806952284994493</v>
      </c>
      <c r="Q1075" s="1">
        <f>Q1076</f>
        <v>3.7807021343956593</v>
      </c>
      <c r="S1075" s="3"/>
    </row>
    <row r="1076" spans="2:19" x14ac:dyDescent="0.5">
      <c r="B1076" s="5" t="str">
        <f t="shared" si="1271"/>
        <v>SPS1</v>
      </c>
      <c r="C1076" s="5" t="str">
        <f t="shared" si="1272"/>
        <v>CH</v>
      </c>
      <c r="D1076" t="s">
        <v>1062</v>
      </c>
      <c r="E1076" t="s">
        <v>8</v>
      </c>
      <c r="F1076" s="1">
        <f>[1]Residential!B$112</f>
        <v>2.6968852158375718</v>
      </c>
      <c r="G1076" s="1">
        <f>[1]Residential!C$112</f>
        <v>3.168220777014525</v>
      </c>
      <c r="H1076" s="1">
        <f>[1]Residential!D$112</f>
        <v>3.1713324075618234</v>
      </c>
      <c r="I1076" s="1">
        <f>[1]Residential!E$112</f>
        <v>3.3013479957187535</v>
      </c>
      <c r="J1076" s="1">
        <f>[1]Residential!F$112</f>
        <v>3.4189494700934362</v>
      </c>
      <c r="K1076" s="1">
        <f>[1]Residential!G$112</f>
        <v>3.5148133459729771</v>
      </c>
      <c r="L1076" s="1">
        <f>[1]Residential!H$112</f>
        <v>3.5929167931749819</v>
      </c>
      <c r="M1076" s="1">
        <f>[1]Residential!I$112</f>
        <v>3.6666117080071823</v>
      </c>
      <c r="N1076" s="1">
        <f>[1]Residential!J$112</f>
        <v>3.7199048358237561</v>
      </c>
      <c r="O1076" s="1">
        <f>[1]Residential!K$112</f>
        <v>3.780477324697566</v>
      </c>
      <c r="P1076" s="1">
        <f>[1]Residential!L$112</f>
        <v>3.7806952284994493</v>
      </c>
      <c r="Q1076" s="1">
        <f>[1]Residential!M$112</f>
        <v>3.7807021343956593</v>
      </c>
      <c r="S1076" s="3"/>
    </row>
    <row r="1077" spans="2:19" x14ac:dyDescent="0.5">
      <c r="B1077" s="5" t="str">
        <f t="shared" si="1271"/>
        <v>SPS1</v>
      </c>
      <c r="C1077" s="5" t="str">
        <f t="shared" si="1272"/>
        <v>CH</v>
      </c>
      <c r="D1077" t="s">
        <v>1063</v>
      </c>
      <c r="E1077" t="s">
        <v>8</v>
      </c>
      <c r="F1077" s="1">
        <f>F1078</f>
        <v>0.78533770257759683</v>
      </c>
      <c r="G1077" s="1">
        <f t="shared" ref="G1077:O1077" si="1290">G1078</f>
        <v>0.94127258189450358</v>
      </c>
      <c r="H1077" s="1">
        <f t="shared" si="1290"/>
        <v>0.94200201055953914</v>
      </c>
      <c r="I1077" s="1">
        <f t="shared" si="1290"/>
        <v>0.84753582452225307</v>
      </c>
      <c r="J1077" s="1">
        <f t="shared" si="1290"/>
        <v>0.89556014322022548</v>
      </c>
      <c r="K1077" s="1">
        <f t="shared" si="1290"/>
        <v>0.84511251355382921</v>
      </c>
      <c r="L1077" s="1">
        <f t="shared" si="1290"/>
        <v>0.84207692619254337</v>
      </c>
      <c r="M1077" s="1">
        <f t="shared" si="1290"/>
        <v>2.4073565201074438</v>
      </c>
      <c r="N1077" s="1">
        <f t="shared" si="1290"/>
        <v>2.4073342377536675</v>
      </c>
      <c r="O1077" s="1">
        <f t="shared" si="1290"/>
        <v>2.4073540864490699</v>
      </c>
      <c r="P1077" s="1">
        <f>P1078</f>
        <v>2.4072872919609636</v>
      </c>
      <c r="Q1077" s="1">
        <f>Q1078</f>
        <v>2.1276210574222421</v>
      </c>
      <c r="S1077" s="3"/>
    </row>
    <row r="1078" spans="2:19" x14ac:dyDescent="0.5">
      <c r="B1078" s="5" t="str">
        <f t="shared" si="1271"/>
        <v>SPS1</v>
      </c>
      <c r="C1078" s="5" t="str">
        <f t="shared" si="1272"/>
        <v>CH</v>
      </c>
      <c r="D1078" t="s">
        <v>1064</v>
      </c>
      <c r="E1078" t="s">
        <v>8</v>
      </c>
      <c r="F1078" s="1">
        <f>[1]Residential!B$113</f>
        <v>0.78533770257759683</v>
      </c>
      <c r="G1078" s="1">
        <f>[1]Residential!C$113</f>
        <v>0.94127258189450358</v>
      </c>
      <c r="H1078" s="1">
        <f>[1]Residential!D$113</f>
        <v>0.94200201055953914</v>
      </c>
      <c r="I1078" s="1">
        <f>[1]Residential!E$113</f>
        <v>0.84753582452225307</v>
      </c>
      <c r="J1078" s="1">
        <f>[1]Residential!F$113</f>
        <v>0.89556014322022548</v>
      </c>
      <c r="K1078" s="1">
        <f>[1]Residential!G$113</f>
        <v>0.84511251355382921</v>
      </c>
      <c r="L1078" s="1">
        <f>[1]Residential!H$113</f>
        <v>0.84207692619254337</v>
      </c>
      <c r="M1078" s="1">
        <f>[1]Residential!I$113</f>
        <v>2.4073565201074438</v>
      </c>
      <c r="N1078" s="1">
        <f>[1]Residential!J$113</f>
        <v>2.4073342377536675</v>
      </c>
      <c r="O1078" s="1">
        <f>[1]Residential!K$113</f>
        <v>2.4073540864490699</v>
      </c>
      <c r="P1078" s="1">
        <f>[1]Residential!L$113</f>
        <v>2.4072872919609636</v>
      </c>
      <c r="Q1078" s="1">
        <f>[1]Residential!M$113</f>
        <v>2.1276210574222421</v>
      </c>
      <c r="S1078" s="3"/>
    </row>
    <row r="1079" spans="2:19" x14ac:dyDescent="0.5">
      <c r="B1079" s="5" t="str">
        <f t="shared" si="1271"/>
        <v>SPS1</v>
      </c>
      <c r="C1079" s="5" t="str">
        <f t="shared" si="1272"/>
        <v>CH</v>
      </c>
      <c r="D1079" t="s">
        <v>1065</v>
      </c>
      <c r="E1079" t="s">
        <v>8</v>
      </c>
      <c r="F1079" s="1">
        <f>F1080</f>
        <v>0</v>
      </c>
      <c r="G1079" s="1">
        <f t="shared" ref="G1079:O1079" si="1291">G1080</f>
        <v>0</v>
      </c>
      <c r="H1079" s="1">
        <f t="shared" si="1291"/>
        <v>0</v>
      </c>
      <c r="I1079" s="1">
        <f t="shared" si="1291"/>
        <v>0</v>
      </c>
      <c r="J1079" s="1">
        <f t="shared" si="1291"/>
        <v>0</v>
      </c>
      <c r="K1079" s="1">
        <f t="shared" si="1291"/>
        <v>0</v>
      </c>
      <c r="L1079" s="1">
        <f t="shared" si="1291"/>
        <v>0</v>
      </c>
      <c r="M1079" s="1">
        <f t="shared" si="1291"/>
        <v>0</v>
      </c>
      <c r="N1079" s="1">
        <f t="shared" si="1291"/>
        <v>0</v>
      </c>
      <c r="O1079" s="1">
        <f t="shared" si="1291"/>
        <v>0</v>
      </c>
      <c r="P1079" s="1">
        <f>P1080</f>
        <v>0</v>
      </c>
      <c r="Q1079" s="1">
        <f>Q1080</f>
        <v>0</v>
      </c>
      <c r="S1079" s="3"/>
    </row>
    <row r="1080" spans="2:19" x14ac:dyDescent="0.5">
      <c r="B1080" s="5" t="str">
        <f t="shared" si="1271"/>
        <v>SPS1</v>
      </c>
      <c r="C1080" s="5" t="str">
        <f t="shared" si="1272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[1]Residential!F$114</f>
        <v>0</v>
      </c>
      <c r="K1080" s="1">
        <f>[1]Residential!G$114</f>
        <v>0</v>
      </c>
      <c r="L1080" s="1">
        <f>[1]Residential!H$114</f>
        <v>0</v>
      </c>
      <c r="M1080" s="1">
        <f>[1]Residential!I$114</f>
        <v>0</v>
      </c>
      <c r="N1080" s="1">
        <f>[1]Residential!J$114</f>
        <v>0</v>
      </c>
      <c r="O1080" s="1">
        <f>[1]Residential!K$114</f>
        <v>0</v>
      </c>
      <c r="P1080" s="1">
        <f>[1]Residential!L$114</f>
        <v>0</v>
      </c>
      <c r="Q1080" s="1">
        <f>[1]Residential!M$114</f>
        <v>0</v>
      </c>
      <c r="S1080" s="3"/>
    </row>
    <row r="1081" spans="2:19" x14ac:dyDescent="0.5">
      <c r="B1081" s="5" t="str">
        <f t="shared" si="1271"/>
        <v>SPS1</v>
      </c>
      <c r="C1081" s="5" t="str">
        <f t="shared" si="1272"/>
        <v>CH</v>
      </c>
      <c r="D1081" t="s">
        <v>1067</v>
      </c>
      <c r="E1081" t="s">
        <v>8</v>
      </c>
      <c r="F1081" s="1">
        <f>[1]Residential!B$10-[1]Residential!B$223</f>
        <v>2.9115498430428346</v>
      </c>
      <c r="G1081" s="1">
        <f>[1]Residential!C$10-[1]Residential!C$223</f>
        <v>7.0182070365689526</v>
      </c>
      <c r="H1081" s="1">
        <f>[1]Residential!D$10-[1]Residential!D$223</f>
        <v>7.0176620805056711</v>
      </c>
      <c r="I1081" s="1">
        <f>[1]Residential!E$10-[1]Residential!E$223</f>
        <v>9.2208643567176178</v>
      </c>
      <c r="J1081" s="1">
        <f>[1]Residential!F$10-[1]Residential!F$223</f>
        <v>11.854656945087283</v>
      </c>
      <c r="K1081" s="1">
        <f>[1]Residential!G$10-[1]Residential!G$223</f>
        <v>19.063000690084294</v>
      </c>
      <c r="L1081" s="1">
        <f>[1]Residential!H$10-[1]Residential!H$223</f>
        <v>19.062817612691909</v>
      </c>
      <c r="M1081" s="1">
        <f>[1]Residential!I$10-[1]Residential!I$223</f>
        <v>19.889257783981371</v>
      </c>
      <c r="N1081" s="1">
        <f>[1]Residential!J$10-[1]Residential!J$223</f>
        <v>19.889081592990735</v>
      </c>
      <c r="O1081" s="1">
        <f>[1]Residential!K$10-[1]Residential!K$223</f>
        <v>19.889221606856111</v>
      </c>
      <c r="P1081" s="1">
        <f>[1]Residential!L$10-[1]Residential!L$223</f>
        <v>19.888992180456331</v>
      </c>
      <c r="Q1081" s="1">
        <f>[1]Residential!M$10-[1]Residential!M$223</f>
        <v>15.62814740998299</v>
      </c>
      <c r="S1081" s="3"/>
    </row>
    <row r="1082" spans="2:19" x14ac:dyDescent="0.5">
      <c r="B1082" s="5" t="str">
        <f t="shared" si="1271"/>
        <v>SPS1</v>
      </c>
      <c r="C1082" s="5" t="str">
        <f t="shared" si="1272"/>
        <v>CH</v>
      </c>
      <c r="D1082" t="s">
        <v>1068</v>
      </c>
      <c r="E1082" t="s">
        <v>8</v>
      </c>
      <c r="F1082" s="1">
        <f>[1]Residential!B$224</f>
        <v>26.978291525852587</v>
      </c>
      <c r="G1082" s="1">
        <f>[1]Residential!C$224</f>
        <v>25.92996931044808</v>
      </c>
      <c r="H1082" s="1">
        <f>[1]Residential!D$224</f>
        <v>25.957989677386216</v>
      </c>
      <c r="I1082" s="1">
        <f>[1]Residential!E$224</f>
        <v>25.663360118451148</v>
      </c>
      <c r="J1082" s="1">
        <f>[1]Residential!F$224</f>
        <v>25.706542940529765</v>
      </c>
      <c r="K1082" s="1">
        <f>[1]Residential!G$224</f>
        <v>25.599944438338049</v>
      </c>
      <c r="L1082" s="1">
        <f>[1]Residential!H$224</f>
        <v>25.374549308448593</v>
      </c>
      <c r="M1082" s="1">
        <f>[1]Residential!I$224</f>
        <v>25.626218873413929</v>
      </c>
      <c r="N1082" s="1">
        <f>[1]Residential!J$224</f>
        <v>26.024496488874956</v>
      </c>
      <c r="O1082" s="1">
        <f>[1]Residential!K$224</f>
        <v>25.559965880131085</v>
      </c>
      <c r="P1082" s="1">
        <f>[1]Residential!L$224</f>
        <v>25.49520384868633</v>
      </c>
      <c r="Q1082" s="1">
        <f>[1]Residential!M$224</f>
        <v>25.066331808887234</v>
      </c>
      <c r="S1082" s="3"/>
    </row>
    <row r="1083" spans="2:19" x14ac:dyDescent="0.5">
      <c r="B1083" s="5" t="str">
        <f t="shared" si="1271"/>
        <v>SPS1</v>
      </c>
      <c r="C1083" s="5" t="str">
        <f t="shared" si="1272"/>
        <v>CH</v>
      </c>
      <c r="D1083" t="s">
        <v>1118</v>
      </c>
      <c r="E1083" t="s">
        <v>8</v>
      </c>
      <c r="F1083" s="1">
        <f>SUM(F1084:F1085)</f>
        <v>9.8845873960287207</v>
      </c>
      <c r="G1083" s="1">
        <f t="shared" ref="G1083:K1083" si="1292">SUM(G1084:G1085)</f>
        <v>10.604165391256718</v>
      </c>
      <c r="H1083" s="1">
        <f t="shared" si="1292"/>
        <v>11.808387072220356</v>
      </c>
      <c r="I1083" s="1">
        <f t="shared" si="1292"/>
        <v>11.827818636417687</v>
      </c>
      <c r="J1083" s="1">
        <f t="shared" si="1292"/>
        <v>13.684091799700742</v>
      </c>
      <c r="K1083" s="1">
        <f t="shared" si="1292"/>
        <v>13.02209812788251</v>
      </c>
      <c r="L1083" s="1">
        <f t="shared" ref="L1083:O1083" si="1293">SUM(L1084:L1085)</f>
        <v>16.068587208936883</v>
      </c>
      <c r="M1083" s="1">
        <f t="shared" si="1293"/>
        <v>17.775177583719447</v>
      </c>
      <c r="N1083" s="1">
        <f t="shared" si="1293"/>
        <v>19.765597811908751</v>
      </c>
      <c r="O1083" s="1">
        <f t="shared" si="1293"/>
        <v>19.577838539782586</v>
      </c>
      <c r="P1083" s="1">
        <f>SUM(P1084:P1085)</f>
        <v>19.4791447480691</v>
      </c>
      <c r="Q1083" s="1">
        <f>SUM(Q1084:Q1085)</f>
        <v>19.641397606304018</v>
      </c>
      <c r="S1083" s="3"/>
    </row>
    <row r="1084" spans="2:19" x14ac:dyDescent="0.5">
      <c r="B1084" s="5" t="str">
        <f t="shared" si="1271"/>
        <v>SPS1</v>
      </c>
      <c r="C1084" s="5" t="str">
        <f t="shared" si="1272"/>
        <v>CH</v>
      </c>
      <c r="D1084" t="s">
        <v>1119</v>
      </c>
      <c r="E1084" t="s">
        <v>8</v>
      </c>
      <c r="F1084" s="1">
        <f>[1]Residential!B$231-F1058</f>
        <v>6.6446961419646478</v>
      </c>
      <c r="G1084" s="1">
        <f>[1]Residential!C$231-G1058</f>
        <v>6.9687085510857223</v>
      </c>
      <c r="H1084" s="1">
        <f>[1]Residential!D$231-H1058</f>
        <v>6.8381021169311573</v>
      </c>
      <c r="I1084" s="1">
        <f>[1]Residential!E$231-I1058</f>
        <v>4.4335110564072888</v>
      </c>
      <c r="J1084" s="1">
        <f>[1]Residential!F$231-J1058</f>
        <v>2.1705145895118423</v>
      </c>
      <c r="K1084" s="1">
        <f>[1]Residential!G$231-K1058</f>
        <v>1.3505509090544638</v>
      </c>
      <c r="L1084" s="1">
        <f>[1]Residential!H$231-L1058</f>
        <v>0.89161623590161421</v>
      </c>
      <c r="M1084" s="1">
        <f>[1]Residential!I$231-M1058</f>
        <v>1.8452714393552814</v>
      </c>
      <c r="N1084" s="1">
        <f>[1]Residential!J$231-N1058</f>
        <v>1.5813408387175825</v>
      </c>
      <c r="O1084" s="1">
        <f>[1]Residential!K$231-O1058</f>
        <v>1.061809361954426</v>
      </c>
      <c r="P1084" s="1">
        <f>[1]Residential!L$231-P1058</f>
        <v>2.0690611333252886</v>
      </c>
      <c r="Q1084" s="1">
        <f>[1]Residential!M$231-Q1058</f>
        <v>0.80749701735469981</v>
      </c>
      <c r="S1084" s="3"/>
    </row>
    <row r="1085" spans="2:19" x14ac:dyDescent="0.5">
      <c r="B1085" s="5" t="str">
        <f t="shared" si="1271"/>
        <v>SPS1</v>
      </c>
      <c r="C1085" s="5" t="str">
        <f t="shared" si="1272"/>
        <v>CH</v>
      </c>
      <c r="D1085" t="s">
        <v>1120</v>
      </c>
      <c r="E1085" t="s">
        <v>8</v>
      </c>
      <c r="F1085" s="1">
        <f>[1]Residential!B$233-F1059</f>
        <v>3.239891254064073</v>
      </c>
      <c r="G1085" s="1">
        <f>[1]Residential!C$233-G1059</f>
        <v>3.6354568401709955</v>
      </c>
      <c r="H1085" s="1">
        <f>[1]Residential!D$233-H1059</f>
        <v>4.9702849552891983</v>
      </c>
      <c r="I1085" s="1">
        <f>[1]Residential!E$233-I1059</f>
        <v>7.3943075800103983</v>
      </c>
      <c r="J1085" s="1">
        <f>[1]Residential!F$233-J1059</f>
        <v>11.513577210188899</v>
      </c>
      <c r="K1085" s="1">
        <f>[1]Residential!G$233-K1059</f>
        <v>11.671547218828046</v>
      </c>
      <c r="L1085" s="1">
        <f>[1]Residential!H$233-L1059</f>
        <v>15.176970973035267</v>
      </c>
      <c r="M1085" s="1">
        <f>[1]Residential!I$233-M1059</f>
        <v>15.929906144364168</v>
      </c>
      <c r="N1085" s="1">
        <f>[1]Residential!J$233-N1059</f>
        <v>18.184256973191168</v>
      </c>
      <c r="O1085" s="1">
        <f>[1]Residential!K$233-O1059</f>
        <v>18.516029177828159</v>
      </c>
      <c r="P1085" s="1">
        <f>[1]Residential!L$233-P1059</f>
        <v>17.410083614743812</v>
      </c>
      <c r="Q1085" s="1">
        <f>[1]Residential!M$233-Q1059</f>
        <v>18.833900588949319</v>
      </c>
      <c r="S1085" s="3"/>
    </row>
    <row r="1086" spans="2:19" x14ac:dyDescent="0.5">
      <c r="B1086" s="5" t="str">
        <f t="shared" si="1271"/>
        <v>SPS1</v>
      </c>
      <c r="C1086" s="5" t="str">
        <f t="shared" si="1272"/>
        <v>CH</v>
      </c>
      <c r="D1086" t="s">
        <v>1069</v>
      </c>
      <c r="E1086" t="s">
        <v>8</v>
      </c>
      <c r="F1086" s="1">
        <f>F1087</f>
        <v>6.9844584345516481</v>
      </c>
      <c r="G1086" s="1">
        <f t="shared" ref="G1086:O1086" si="1294">G1087</f>
        <v>5.9701014243995729</v>
      </c>
      <c r="H1086" s="1">
        <f t="shared" si="1294"/>
        <v>3.9341666271085316</v>
      </c>
      <c r="I1086" s="1">
        <f t="shared" si="1294"/>
        <v>1.0645628848361213</v>
      </c>
      <c r="J1086" s="1">
        <f t="shared" si="1294"/>
        <v>0.51073180944605312</v>
      </c>
      <c r="K1086" s="1">
        <f t="shared" si="1294"/>
        <v>3.9869016469573637E-4</v>
      </c>
      <c r="L1086" s="1">
        <f t="shared" si="1294"/>
        <v>2.9270553348403894E-4</v>
      </c>
      <c r="M1086" s="1">
        <f t="shared" si="1294"/>
        <v>1.8374710696278385E-4</v>
      </c>
      <c r="N1086" s="1">
        <f t="shared" si="1294"/>
        <v>1.105195769763867E-4</v>
      </c>
      <c r="O1086" s="1">
        <f t="shared" si="1294"/>
        <v>2.0182541376101426E-4</v>
      </c>
      <c r="P1086" s="1">
        <f>P1087</f>
        <v>1.7216341911563404E-4</v>
      </c>
      <c r="Q1086" s="1">
        <f>Q1087</f>
        <v>4.2182223622511117E-4</v>
      </c>
      <c r="S1086" s="3"/>
    </row>
    <row r="1087" spans="2:19" x14ac:dyDescent="0.5">
      <c r="B1087" s="5" t="str">
        <f t="shared" si="1271"/>
        <v>SPS1</v>
      </c>
      <c r="C1087" s="5" t="str">
        <f t="shared" si="1272"/>
        <v>CH</v>
      </c>
      <c r="D1087" t="s">
        <v>1070</v>
      </c>
      <c r="E1087" t="s">
        <v>8</v>
      </c>
      <c r="F1087" s="1">
        <f>[1]Residential!B$234-F1061</f>
        <v>6.9844584345516481</v>
      </c>
      <c r="G1087" s="1">
        <f>[1]Residential!C$234-G1061</f>
        <v>5.9701014243995729</v>
      </c>
      <c r="H1087" s="1">
        <f>[1]Residential!D$234-H1061</f>
        <v>3.9341666271085316</v>
      </c>
      <c r="I1087" s="1">
        <f>[1]Residential!E$234-I1061</f>
        <v>1.0645628848361213</v>
      </c>
      <c r="J1087" s="1">
        <f>[1]Residential!F$234-J1061</f>
        <v>0.51073180944605312</v>
      </c>
      <c r="K1087" s="1">
        <f>[1]Residential!G$234-K1061</f>
        <v>3.9869016469573637E-4</v>
      </c>
      <c r="L1087" s="1">
        <f>[1]Residential!H$234-L1061</f>
        <v>2.9270553348403894E-4</v>
      </c>
      <c r="M1087" s="1">
        <f>[1]Residential!I$234-M1061</f>
        <v>1.8374710696278385E-4</v>
      </c>
      <c r="N1087" s="1">
        <f>[1]Residential!J$234-N1061</f>
        <v>1.105195769763867E-4</v>
      </c>
      <c r="O1087" s="1">
        <f>[1]Residential!K$234-O1061</f>
        <v>2.0182541376101426E-4</v>
      </c>
      <c r="P1087" s="1">
        <f>[1]Residential!L$234-P1061</f>
        <v>1.7216341911563404E-4</v>
      </c>
      <c r="Q1087" s="1">
        <f>[1]Residential!M$234-Q1061</f>
        <v>4.2182223622511117E-4</v>
      </c>
      <c r="S1087" s="3"/>
    </row>
    <row r="1088" spans="2:19" x14ac:dyDescent="0.5">
      <c r="B1088" s="5" t="str">
        <f t="shared" si="1271"/>
        <v>SPS1</v>
      </c>
      <c r="C1088" s="5" t="str">
        <f t="shared" si="1272"/>
        <v>CH</v>
      </c>
      <c r="D1088" t="s">
        <v>1071</v>
      </c>
      <c r="E1088" t="s">
        <v>8</v>
      </c>
      <c r="F1088" s="1">
        <f>SUM(F1089:F1090)</f>
        <v>6.3804503229008276</v>
      </c>
      <c r="G1088" s="1">
        <f t="shared" ref="G1088:K1088" si="1295">SUM(G1089:G1090)</f>
        <v>5.1135295910070724</v>
      </c>
      <c r="H1088" s="1">
        <f t="shared" si="1295"/>
        <v>6.3810693401987066</v>
      </c>
      <c r="I1088" s="1">
        <f t="shared" si="1295"/>
        <v>9.7902170239944688</v>
      </c>
      <c r="J1088" s="1">
        <f t="shared" si="1295"/>
        <v>8.8447647560666702</v>
      </c>
      <c r="K1088" s="1">
        <f t="shared" si="1295"/>
        <v>9.8318735718694796</v>
      </c>
      <c r="L1088" s="1">
        <f t="shared" ref="L1088:O1088" si="1296">SUM(L1089:L1090)</f>
        <v>6.9059594415359129</v>
      </c>
      <c r="M1088" s="1">
        <f t="shared" si="1296"/>
        <v>3.1471008072282203</v>
      </c>
      <c r="N1088" s="1">
        <f t="shared" si="1296"/>
        <v>1.6067935121993724</v>
      </c>
      <c r="O1088" s="1">
        <f t="shared" si="1296"/>
        <v>1.3559333406856648</v>
      </c>
      <c r="P1088" s="1">
        <f>SUM(P1089:P1090)</f>
        <v>1.3559257444394683</v>
      </c>
      <c r="Q1088" s="1">
        <f>SUM(Q1089:Q1090)</f>
        <v>1.248184940700078</v>
      </c>
      <c r="S1088" s="3"/>
    </row>
    <row r="1089" spans="2:19" x14ac:dyDescent="0.5">
      <c r="B1089" s="5" t="str">
        <f t="shared" si="1271"/>
        <v>SPS1</v>
      </c>
      <c r="C1089" s="5" t="str">
        <f t="shared" si="1272"/>
        <v>CH</v>
      </c>
      <c r="D1089" t="s">
        <v>1072</v>
      </c>
      <c r="E1089" t="s">
        <v>8</v>
      </c>
      <c r="F1089" s="1">
        <f>[1]Residential!B$235-F1063</f>
        <v>6.3804503229008276</v>
      </c>
      <c r="G1089" s="1">
        <f>[1]Residential!C$235-G1063</f>
        <v>5.1135295910070724</v>
      </c>
      <c r="H1089" s="1">
        <f>[1]Residential!D$235-H1063</f>
        <v>6.3803661914416523</v>
      </c>
      <c r="I1089" s="1">
        <f>[1]Residential!E$235-I1063</f>
        <v>9.7893384676586734</v>
      </c>
      <c r="J1089" s="1">
        <f>[1]Residential!F$235-J1063</f>
        <v>7.4234533138739707</v>
      </c>
      <c r="K1089" s="1">
        <f>[1]Residential!G$235-K1063</f>
        <v>6.6153877339712466</v>
      </c>
      <c r="L1089" s="1">
        <f>[1]Residential!H$235-L1063</f>
        <v>3.3321956392236274</v>
      </c>
      <c r="M1089" s="1">
        <f>[1]Residential!I$235-M1063</f>
        <v>1.0110113011889741</v>
      </c>
      <c r="N1089" s="1">
        <f>[1]Residential!J$235-N1063</f>
        <v>0.52537928912091569</v>
      </c>
      <c r="O1089" s="1">
        <f>[1]Residential!K$235-O1063</f>
        <v>0.39111327221629288</v>
      </c>
      <c r="P1089" s="1">
        <f>[1]Residential!L$235-P1063</f>
        <v>0.39111154149764449</v>
      </c>
      <c r="Q1089" s="1">
        <f>[1]Residential!M$235-Q1063</f>
        <v>0.28337216050125402</v>
      </c>
      <c r="S1089" s="3"/>
    </row>
    <row r="1090" spans="2:19" x14ac:dyDescent="0.5">
      <c r="B1090" s="5" t="str">
        <f t="shared" si="1271"/>
        <v>SPS1</v>
      </c>
      <c r="C1090" s="5" t="str">
        <f t="shared" si="1272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7.0314875705451696E-4</v>
      </c>
      <c r="I1090" s="1">
        <f>[1]Residential!E$236-I1064</f>
        <v>8.785563357962111E-4</v>
      </c>
      <c r="J1090" s="1">
        <f>[1]Residential!F$236-J1064</f>
        <v>1.4213114421927004</v>
      </c>
      <c r="K1090" s="1">
        <f>[1]Residential!G$236-K1064</f>
        <v>3.2164858378982331</v>
      </c>
      <c r="L1090" s="1">
        <f>[1]Residential!H$236-L1064</f>
        <v>3.5737638023122855</v>
      </c>
      <c r="M1090" s="1">
        <f>[1]Residential!I$236-M1064</f>
        <v>2.1360895060392462</v>
      </c>
      <c r="N1090" s="1">
        <f>[1]Residential!J$236-N1064</f>
        <v>1.0814142230784567</v>
      </c>
      <c r="O1090" s="1">
        <f>[1]Residential!K$236-O1064</f>
        <v>0.96482006846937196</v>
      </c>
      <c r="P1090" s="1">
        <f>[1]Residential!L$236-P1064</f>
        <v>0.96481420294182385</v>
      </c>
      <c r="Q1090" s="1">
        <f>[1]Residential!M$236-Q1064</f>
        <v>0.96481278019882399</v>
      </c>
      <c r="S1090" s="3"/>
    </row>
    <row r="1091" spans="2:19" x14ac:dyDescent="0.5">
      <c r="B1091" s="5" t="str">
        <f t="shared" si="1271"/>
        <v>SPS1</v>
      </c>
      <c r="C1091" s="5" t="str">
        <f t="shared" si="1272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S1091" s="3"/>
    </row>
    <row r="1092" spans="2:19" x14ac:dyDescent="0.5">
      <c r="B1092" s="5" t="str">
        <f t="shared" si="1271"/>
        <v>SPS1</v>
      </c>
      <c r="C1092" s="5" t="str">
        <f t="shared" si="1272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S1092" s="3"/>
    </row>
    <row r="1093" spans="2:19" x14ac:dyDescent="0.5">
      <c r="B1093" s="5" t="str">
        <f t="shared" si="1271"/>
        <v>SPS1</v>
      </c>
      <c r="C1093" s="5" t="str">
        <f t="shared" si="1272"/>
        <v>CH</v>
      </c>
      <c r="D1093" t="s">
        <v>1076</v>
      </c>
      <c r="E1093" t="s">
        <v>8</v>
      </c>
      <c r="F1093" s="1">
        <f>SUM(F1094,F1098)</f>
        <v>1.3170437325327722</v>
      </c>
      <c r="G1093" s="1">
        <f t="shared" ref="G1093:K1093" si="1297">SUM(G1094,G1098)</f>
        <v>1.4633761182636793</v>
      </c>
      <c r="H1093" s="1">
        <f t="shared" si="1297"/>
        <v>1.4299648434469181</v>
      </c>
      <c r="I1093" s="1">
        <f t="shared" si="1297"/>
        <v>0.99261615930310565</v>
      </c>
      <c r="J1093" s="1">
        <f t="shared" si="1297"/>
        <v>1.0197515266312729</v>
      </c>
      <c r="K1093" s="1">
        <f t="shared" si="1297"/>
        <v>1.335811363656948</v>
      </c>
      <c r="L1093" s="1">
        <f t="shared" ref="L1093:O1093" si="1298">SUM(L1094,L1098)</f>
        <v>1.014695975090155</v>
      </c>
      <c r="M1093" s="1">
        <f t="shared" si="1298"/>
        <v>1.3326435824268179</v>
      </c>
      <c r="N1093" s="1">
        <f t="shared" si="1298"/>
        <v>1.3060859476107585</v>
      </c>
      <c r="O1093" s="1">
        <f t="shared" si="1298"/>
        <v>1.2890657696341614</v>
      </c>
      <c r="P1093" s="1">
        <f>SUM(P1094,P1098)</f>
        <v>1.3234851353431851</v>
      </c>
      <c r="Q1093" s="1">
        <f>SUM(Q1094,Q1098)</f>
        <v>1.2210864637093597</v>
      </c>
      <c r="S1093" s="3"/>
    </row>
    <row r="1094" spans="2:19" x14ac:dyDescent="0.5">
      <c r="B1094" s="5" t="str">
        <f t="shared" si="1271"/>
        <v>SPS1</v>
      </c>
      <c r="C1094" s="5" t="str">
        <f t="shared" si="1272"/>
        <v>CH</v>
      </c>
      <c r="D1094" t="s">
        <v>1077</v>
      </c>
      <c r="E1094" t="s">
        <v>8</v>
      </c>
      <c r="F1094" s="1">
        <f>[1]Residential!B$238-F1068</f>
        <v>2.4237136020295758E-2</v>
      </c>
      <c r="G1094" s="1">
        <f>[1]Residential!C$238-G1068</f>
        <v>6.7878712835620428E-4</v>
      </c>
      <c r="H1094" s="1">
        <f>[1]Residential!D$238-H1068</f>
        <v>4.1121365462956777E-2</v>
      </c>
      <c r="I1094" s="1">
        <f>[1]Residential!E$238-I1068</f>
        <v>4.1183321491499308E-2</v>
      </c>
      <c r="J1094" s="1">
        <f>[1]Residential!F$238-J1068</f>
        <v>4.1184538516304547E-2</v>
      </c>
      <c r="K1094" s="1">
        <f>[1]Residential!G$238-K1068</f>
        <v>4.1431805243680092E-2</v>
      </c>
      <c r="L1094" s="1">
        <f>[1]Residential!H$238-L1068</f>
        <v>4.1431691173456436E-2</v>
      </c>
      <c r="M1094" s="1">
        <f>[1]Residential!I$238-M1068</f>
        <v>4.143260340998639E-2</v>
      </c>
      <c r="N1094" s="1">
        <f>[1]Residential!J$238-N1068</f>
        <v>4.1432945838370011E-2</v>
      </c>
      <c r="O1094" s="1">
        <f>[1]Residential!K$238-O1068</f>
        <v>4.147015791677483E-2</v>
      </c>
      <c r="P1094" s="1">
        <f>[1]Residential!L$238-P1068</f>
        <v>4.1469896796216016E-2</v>
      </c>
      <c r="Q1094" s="1">
        <f>[1]Residential!M$238-Q1068</f>
        <v>4.1472607845879444E-2</v>
      </c>
      <c r="S1094" s="3"/>
    </row>
    <row r="1095" spans="2:19" x14ac:dyDescent="0.5">
      <c r="B1095" s="5" t="str">
        <f t="shared" si="1271"/>
        <v>SPS1</v>
      </c>
      <c r="C1095" s="5" t="str">
        <f t="shared" si="1272"/>
        <v>CH</v>
      </c>
      <c r="D1095" t="s">
        <v>1078</v>
      </c>
      <c r="E1095" t="s">
        <v>8</v>
      </c>
      <c r="F1095" s="1">
        <f>IFERROR(F$1094/F$1043,0)*F1044</f>
        <v>2.4237136020295758E-2</v>
      </c>
      <c r="G1095" s="1">
        <f t="shared" ref="G1095:K1097" si="1299">IFERROR(G$1094/G$1043,0)*G1044</f>
        <v>6.7878712835620428E-4</v>
      </c>
      <c r="H1095" s="1">
        <f t="shared" si="1299"/>
        <v>4.1121365462956777E-2</v>
      </c>
      <c r="I1095" s="1">
        <f t="shared" si="1299"/>
        <v>4.094353923697245E-2</v>
      </c>
      <c r="J1095" s="1">
        <f t="shared" si="1299"/>
        <v>4.0773389158557979E-2</v>
      </c>
      <c r="K1095" s="1">
        <f t="shared" si="1299"/>
        <v>1.719505057999389E-2</v>
      </c>
      <c r="L1095" s="1">
        <f t="shared" ref="L1095:O1095" si="1300">IFERROR(L$1094/L$1043,0)*L1044</f>
        <v>0</v>
      </c>
      <c r="M1095" s="1">
        <f t="shared" si="1300"/>
        <v>0</v>
      </c>
      <c r="N1095" s="1">
        <f t="shared" si="1300"/>
        <v>1.3029163499995607E-3</v>
      </c>
      <c r="O1095" s="1">
        <f t="shared" si="1300"/>
        <v>2.5007723070968246E-3</v>
      </c>
      <c r="P1095" s="1">
        <f t="shared" ref="P1095:Q1097" si="1301">IFERROR(P$1094/P$1043,0)*P1044</f>
        <v>2.0157989740170403E-3</v>
      </c>
      <c r="Q1095" s="1">
        <f t="shared" si="1301"/>
        <v>2.8481015200947867E-3</v>
      </c>
      <c r="S1095" s="3"/>
    </row>
    <row r="1096" spans="2:19" x14ac:dyDescent="0.5">
      <c r="B1096" s="5" t="str">
        <f t="shared" si="1271"/>
        <v>SPS1</v>
      </c>
      <c r="C1096" s="5" t="str">
        <f t="shared" si="1272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99"/>
        <v>0</v>
      </c>
      <c r="H1096" s="1">
        <f t="shared" si="1299"/>
        <v>0</v>
      </c>
      <c r="I1096" s="1">
        <f t="shared" si="1299"/>
        <v>0</v>
      </c>
      <c r="J1096" s="1">
        <f t="shared" si="1299"/>
        <v>0</v>
      </c>
      <c r="K1096" s="1">
        <f t="shared" si="1299"/>
        <v>0</v>
      </c>
      <c r="L1096" s="1">
        <f t="shared" ref="L1096:O1096" si="1302">IFERROR(L$1094/L$1043,0)*L1045</f>
        <v>0</v>
      </c>
      <c r="M1096" s="1">
        <f t="shared" si="1302"/>
        <v>0</v>
      </c>
      <c r="N1096" s="1">
        <f t="shared" si="1302"/>
        <v>0</v>
      </c>
      <c r="O1096" s="1">
        <f t="shared" si="1302"/>
        <v>0</v>
      </c>
      <c r="P1096" s="1">
        <f t="shared" si="1301"/>
        <v>0</v>
      </c>
      <c r="Q1096" s="1">
        <f t="shared" si="1301"/>
        <v>0</v>
      </c>
      <c r="S1096" s="3"/>
    </row>
    <row r="1097" spans="2:19" x14ac:dyDescent="0.5">
      <c r="B1097" s="5" t="str">
        <f t="shared" si="1271"/>
        <v>SPS1</v>
      </c>
      <c r="C1097" s="5" t="str">
        <f t="shared" si="1272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99"/>
        <v>0</v>
      </c>
      <c r="H1097" s="1">
        <f t="shared" si="1299"/>
        <v>0</v>
      </c>
      <c r="I1097" s="1">
        <f t="shared" si="1299"/>
        <v>2.3978225452685737E-4</v>
      </c>
      <c r="J1097" s="1">
        <f t="shared" si="1299"/>
        <v>4.1114935774656439E-4</v>
      </c>
      <c r="K1097" s="1">
        <f t="shared" si="1299"/>
        <v>2.4236754663686202E-2</v>
      </c>
      <c r="L1097" s="1">
        <f t="shared" ref="L1097:O1097" si="1303">IFERROR(L$1094/L$1043,0)*L1046</f>
        <v>4.1431691173456436E-2</v>
      </c>
      <c r="M1097" s="1">
        <f t="shared" si="1303"/>
        <v>4.143260340998639E-2</v>
      </c>
      <c r="N1097" s="1">
        <f t="shared" si="1303"/>
        <v>4.0130029488370453E-2</v>
      </c>
      <c r="O1097" s="1">
        <f t="shared" si="1303"/>
        <v>3.8969385609678005E-2</v>
      </c>
      <c r="P1097" s="1">
        <f t="shared" si="1301"/>
        <v>3.9454097822198976E-2</v>
      </c>
      <c r="Q1097" s="1">
        <f t="shared" si="1301"/>
        <v>3.8624506325784659E-2</v>
      </c>
      <c r="S1097" s="3"/>
    </row>
    <row r="1098" spans="2:19" x14ac:dyDescent="0.5">
      <c r="B1098" s="5" t="str">
        <f t="shared" si="1271"/>
        <v>SPS1</v>
      </c>
      <c r="C1098" s="5" t="str">
        <f t="shared" si="1272"/>
        <v>CH</v>
      </c>
      <c r="D1098" t="s">
        <v>1081</v>
      </c>
      <c r="E1098" t="s">
        <v>8</v>
      </c>
      <c r="F1098" s="1">
        <f>[1]Residential!B$239-F1072</f>
        <v>1.2928065965124764</v>
      </c>
      <c r="G1098" s="1">
        <f>[1]Residential!C$239-G1072</f>
        <v>1.4626973311353231</v>
      </c>
      <c r="H1098" s="1">
        <f>[1]Residential!D$239-H1072</f>
        <v>1.3888434779839613</v>
      </c>
      <c r="I1098" s="1">
        <f>[1]Residential!E$239-I1072</f>
        <v>0.95143283781160637</v>
      </c>
      <c r="J1098" s="1">
        <f>[1]Residential!F$239-J1072</f>
        <v>0.97856698811496834</v>
      </c>
      <c r="K1098" s="1">
        <f>[1]Residential!G$239-K1072</f>
        <v>1.2943795584132678</v>
      </c>
      <c r="L1098" s="1">
        <f>[1]Residential!H$239-L1072</f>
        <v>0.9732642839166985</v>
      </c>
      <c r="M1098" s="1">
        <f>[1]Residential!I$239-M1072</f>
        <v>1.2912109790168316</v>
      </c>
      <c r="N1098" s="1">
        <f>[1]Residential!J$239-N1072</f>
        <v>1.2646530017723885</v>
      </c>
      <c r="O1098" s="1">
        <f>[1]Residential!K$239-O1072</f>
        <v>1.2475956117173865</v>
      </c>
      <c r="P1098" s="1">
        <f>[1]Residential!L$239-P1072</f>
        <v>1.2820152385469692</v>
      </c>
      <c r="Q1098" s="1">
        <f>[1]Residential!M$239-Q1072</f>
        <v>1.1796138558634803</v>
      </c>
      <c r="S1098" s="3"/>
    </row>
    <row r="1099" spans="2:19" x14ac:dyDescent="0.5">
      <c r="B1099" s="5" t="str">
        <f t="shared" si="1271"/>
        <v>SPS1</v>
      </c>
      <c r="C1099" s="5" t="str">
        <f t="shared" si="1272"/>
        <v>CH</v>
      </c>
      <c r="D1099" t="s">
        <v>1082</v>
      </c>
      <c r="E1099" t="s">
        <v>8</v>
      </c>
      <c r="F1099" s="1">
        <f>F1100</f>
        <v>0.52047091094435949</v>
      </c>
      <c r="G1099" s="1">
        <f t="shared" ref="G1099:O1099" si="1304">G1100</f>
        <v>0.59724082453570126</v>
      </c>
      <c r="H1099" s="1">
        <f t="shared" si="1304"/>
        <v>0.32748615082824095</v>
      </c>
      <c r="I1099" s="1">
        <f t="shared" si="1304"/>
        <v>0.28900415393853596</v>
      </c>
      <c r="J1099" s="1">
        <f t="shared" si="1304"/>
        <v>0.25718998920099523</v>
      </c>
      <c r="K1099" s="1">
        <f t="shared" si="1304"/>
        <v>0.19129199644488715</v>
      </c>
      <c r="L1099" s="1">
        <f t="shared" si="1304"/>
        <v>0.16622817215610741</v>
      </c>
      <c r="M1099" s="1">
        <f t="shared" si="1304"/>
        <v>0.15816363948827261</v>
      </c>
      <c r="N1099" s="1">
        <f t="shared" si="1304"/>
        <v>0.13082110821864434</v>
      </c>
      <c r="O1099" s="1">
        <f t="shared" si="1304"/>
        <v>0.11935429560021937</v>
      </c>
      <c r="P1099" s="1">
        <f>P1100</f>
        <v>0.11897793234910337</v>
      </c>
      <c r="Q1099" s="1">
        <f>Q1100</f>
        <v>9.3685295423359349E-2</v>
      </c>
      <c r="S1099" s="3"/>
    </row>
    <row r="1100" spans="2:19" x14ac:dyDescent="0.5">
      <c r="B1100" s="5" t="str">
        <f t="shared" si="1271"/>
        <v>SPS1</v>
      </c>
      <c r="C1100" s="5" t="str">
        <f t="shared" si="1272"/>
        <v>CH</v>
      </c>
      <c r="D1100" t="s">
        <v>1083</v>
      </c>
      <c r="E1100" t="s">
        <v>8</v>
      </c>
      <c r="F1100" s="1">
        <f>[1]Residential!B$240-F1074</f>
        <v>0.52047091094435949</v>
      </c>
      <c r="G1100" s="1">
        <f>[1]Residential!C$240-G1074</f>
        <v>0.59724082453570126</v>
      </c>
      <c r="H1100" s="1">
        <f>[1]Residential!D$240-H1074</f>
        <v>0.32748615082824095</v>
      </c>
      <c r="I1100" s="1">
        <f>[1]Residential!E$240-I1074</f>
        <v>0.28900415393853596</v>
      </c>
      <c r="J1100" s="1">
        <f>[1]Residential!F$240-J1074</f>
        <v>0.25718998920099523</v>
      </c>
      <c r="K1100" s="1">
        <f>[1]Residential!G$240-K1074</f>
        <v>0.19129199644488715</v>
      </c>
      <c r="L1100" s="1">
        <f>[1]Residential!H$240-L1074</f>
        <v>0.16622817215610741</v>
      </c>
      <c r="M1100" s="1">
        <f>[1]Residential!I$240-M1074</f>
        <v>0.15816363948827261</v>
      </c>
      <c r="N1100" s="1">
        <f>[1]Residential!J$240-N1074</f>
        <v>0.13082110821864434</v>
      </c>
      <c r="O1100" s="1">
        <f>[1]Residential!K$240-O1074</f>
        <v>0.11935429560021937</v>
      </c>
      <c r="P1100" s="1">
        <f>[1]Residential!L$240-P1074</f>
        <v>0.11897793234910337</v>
      </c>
      <c r="Q1100" s="1">
        <f>[1]Residential!M$240-Q1074</f>
        <v>9.3685295423359349E-2</v>
      </c>
      <c r="S1100" s="3"/>
    </row>
    <row r="1101" spans="2:19" x14ac:dyDescent="0.5">
      <c r="B1101" s="5" t="str">
        <f t="shared" si="1271"/>
        <v>SPS1</v>
      </c>
      <c r="C1101" s="5" t="str">
        <f t="shared" si="1272"/>
        <v>CH</v>
      </c>
      <c r="D1101" t="s">
        <v>1084</v>
      </c>
      <c r="E1101" t="s">
        <v>8</v>
      </c>
      <c r="F1101" s="1">
        <f>F1102</f>
        <v>0.16979270423441095</v>
      </c>
      <c r="G1101" s="1">
        <f t="shared" ref="G1101" si="1305">G1102</f>
        <v>0.19483624855626003</v>
      </c>
      <c r="H1101" s="1">
        <f t="shared" ref="H1101" si="1306">H1102</f>
        <v>0.1289098490451952</v>
      </c>
      <c r="I1101" s="1">
        <f t="shared" ref="I1101" si="1307">I1102</f>
        <v>0.1341951999038824</v>
      </c>
      <c r="J1101" s="1">
        <f t="shared" ref="J1101" si="1308">J1102</f>
        <v>0.13897654384537317</v>
      </c>
      <c r="K1101" s="1">
        <f t="shared" ref="K1101:O1101" si="1309">K1102</f>
        <v>0.14287245444563013</v>
      </c>
      <c r="L1101" s="1">
        <f t="shared" si="1309"/>
        <v>0.14604668740694171</v>
      </c>
      <c r="M1101" s="1">
        <f t="shared" si="1309"/>
        <v>0.14904228734520331</v>
      </c>
      <c r="N1101" s="1">
        <f t="shared" si="1309"/>
        <v>0.15120816315341745</v>
      </c>
      <c r="O1101" s="1">
        <f t="shared" si="1309"/>
        <v>0.1536707450365995</v>
      </c>
      <c r="P1101" s="1">
        <f>P1102</f>
        <v>0.15367923428739161</v>
      </c>
      <c r="Q1101" s="1">
        <f>Q1102</f>
        <v>0.15368044322581031</v>
      </c>
      <c r="S1101" s="3"/>
    </row>
    <row r="1102" spans="2:19" x14ac:dyDescent="0.5">
      <c r="B1102" s="5" t="str">
        <f t="shared" si="1271"/>
        <v>SPS1</v>
      </c>
      <c r="C1102" s="5" t="str">
        <f t="shared" si="1272"/>
        <v>CH</v>
      </c>
      <c r="D1102" t="s">
        <v>1085</v>
      </c>
      <c r="E1102" t="s">
        <v>8</v>
      </c>
      <c r="F1102" s="1">
        <f>[1]Residential!B$241-F1076</f>
        <v>0.16979270423441095</v>
      </c>
      <c r="G1102" s="1">
        <f>[1]Residential!C$241-G1076</f>
        <v>0.19483624855626003</v>
      </c>
      <c r="H1102" s="1">
        <f>[1]Residential!D$241-H1076</f>
        <v>0.1289098490451952</v>
      </c>
      <c r="I1102" s="1">
        <f>[1]Residential!E$241-I1076</f>
        <v>0.1341951999038824</v>
      </c>
      <c r="J1102" s="1">
        <f>[1]Residential!F$241-J1076</f>
        <v>0.13897654384537317</v>
      </c>
      <c r="K1102" s="1">
        <f>[1]Residential!G$241-K1076</f>
        <v>0.14287245444563013</v>
      </c>
      <c r="L1102" s="1">
        <f>[1]Residential!H$241-L1076</f>
        <v>0.14604668740694171</v>
      </c>
      <c r="M1102" s="1">
        <f>[1]Residential!I$241-M1076</f>
        <v>0.14904228734520331</v>
      </c>
      <c r="N1102" s="1">
        <f>[1]Residential!J$241-N1076</f>
        <v>0.15120816315341745</v>
      </c>
      <c r="O1102" s="1">
        <f>[1]Residential!K$241-O1076</f>
        <v>0.1536707450365995</v>
      </c>
      <c r="P1102" s="1">
        <f>[1]Residential!L$241-P1076</f>
        <v>0.15367923428739161</v>
      </c>
      <c r="Q1102" s="1">
        <f>[1]Residential!M$241-Q1076</f>
        <v>0.15368044322581031</v>
      </c>
      <c r="S1102" s="3"/>
    </row>
    <row r="1103" spans="2:19" x14ac:dyDescent="0.5">
      <c r="B1103" s="5" t="str">
        <f t="shared" si="1271"/>
        <v>SPS1</v>
      </c>
      <c r="C1103" s="5" t="str">
        <f t="shared" si="1272"/>
        <v>CH</v>
      </c>
      <c r="D1103" t="s">
        <v>1086</v>
      </c>
      <c r="E1103" t="s">
        <v>8</v>
      </c>
      <c r="F1103" s="1">
        <f>F1104</f>
        <v>1.721488024659851</v>
      </c>
      <c r="G1103" s="1">
        <f t="shared" ref="G1103" si="1310">G1104</f>
        <v>1.9867197124290785</v>
      </c>
      <c r="H1103" s="1">
        <f t="shared" ref="H1103" si="1311">H1104</f>
        <v>1.9480057945382705</v>
      </c>
      <c r="I1103" s="1">
        <f t="shared" ref="I1103" si="1312">I1104</f>
        <v>1.5649460600573508</v>
      </c>
      <c r="J1103" s="1">
        <f t="shared" ref="J1103" si="1313">J1104</f>
        <v>1.2510365156386607</v>
      </c>
      <c r="K1103" s="1">
        <f t="shared" ref="K1103:O1103" si="1314">K1104</f>
        <v>1.0755982338738983</v>
      </c>
      <c r="L1103" s="1">
        <f t="shared" si="1314"/>
        <v>1.0727391177891039</v>
      </c>
      <c r="M1103" s="1">
        <f t="shared" si="1314"/>
        <v>3.063907226099015</v>
      </c>
      <c r="N1103" s="1">
        <f t="shared" si="1314"/>
        <v>3.0638794262070381</v>
      </c>
      <c r="O1103" s="1">
        <f t="shared" si="1314"/>
        <v>3.0639013639780863</v>
      </c>
      <c r="P1103" s="1">
        <f>P1104</f>
        <v>3.0638188907789634</v>
      </c>
      <c r="Q1103" s="1">
        <f>Q1104</f>
        <v>2.7078752372883907</v>
      </c>
      <c r="S1103" s="3"/>
    </row>
    <row r="1104" spans="2:19" x14ac:dyDescent="0.5">
      <c r="B1104" s="5" t="str">
        <f t="shared" si="1271"/>
        <v>SPS1</v>
      </c>
      <c r="C1104" s="5" t="str">
        <f t="shared" si="1272"/>
        <v>CH</v>
      </c>
      <c r="D1104" t="s">
        <v>1087</v>
      </c>
      <c r="E1104" t="s">
        <v>8</v>
      </c>
      <c r="F1104" s="1">
        <f>[1]Residential!B$242-F1078</f>
        <v>1.721488024659851</v>
      </c>
      <c r="G1104" s="1">
        <f>[1]Residential!C$242-G1078</f>
        <v>1.9867197124290785</v>
      </c>
      <c r="H1104" s="1">
        <f>[1]Residential!D$242-H1078</f>
        <v>1.9480057945382705</v>
      </c>
      <c r="I1104" s="1">
        <f>[1]Residential!E$242-I1078</f>
        <v>1.5649460600573508</v>
      </c>
      <c r="J1104" s="1">
        <f>[1]Residential!F$242-J1078</f>
        <v>1.2510365156386607</v>
      </c>
      <c r="K1104" s="1">
        <f>[1]Residential!G$242-K1078</f>
        <v>1.0755982338738983</v>
      </c>
      <c r="L1104" s="1">
        <f>[1]Residential!H$242-L1078</f>
        <v>1.0727391177891039</v>
      </c>
      <c r="M1104" s="1">
        <f>[1]Residential!I$242-M1078</f>
        <v>3.063907226099015</v>
      </c>
      <c r="N1104" s="1">
        <f>[1]Residential!J$242-N1078</f>
        <v>3.0638794262070381</v>
      </c>
      <c r="O1104" s="1">
        <f>[1]Residential!K$242-O1078</f>
        <v>3.0639013639780863</v>
      </c>
      <c r="P1104" s="1">
        <f>[1]Residential!L$242-P1078</f>
        <v>3.0638188907789634</v>
      </c>
      <c r="Q1104" s="1">
        <f>[1]Residential!M$242-Q1078</f>
        <v>2.7078752372883907</v>
      </c>
      <c r="S1104" s="3"/>
    </row>
    <row r="1105" spans="2:19" x14ac:dyDescent="0.5">
      <c r="B1105" s="5" t="str">
        <f t="shared" si="1271"/>
        <v>SPS1</v>
      </c>
      <c r="C1105" s="5" t="str">
        <f t="shared" si="1272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315">G1106</f>
        <v>0</v>
      </c>
      <c r="H1105" s="1">
        <f t="shared" ref="H1105" si="1316">H1106</f>
        <v>0</v>
      </c>
      <c r="I1105" s="1">
        <f t="shared" ref="I1105" si="1317">I1106</f>
        <v>0</v>
      </c>
      <c r="J1105" s="1">
        <f t="shared" ref="J1105" si="1318">J1106</f>
        <v>0</v>
      </c>
      <c r="K1105" s="1">
        <f t="shared" ref="K1105:O1105" si="1319">K1106</f>
        <v>0</v>
      </c>
      <c r="L1105" s="1">
        <f t="shared" si="1319"/>
        <v>0</v>
      </c>
      <c r="M1105" s="1">
        <f t="shared" si="1319"/>
        <v>0</v>
      </c>
      <c r="N1105" s="1">
        <f t="shared" si="1319"/>
        <v>0</v>
      </c>
      <c r="O1105" s="1">
        <f t="shared" si="1319"/>
        <v>0</v>
      </c>
      <c r="P1105" s="1">
        <f>P1106</f>
        <v>0</v>
      </c>
      <c r="Q1105" s="1">
        <f>Q1106</f>
        <v>0</v>
      </c>
      <c r="S1105" s="3"/>
    </row>
    <row r="1106" spans="2:19" x14ac:dyDescent="0.5">
      <c r="B1106" s="5" t="str">
        <f t="shared" si="1271"/>
        <v>SPS1</v>
      </c>
      <c r="C1106" s="5" t="str">
        <f t="shared" si="1272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[1]Residential!F$243-J1080</f>
        <v>0</v>
      </c>
      <c r="K1106" s="1">
        <f>[1]Residential!G$243-K1080</f>
        <v>0</v>
      </c>
      <c r="L1106" s="1">
        <f>[1]Residential!H$243-L1080</f>
        <v>0</v>
      </c>
      <c r="M1106" s="1">
        <f>[1]Residential!I$243-M1080</f>
        <v>0</v>
      </c>
      <c r="N1106" s="1">
        <f>[1]Residential!J$243-N1080</f>
        <v>0</v>
      </c>
      <c r="O1106" s="1">
        <f>[1]Residential!K$243-O1080</f>
        <v>0</v>
      </c>
      <c r="P1106" s="1">
        <f>[1]Residential!L$243-P1080</f>
        <v>0</v>
      </c>
      <c r="Q1106" s="1">
        <f>[1]Residential!M$243-Q1080</f>
        <v>0</v>
      </c>
      <c r="S1106" s="3"/>
    </row>
    <row r="1107" spans="2:19" x14ac:dyDescent="0.5">
      <c r="B1107" s="5" t="str">
        <f t="shared" si="1271"/>
        <v>SPS1</v>
      </c>
      <c r="C1107" s="5" t="str">
        <f t="shared" si="1272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[1]Residential!F$244-J1081</f>
        <v>0</v>
      </c>
      <c r="K1107" s="1">
        <f>[1]Residential!G$244-K1081</f>
        <v>0</v>
      </c>
      <c r="L1107" s="1">
        <f>[1]Residential!H$244-L1081</f>
        <v>0</v>
      </c>
      <c r="M1107" s="1">
        <f>[1]Residential!I$244-M1081</f>
        <v>0</v>
      </c>
      <c r="N1107" s="1">
        <f>[1]Residential!J$244-N1081</f>
        <v>0</v>
      </c>
      <c r="O1107" s="1">
        <f>[1]Residential!K$244-O1081</f>
        <v>0</v>
      </c>
      <c r="P1107" s="1">
        <f>[1]Residential!L$244-P1081</f>
        <v>0</v>
      </c>
      <c r="Q1107" s="1">
        <f>[1]Residential!M$244-Q1081</f>
        <v>0</v>
      </c>
      <c r="S1107" s="3"/>
    </row>
    <row r="1108" spans="2:19" x14ac:dyDescent="0.5">
      <c r="B1108" s="5" t="str">
        <f t="shared" ref="B1108:B1135" si="1320">B1107</f>
        <v>SPS1</v>
      </c>
      <c r="C1108" s="5" t="str">
        <f t="shared" ref="C1108:C1135" si="1321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M1108" t="s">
        <v>292</v>
      </c>
      <c r="N1108" t="s">
        <v>292</v>
      </c>
      <c r="O1108" t="s">
        <v>292</v>
      </c>
      <c r="P1108" t="s">
        <v>292</v>
      </c>
      <c r="Q1108" t="s">
        <v>292</v>
      </c>
      <c r="S1108" s="3"/>
    </row>
    <row r="1109" spans="2:19" x14ac:dyDescent="0.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0.95</v>
      </c>
      <c r="G1109" s="4">
        <f t="shared" ref="G1109:K1110" si="1322">IFERROR(G1058/G975,"-")</f>
        <v>0.94999999999999984</v>
      </c>
      <c r="H1109" s="4">
        <f t="shared" si="1322"/>
        <v>0.95000000000000007</v>
      </c>
      <c r="I1109" s="4">
        <f t="shared" si="1322"/>
        <v>0.9499999999999994</v>
      </c>
      <c r="J1109" s="4">
        <f t="shared" si="1322"/>
        <v>0.95</v>
      </c>
      <c r="K1109" s="4">
        <f t="shared" si="1322"/>
        <v>0.94999999999999984</v>
      </c>
      <c r="L1109" s="4">
        <f t="shared" ref="L1109:O1109" si="1323">IFERROR(L1058/L975,"-")</f>
        <v>0.95000000000000007</v>
      </c>
      <c r="M1109" s="4">
        <f t="shared" si="1323"/>
        <v>0.95000000000000007</v>
      </c>
      <c r="N1109" s="4">
        <f t="shared" si="1323"/>
        <v>0.95000000000000062</v>
      </c>
      <c r="O1109" s="4">
        <f t="shared" si="1323"/>
        <v>0.95000000000000007</v>
      </c>
      <c r="P1109" s="4">
        <f>IFERROR(P1058/P975,"-")</f>
        <v>0.94999999999999962</v>
      </c>
      <c r="Q1109" s="4">
        <f>IFERROR(Q1058/Q975,"-")</f>
        <v>0.94999999999999885</v>
      </c>
      <c r="S1109" s="3"/>
    </row>
    <row r="1110" spans="2:19" x14ac:dyDescent="0.5">
      <c r="B1110" s="5" t="str">
        <f t="shared" si="1320"/>
        <v>SPS1</v>
      </c>
      <c r="C1110" s="5" t="str">
        <f t="shared" si="1321"/>
        <v>CH</v>
      </c>
      <c r="D1110" t="s">
        <v>1122</v>
      </c>
      <c r="E1110" t="s">
        <v>240</v>
      </c>
      <c r="F1110" s="4">
        <f>IFERROR(F1059/F976,"-")</f>
        <v>3.2000000129279687</v>
      </c>
      <c r="G1110" s="4">
        <f t="shared" si="1322"/>
        <v>3.2533333508941085</v>
      </c>
      <c r="H1110" s="4">
        <f t="shared" si="1322"/>
        <v>3.3333333333333357</v>
      </c>
      <c r="I1110" s="4">
        <f t="shared" si="1322"/>
        <v>3.4666666666666699</v>
      </c>
      <c r="J1110" s="4">
        <f t="shared" si="1322"/>
        <v>3.5833333333333335</v>
      </c>
      <c r="K1110" s="4">
        <f t="shared" si="1322"/>
        <v>3.7000000000000024</v>
      </c>
      <c r="L1110" s="4">
        <f t="shared" ref="L1110:O1110" si="1324">IFERROR(L1059/L976,"-")</f>
        <v>3.7999999999999994</v>
      </c>
      <c r="M1110" s="4">
        <f t="shared" si="1324"/>
        <v>3.8999999999999986</v>
      </c>
      <c r="N1110" s="4">
        <f t="shared" si="1324"/>
        <v>3.9</v>
      </c>
      <c r="O1110" s="4">
        <f t="shared" si="1324"/>
        <v>3.9000000000000008</v>
      </c>
      <c r="P1110" s="4">
        <f>IFERROR(P1059/P976,"-")</f>
        <v>3.8999999999999995</v>
      </c>
      <c r="Q1110" s="4">
        <f>IFERROR(Q1059/Q976,"-")</f>
        <v>3.899999999999999</v>
      </c>
      <c r="S1110" s="3"/>
    </row>
    <row r="1111" spans="2:19" x14ac:dyDescent="0.5">
      <c r="B1111" s="5" t="str">
        <f t="shared" si="1320"/>
        <v>SPS1</v>
      </c>
      <c r="C1111" s="5" t="str">
        <f t="shared" si="1321"/>
        <v>CH</v>
      </c>
      <c r="D1111" t="s">
        <v>1092</v>
      </c>
      <c r="E1111" t="s">
        <v>240</v>
      </c>
      <c r="F1111" s="4">
        <f>IFERROR(F1061/F985,"-")</f>
        <v>0.89583333333333348</v>
      </c>
      <c r="G1111" s="4">
        <f t="shared" ref="G1111:K1111" si="1325">IFERROR(G1061/G985,"-")</f>
        <v>0.89583333333333393</v>
      </c>
      <c r="H1111" s="4">
        <f t="shared" si="1325"/>
        <v>0.89583333333333381</v>
      </c>
      <c r="I1111" s="4">
        <f t="shared" si="1325"/>
        <v>0.89583333333333492</v>
      </c>
      <c r="J1111" s="4">
        <f t="shared" si="1325"/>
        <v>0.89583333333333481</v>
      </c>
      <c r="K1111" s="4">
        <f t="shared" si="1325"/>
        <v>0.89583333333333348</v>
      </c>
      <c r="L1111" s="4">
        <f t="shared" ref="L1111:O1111" si="1326">IFERROR(L1061/L985,"-")</f>
        <v>0.89583333333333448</v>
      </c>
      <c r="M1111" s="4">
        <f t="shared" si="1326"/>
        <v>0.8958333333333337</v>
      </c>
      <c r="N1111" s="4">
        <f t="shared" si="1326"/>
        <v>0.89583333333333381</v>
      </c>
      <c r="O1111" s="4">
        <f t="shared" si="1326"/>
        <v>0.89583333333333426</v>
      </c>
      <c r="P1111" s="4">
        <f>IFERROR(P1061/P985,"-")</f>
        <v>0.89583333333333437</v>
      </c>
      <c r="Q1111" s="4">
        <f>IFERROR(Q1061/Q985,"-")</f>
        <v>0.89583333333333337</v>
      </c>
      <c r="S1111" s="3"/>
    </row>
    <row r="1112" spans="2:19" x14ac:dyDescent="0.5">
      <c r="B1112" s="5" t="str">
        <f t="shared" si="1320"/>
        <v>SPS1</v>
      </c>
      <c r="C1112" s="5" t="str">
        <f t="shared" si="1321"/>
        <v>CH</v>
      </c>
      <c r="D1112" t="s">
        <v>1093</v>
      </c>
      <c r="E1112" t="s">
        <v>240</v>
      </c>
      <c r="F1112" s="4">
        <f>IFERROR(F1063/F998,"-")</f>
        <v>0.95000000000000051</v>
      </c>
      <c r="G1112" s="4">
        <f t="shared" ref="G1112:K1112" si="1327">IFERROR(G1063/G998,"-")</f>
        <v>0.95</v>
      </c>
      <c r="H1112" s="4">
        <f t="shared" si="1327"/>
        <v>0.94999999999999951</v>
      </c>
      <c r="I1112" s="4">
        <f t="shared" si="1327"/>
        <v>0.9500000000000004</v>
      </c>
      <c r="J1112" s="4">
        <f t="shared" si="1327"/>
        <v>0.94999999999999973</v>
      </c>
      <c r="K1112" s="4">
        <f t="shared" si="1327"/>
        <v>0.9500000000000004</v>
      </c>
      <c r="L1112" s="4">
        <f t="shared" ref="L1112:O1112" si="1328">IFERROR(L1063/L998,"-")</f>
        <v>0.95000000000000029</v>
      </c>
      <c r="M1112" s="4">
        <f t="shared" si="1328"/>
        <v>0.95000000000000007</v>
      </c>
      <c r="N1112" s="4">
        <f t="shared" si="1328"/>
        <v>0.94999999999999929</v>
      </c>
      <c r="O1112" s="4">
        <f t="shared" si="1328"/>
        <v>0.9500000000000004</v>
      </c>
      <c r="P1112" s="4">
        <f>IFERROR(P1063/P998,"-")</f>
        <v>0.95000000000000029</v>
      </c>
      <c r="Q1112" s="4">
        <f>IFERROR(Q1063/Q998,"-")</f>
        <v>0.94999999999999929</v>
      </c>
      <c r="S1112" s="3"/>
    </row>
    <row r="1113" spans="2:19" x14ac:dyDescent="0.5">
      <c r="B1113" s="5" t="str">
        <f t="shared" si="1320"/>
        <v>SPS1</v>
      </c>
      <c r="C1113" s="5" t="str">
        <f t="shared" si="1321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329">IFERROR(G1064/G999,"-")</f>
        <v>-</v>
      </c>
      <c r="H1113" s="4">
        <f t="shared" si="1329"/>
        <v>1.9999999999999998</v>
      </c>
      <c r="I1113" s="4">
        <f t="shared" si="1329"/>
        <v>2.0799999999999996</v>
      </c>
      <c r="J1113" s="4">
        <f t="shared" si="1329"/>
        <v>2.1500000000000004</v>
      </c>
      <c r="K1113" s="4">
        <f t="shared" si="1329"/>
        <v>2.2199999999999989</v>
      </c>
      <c r="L1113" s="4">
        <f t="shared" ref="L1113:O1113" si="1330">IFERROR(L1064/L999,"-")</f>
        <v>2.280000000000002</v>
      </c>
      <c r="M1113" s="4">
        <f t="shared" si="1330"/>
        <v>2.339999999999999</v>
      </c>
      <c r="N1113" s="4">
        <f t="shared" si="1330"/>
        <v>2.3400000000000007</v>
      </c>
      <c r="O1113" s="4">
        <f t="shared" si="1330"/>
        <v>2.3400000000000003</v>
      </c>
      <c r="P1113" s="4">
        <f>IFERROR(P1064/P999,"-")</f>
        <v>2.3399999999999981</v>
      </c>
      <c r="Q1113" s="4">
        <f>IFERROR(Q1064/Q999,"-")</f>
        <v>2.3400000000000021</v>
      </c>
      <c r="S1113" s="3"/>
    </row>
    <row r="1114" spans="2:19" x14ac:dyDescent="0.5">
      <c r="B1114" s="5" t="str">
        <f t="shared" si="1320"/>
        <v>SPS1</v>
      </c>
      <c r="C1114" s="5" t="str">
        <f t="shared" si="1321"/>
        <v>CH</v>
      </c>
      <c r="D1114" t="s">
        <v>1095</v>
      </c>
      <c r="E1114" t="s">
        <v>240</v>
      </c>
      <c r="F1114" s="4">
        <f>IFERROR(F1066/F1017,"-")</f>
        <v>0.7200000000000002</v>
      </c>
      <c r="G1114" s="4">
        <f t="shared" ref="G1114:K1114" si="1331">IFERROR(G1066/G1017,"-")</f>
        <v>0.72000000000000008</v>
      </c>
      <c r="H1114" s="4">
        <f t="shared" si="1331"/>
        <v>0.7200000000000002</v>
      </c>
      <c r="I1114" s="4">
        <f t="shared" si="1331"/>
        <v>0.72000000000000042</v>
      </c>
      <c r="J1114" s="4">
        <f t="shared" si="1331"/>
        <v>0.72000000000000064</v>
      </c>
      <c r="K1114" s="4" t="str">
        <f t="shared" si="1331"/>
        <v>-</v>
      </c>
      <c r="L1114" s="4" t="str">
        <f t="shared" ref="L1114:O1114" si="1332">IFERROR(L1066/L1017,"-")</f>
        <v>-</v>
      </c>
      <c r="M1114" s="4" t="str">
        <f t="shared" si="1332"/>
        <v>-</v>
      </c>
      <c r="N1114" s="4" t="str">
        <f t="shared" si="1332"/>
        <v>-</v>
      </c>
      <c r="O1114" s="4" t="str">
        <f t="shared" si="1332"/>
        <v>-</v>
      </c>
      <c r="P1114" s="4" t="str">
        <f>IFERROR(P1066/P1017,"-")</f>
        <v>-</v>
      </c>
      <c r="Q1114" s="4" t="str">
        <f>IFERROR(Q1066/Q1017,"-")</f>
        <v>-</v>
      </c>
      <c r="S1114" s="3"/>
    </row>
    <row r="1115" spans="2:19" x14ac:dyDescent="0.5">
      <c r="B1115" s="5" t="str">
        <f t="shared" si="1320"/>
        <v>SPS1</v>
      </c>
      <c r="C1115" s="5" t="str">
        <f t="shared" si="1321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M1115" s="4">
        <v>0.99</v>
      </c>
      <c r="N1115" s="4">
        <v>0.99</v>
      </c>
      <c r="O1115" s="4">
        <v>0.99</v>
      </c>
      <c r="P1115" s="4">
        <v>0.99</v>
      </c>
      <c r="Q1115" s="4">
        <v>0.99</v>
      </c>
      <c r="S1115" s="3"/>
    </row>
    <row r="1116" spans="2:19" x14ac:dyDescent="0.5">
      <c r="B1116" s="5" t="str">
        <f t="shared" si="1320"/>
        <v>SPS1</v>
      </c>
      <c r="C1116" s="5" t="str">
        <f t="shared" si="1321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M1116" s="4">
        <v>0.99</v>
      </c>
      <c r="N1116" s="4">
        <v>0.99</v>
      </c>
      <c r="O1116" s="4">
        <v>0.99</v>
      </c>
      <c r="P1116" s="4">
        <v>0.99</v>
      </c>
      <c r="Q1116" s="4">
        <v>0.99</v>
      </c>
      <c r="S1116" s="3"/>
    </row>
    <row r="1117" spans="2:19" x14ac:dyDescent="0.5">
      <c r="B1117" s="5" t="str">
        <f t="shared" si="1320"/>
        <v>SPS1</v>
      </c>
      <c r="C1117" s="5" t="str">
        <f t="shared" si="1321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M1117" s="4">
        <v>0.99</v>
      </c>
      <c r="N1117" s="4">
        <v>0.99</v>
      </c>
      <c r="O1117" s="4">
        <v>0.99</v>
      </c>
      <c r="P1117" s="4">
        <v>0.99</v>
      </c>
      <c r="Q1117" s="4">
        <v>0.99</v>
      </c>
      <c r="S1117" s="3"/>
    </row>
    <row r="1118" spans="2:19" x14ac:dyDescent="0.5">
      <c r="B1118" s="5" t="str">
        <f t="shared" si="1320"/>
        <v>SPS1</v>
      </c>
      <c r="C1118" s="5" t="str">
        <f t="shared" si="1321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M1118" s="4">
        <v>0.99</v>
      </c>
      <c r="N1118" s="4">
        <v>0.99</v>
      </c>
      <c r="O1118" s="4">
        <v>0.99</v>
      </c>
      <c r="P1118" s="4">
        <v>0.99</v>
      </c>
      <c r="Q1118" s="4">
        <v>0.99</v>
      </c>
      <c r="S1118" s="3"/>
    </row>
    <row r="1119" spans="2:19" x14ac:dyDescent="0.5">
      <c r="B1119" s="5" t="str">
        <f t="shared" si="1320"/>
        <v>SPS1</v>
      </c>
      <c r="C1119" s="5" t="str">
        <f t="shared" si="1321"/>
        <v>CH</v>
      </c>
      <c r="D1119" t="s">
        <v>1100</v>
      </c>
      <c r="E1119" t="s">
        <v>240</v>
      </c>
      <c r="F1119" s="4">
        <f>IFERROR(F1074/F1022,"-")</f>
        <v>0.72000000000000008</v>
      </c>
      <c r="G1119" s="4">
        <f t="shared" ref="G1119:K1119" si="1333">IFERROR(G1074/G1022,"-")</f>
        <v>0.72000000000000086</v>
      </c>
      <c r="H1119" s="4">
        <f t="shared" si="1333"/>
        <v>0.72</v>
      </c>
      <c r="I1119" s="4">
        <f t="shared" si="1333"/>
        <v>0.71999999999999964</v>
      </c>
      <c r="J1119" s="4">
        <f t="shared" si="1333"/>
        <v>0.71999999999999953</v>
      </c>
      <c r="K1119" s="4">
        <f t="shared" si="1333"/>
        <v>0.72000000000000053</v>
      </c>
      <c r="L1119" s="4">
        <f t="shared" ref="L1119:O1119" si="1334">IFERROR(L1074/L1022,"-")</f>
        <v>0.71999999999999986</v>
      </c>
      <c r="M1119" s="4">
        <f t="shared" si="1334"/>
        <v>0.72000000000000031</v>
      </c>
      <c r="N1119" s="4">
        <f t="shared" si="1334"/>
        <v>0.71999999999999986</v>
      </c>
      <c r="O1119" s="4">
        <f t="shared" si="1334"/>
        <v>0.71999999999999975</v>
      </c>
      <c r="P1119" s="4">
        <f>IFERROR(P1074/P1022,"-")</f>
        <v>0.72000000000000031</v>
      </c>
      <c r="Q1119" s="4">
        <f>IFERROR(Q1074/Q1022,"-")</f>
        <v>0.71999999999999975</v>
      </c>
      <c r="S1119" s="3"/>
    </row>
    <row r="1120" spans="2:19" x14ac:dyDescent="0.5">
      <c r="B1120" s="5" t="str">
        <f t="shared" si="1320"/>
        <v>SPS1</v>
      </c>
      <c r="C1120" s="5" t="str">
        <f t="shared" si="1321"/>
        <v>CH</v>
      </c>
      <c r="D1120" t="s">
        <v>1101</v>
      </c>
      <c r="E1120" t="s">
        <v>240</v>
      </c>
      <c r="F1120" s="4">
        <f>IFERROR(F1076/F1027,"-")</f>
        <v>0.89999999999999969</v>
      </c>
      <c r="G1120" s="4">
        <f t="shared" ref="G1120:K1120" si="1335">IFERROR(G1076/G1027,"-")</f>
        <v>0.90000000000000058</v>
      </c>
      <c r="H1120" s="4">
        <f t="shared" si="1335"/>
        <v>0.90000000000000058</v>
      </c>
      <c r="I1120" s="4">
        <f t="shared" si="1335"/>
        <v>0.9</v>
      </c>
      <c r="J1120" s="4">
        <f t="shared" si="1335"/>
        <v>0.90000000000000058</v>
      </c>
      <c r="K1120" s="4">
        <f t="shared" si="1335"/>
        <v>0.89999999999999925</v>
      </c>
      <c r="L1120" s="4">
        <f t="shared" ref="L1120:O1120" si="1336">IFERROR(L1076/L1027,"-")</f>
        <v>0.90000000000000013</v>
      </c>
      <c r="M1120" s="4">
        <f t="shared" si="1336"/>
        <v>0.90000000000000047</v>
      </c>
      <c r="N1120" s="4">
        <f t="shared" si="1336"/>
        <v>0.89999999999999969</v>
      </c>
      <c r="O1120" s="4">
        <f t="shared" si="1336"/>
        <v>0.90000000000000036</v>
      </c>
      <c r="P1120" s="4">
        <f>IFERROR(P1076/P1027,"-")</f>
        <v>0.89999999999999958</v>
      </c>
      <c r="Q1120" s="4">
        <f>IFERROR(Q1076/Q1027,"-")</f>
        <v>0.90000000000000013</v>
      </c>
      <c r="S1120" s="3"/>
    </row>
    <row r="1121" spans="2:19" x14ac:dyDescent="0.5">
      <c r="B1121" s="5" t="str">
        <f t="shared" si="1320"/>
        <v>SPS1</v>
      </c>
      <c r="C1121" s="5" t="str">
        <f t="shared" si="1321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M1121" s="4">
        <v>1</v>
      </c>
      <c r="N1121" s="4">
        <v>1</v>
      </c>
      <c r="O1121" s="4">
        <v>1</v>
      </c>
      <c r="P1121" s="4">
        <v>1</v>
      </c>
      <c r="Q1121" s="4">
        <v>1</v>
      </c>
      <c r="S1121" s="3"/>
    </row>
    <row r="1122" spans="2:19" x14ac:dyDescent="0.5">
      <c r="B1122" s="5" t="str">
        <f t="shared" si="1320"/>
        <v>SPS1</v>
      </c>
      <c r="C1122" s="5" t="str">
        <f t="shared" si="1321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337">IFERROR(G1080/G1039,"-")</f>
        <v>-</v>
      </c>
      <c r="H1122" s="4" t="str">
        <f t="shared" si="1337"/>
        <v>-</v>
      </c>
      <c r="I1122" s="4" t="str">
        <f t="shared" si="1337"/>
        <v>-</v>
      </c>
      <c r="J1122" s="4" t="str">
        <f t="shared" si="1337"/>
        <v>-</v>
      </c>
      <c r="K1122" s="4" t="str">
        <f t="shared" si="1337"/>
        <v>-</v>
      </c>
      <c r="L1122" s="4" t="str">
        <f t="shared" ref="L1122:O1122" si="1338">IFERROR(L1080/L1039,"-")</f>
        <v>-</v>
      </c>
      <c r="M1122" s="4" t="str">
        <f t="shared" si="1338"/>
        <v>-</v>
      </c>
      <c r="N1122" s="4" t="str">
        <f t="shared" si="1338"/>
        <v>-</v>
      </c>
      <c r="O1122" s="4" t="str">
        <f t="shared" si="1338"/>
        <v>-</v>
      </c>
      <c r="P1122" s="4" t="str">
        <f>IFERROR(P1080/P1039,"-")</f>
        <v>-</v>
      </c>
      <c r="Q1122" s="4" t="str">
        <f>IFERROR(Q1080/Q1039,"-")</f>
        <v>-</v>
      </c>
      <c r="S1122" s="3"/>
    </row>
    <row r="1123" spans="2:19" x14ac:dyDescent="0.5">
      <c r="B1123" s="5" t="str">
        <f t="shared" si="1320"/>
        <v>SPS1</v>
      </c>
      <c r="C1123" s="5" t="str">
        <f t="shared" si="1321"/>
        <v>CH</v>
      </c>
      <c r="D1123" t="s">
        <v>1123</v>
      </c>
      <c r="E1123" t="s">
        <v>240</v>
      </c>
      <c r="F1123" s="4">
        <f>IFERROR(F1084/F978,"-")</f>
        <v>0.79000000000000037</v>
      </c>
      <c r="G1123" s="4">
        <f t="shared" ref="G1123:K1124" si="1339">IFERROR(G1084/G978,"-")</f>
        <v>0.79200000000000004</v>
      </c>
      <c r="H1123" s="4">
        <f t="shared" si="1339"/>
        <v>0.79499999999999971</v>
      </c>
      <c r="I1123" s="4">
        <f t="shared" si="1339"/>
        <v>0.79999999999999927</v>
      </c>
      <c r="J1123" s="4">
        <f t="shared" si="1339"/>
        <v>0.80499999999999883</v>
      </c>
      <c r="K1123" s="4">
        <f t="shared" si="1339"/>
        <v>0.80999999999999983</v>
      </c>
      <c r="L1123" s="4">
        <f t="shared" ref="L1123:O1123" si="1340">IFERROR(L1084/L978,"-")</f>
        <v>0.81500000000000028</v>
      </c>
      <c r="M1123" s="4">
        <f t="shared" si="1340"/>
        <v>0.82000000000000051</v>
      </c>
      <c r="N1123" s="4">
        <f t="shared" si="1340"/>
        <v>0.82000000000000084</v>
      </c>
      <c r="O1123" s="4">
        <f t="shared" si="1340"/>
        <v>0.81999999999999917</v>
      </c>
      <c r="P1123" s="4">
        <f>IFERROR(P1084/P978,"-")</f>
        <v>0.81999999999999906</v>
      </c>
      <c r="Q1123" s="4">
        <f>IFERROR(Q1084/Q978,"-")</f>
        <v>0.82000000000000017</v>
      </c>
      <c r="S1123" s="3"/>
    </row>
    <row r="1124" spans="2:19" x14ac:dyDescent="0.5">
      <c r="B1124" s="5" t="str">
        <f t="shared" si="1320"/>
        <v>SPS1</v>
      </c>
      <c r="C1124" s="5" t="str">
        <f t="shared" si="1321"/>
        <v>CH</v>
      </c>
      <c r="D1124" t="s">
        <v>1124</v>
      </c>
      <c r="E1124" t="s">
        <v>240</v>
      </c>
      <c r="F1124" s="4">
        <f>IFERROR(F1085/F979,"-")</f>
        <v>2.8199999999999981</v>
      </c>
      <c r="G1124" s="4">
        <f t="shared" si="1339"/>
        <v>2.8259999999999978</v>
      </c>
      <c r="H1124" s="4">
        <f t="shared" si="1339"/>
        <v>2.835000000000004</v>
      </c>
      <c r="I1124" s="4">
        <f t="shared" si="1339"/>
        <v>2.8500000000000005</v>
      </c>
      <c r="J1124" s="4">
        <f t="shared" si="1339"/>
        <v>2.9300000000000019</v>
      </c>
      <c r="K1124" s="4">
        <f t="shared" si="1339"/>
        <v>3.0100000000000002</v>
      </c>
      <c r="L1124" s="4">
        <f t="shared" ref="L1124:O1124" si="1341">IFERROR(L1085/L979,"-")</f>
        <v>3.0650000000000035</v>
      </c>
      <c r="M1124" s="4">
        <f t="shared" si="1341"/>
        <v>3.1200000000000019</v>
      </c>
      <c r="N1124" s="4">
        <f t="shared" si="1341"/>
        <v>3.1200000000000023</v>
      </c>
      <c r="O1124" s="4">
        <f t="shared" si="1341"/>
        <v>3.1200000000000006</v>
      </c>
      <c r="P1124" s="4">
        <f>IFERROR(P1085/P979,"-")</f>
        <v>3.1199999999999992</v>
      </c>
      <c r="Q1124" s="4">
        <f>IFERROR(Q1085/Q979,"-")</f>
        <v>3.1200000000000014</v>
      </c>
      <c r="S1124" s="3"/>
    </row>
    <row r="1125" spans="2:19" x14ac:dyDescent="0.5">
      <c r="B1125" s="5" t="str">
        <f t="shared" si="1320"/>
        <v>SPS1</v>
      </c>
      <c r="C1125" s="5" t="str">
        <f t="shared" si="1321"/>
        <v>CH</v>
      </c>
      <c r="D1125" t="s">
        <v>1104</v>
      </c>
      <c r="E1125" t="s">
        <v>240</v>
      </c>
      <c r="F1125" s="4">
        <f>IFERROR(F1087/F991,"-")</f>
        <v>0.70833333333333448</v>
      </c>
      <c r="G1125" s="4">
        <f t="shared" ref="G1125:K1125" si="1342">IFERROR(G1087/G991,"-")</f>
        <v>0.71458333333333313</v>
      </c>
      <c r="H1125" s="4">
        <f t="shared" si="1342"/>
        <v>0.72395833333333315</v>
      </c>
      <c r="I1125" s="4">
        <f t="shared" si="1342"/>
        <v>0.73958333333333326</v>
      </c>
      <c r="J1125" s="4">
        <f t="shared" si="1342"/>
        <v>0.74739583333333393</v>
      </c>
      <c r="K1125" s="4">
        <f t="shared" si="1342"/>
        <v>0.75520833333459614</v>
      </c>
      <c r="L1125" s="4">
        <f t="shared" ref="L1125:O1125" si="1343">IFERROR(L1087/L991,"-")</f>
        <v>0.75520833333247051</v>
      </c>
      <c r="M1125" s="4">
        <f t="shared" si="1343"/>
        <v>0.75520833333667581</v>
      </c>
      <c r="N1125" s="4">
        <f t="shared" si="1343"/>
        <v>0.75520833333065418</v>
      </c>
      <c r="O1125" s="4">
        <f t="shared" si="1343"/>
        <v>0.75520833333224324</v>
      </c>
      <c r="P1125" s="4">
        <f>IFERROR(P1087/P991,"-")</f>
        <v>0.755208333334078</v>
      </c>
      <c r="Q1125" s="4">
        <f>IFERROR(Q1087/Q991,"-")</f>
        <v>0.75520833333338067</v>
      </c>
      <c r="S1125" s="3"/>
    </row>
    <row r="1126" spans="2:19" x14ac:dyDescent="0.5">
      <c r="B1126" s="5" t="str">
        <f t="shared" si="1320"/>
        <v>SPS1</v>
      </c>
      <c r="C1126" s="5" t="str">
        <f t="shared" si="1321"/>
        <v>CH</v>
      </c>
      <c r="D1126" t="s">
        <v>1105</v>
      </c>
      <c r="E1126" t="s">
        <v>240</v>
      </c>
      <c r="F1126" s="4">
        <f>IFERROR(F1089/F1007,"-")</f>
        <v>0.75000000000000089</v>
      </c>
      <c r="G1126" s="4">
        <f t="shared" ref="G1126:K1126" si="1344">IFERROR(G1089/G1007,"-")</f>
        <v>0.75400000000000023</v>
      </c>
      <c r="H1126" s="4">
        <f t="shared" si="1344"/>
        <v>0.7599999999999999</v>
      </c>
      <c r="I1126" s="4">
        <f t="shared" si="1344"/>
        <v>0.77002915334273836</v>
      </c>
      <c r="J1126" s="4">
        <f t="shared" si="1344"/>
        <v>0.78365655233729914</v>
      </c>
      <c r="K1126" s="4">
        <f t="shared" si="1344"/>
        <v>0.81438870631717619</v>
      </c>
      <c r="L1126" s="4">
        <f t="shared" ref="L1126:O1126" si="1345">IFERROR(L1089/L1007,"-")</f>
        <v>0.85005930366300753</v>
      </c>
      <c r="M1126" s="4">
        <f t="shared" si="1345"/>
        <v>1.2538926145757787</v>
      </c>
      <c r="N1126" s="4">
        <f t="shared" si="1345"/>
        <v>1.245095826168821</v>
      </c>
      <c r="O1126" s="4">
        <f t="shared" si="1345"/>
        <v>1.2967357815342386</v>
      </c>
      <c r="P1126" s="4">
        <f>IFERROR(P1089/P1007,"-")</f>
        <v>0.92314891901062324</v>
      </c>
      <c r="Q1126" s="4">
        <f>IFERROR(Q1089/Q1007,"-")</f>
        <v>0.94438761971943597</v>
      </c>
      <c r="S1126" s="3"/>
    </row>
    <row r="1127" spans="2:19" x14ac:dyDescent="0.5">
      <c r="B1127" s="5" t="str">
        <f t="shared" si="1320"/>
        <v>SPS1</v>
      </c>
      <c r="C1127" s="5" t="str">
        <f t="shared" si="1321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346">IFERROR(G1090/G1008,"-")</f>
        <v>-</v>
      </c>
      <c r="H1127" s="4">
        <f t="shared" si="1346"/>
        <v>1.701000000000001</v>
      </c>
      <c r="I1127" s="4">
        <f t="shared" si="1346"/>
        <v>1.71</v>
      </c>
      <c r="J1127" s="4">
        <f t="shared" si="1346"/>
        <v>1.7579999999999991</v>
      </c>
      <c r="K1127" s="4">
        <f t="shared" si="1346"/>
        <v>1.8060000000000007</v>
      </c>
      <c r="L1127" s="4">
        <f t="shared" ref="L1127:O1127" si="1347">IFERROR(L1090/L1008,"-")</f>
        <v>1.8390000000000004</v>
      </c>
      <c r="M1127" s="4">
        <f t="shared" si="1347"/>
        <v>1.8719999999999983</v>
      </c>
      <c r="N1127" s="4">
        <f t="shared" si="1347"/>
        <v>1.8719999999999986</v>
      </c>
      <c r="O1127" s="4">
        <f t="shared" si="1347"/>
        <v>1.8720000000000014</v>
      </c>
      <c r="P1127" s="4">
        <f>IFERROR(P1090/P1008,"-")</f>
        <v>1.872000000000001</v>
      </c>
      <c r="Q1127" s="4">
        <f>IFERROR(Q1090/Q1008,"-")</f>
        <v>1.871999999999999</v>
      </c>
      <c r="S1127" s="3"/>
    </row>
    <row r="1128" spans="2:19" x14ac:dyDescent="0.5">
      <c r="B1128" s="5" t="str">
        <f t="shared" si="1320"/>
        <v>SPS1</v>
      </c>
      <c r="C1128" s="5" t="str">
        <f t="shared" si="1321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M1128" s="4">
        <v>0.79</v>
      </c>
      <c r="N1128" s="4">
        <v>0.79</v>
      </c>
      <c r="O1128" s="4">
        <v>0.79</v>
      </c>
      <c r="P1128" s="4">
        <v>0.79</v>
      </c>
      <c r="Q1128" s="4">
        <v>0.79</v>
      </c>
      <c r="S1128" s="3"/>
    </row>
    <row r="1129" spans="2:19" x14ac:dyDescent="0.5">
      <c r="B1129" s="5" t="str">
        <f t="shared" si="1320"/>
        <v>SPS1</v>
      </c>
      <c r="C1129" s="5" t="str">
        <f t="shared" si="1321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M1129" s="4">
        <v>0.79</v>
      </c>
      <c r="N1129" s="4">
        <v>0.79</v>
      </c>
      <c r="O1129" s="4">
        <v>0.79</v>
      </c>
      <c r="P1129" s="4">
        <v>0.79</v>
      </c>
      <c r="Q1129" s="4">
        <v>0.79</v>
      </c>
      <c r="S1129" s="3"/>
    </row>
    <row r="1130" spans="2:19" x14ac:dyDescent="0.5">
      <c r="B1130" s="5" t="str">
        <f t="shared" si="1320"/>
        <v>SPS1</v>
      </c>
      <c r="C1130" s="5" t="str">
        <f t="shared" si="1321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M1130" s="4">
        <v>0.79</v>
      </c>
      <c r="N1130" s="4">
        <v>0.79</v>
      </c>
      <c r="O1130" s="4">
        <v>0.79</v>
      </c>
      <c r="P1130" s="4">
        <v>0.79</v>
      </c>
      <c r="Q1130" s="4">
        <v>0.79</v>
      </c>
      <c r="S1130" s="3"/>
    </row>
    <row r="1131" spans="2:19" x14ac:dyDescent="0.5">
      <c r="B1131" s="5" t="str">
        <f t="shared" si="1320"/>
        <v>SPS1</v>
      </c>
      <c r="C1131" s="5" t="str">
        <f t="shared" si="1321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M1131" s="4">
        <v>0.79</v>
      </c>
      <c r="N1131" s="4">
        <v>0.79</v>
      </c>
      <c r="O1131" s="4">
        <v>0.79</v>
      </c>
      <c r="P1131" s="4">
        <v>0.79</v>
      </c>
      <c r="Q1131" s="4">
        <v>0.79</v>
      </c>
      <c r="S1131" s="3"/>
    </row>
    <row r="1132" spans="2:19" x14ac:dyDescent="0.5">
      <c r="B1132" s="5" t="str">
        <f t="shared" si="1320"/>
        <v>SPS1</v>
      </c>
      <c r="C1132" s="5" t="str">
        <f t="shared" si="1321"/>
        <v>CH</v>
      </c>
      <c r="D1132" t="s">
        <v>1111</v>
      </c>
      <c r="E1132" t="s">
        <v>240</v>
      </c>
      <c r="F1132" s="4">
        <f>IFERROR(F1100/F1024,"-")</f>
        <v>0.49999999999999944</v>
      </c>
      <c r="G1132" s="4">
        <f t="shared" ref="G1132:K1132" si="1348">IFERROR(G1100/G1024,"-")</f>
        <v>0.49999999999999983</v>
      </c>
      <c r="H1132" s="4">
        <f t="shared" si="1348"/>
        <v>0.49999999999999906</v>
      </c>
      <c r="I1132" s="4">
        <f t="shared" si="1348"/>
        <v>0.49999999999999911</v>
      </c>
      <c r="J1132" s="4">
        <f t="shared" si="1348"/>
        <v>0.50000000000000122</v>
      </c>
      <c r="K1132" s="4">
        <f t="shared" si="1348"/>
        <v>0.499999999999999</v>
      </c>
      <c r="L1132" s="4">
        <f t="shared" ref="L1132:O1132" si="1349">IFERROR(L1100/L1024,"-")</f>
        <v>0.49999999999999867</v>
      </c>
      <c r="M1132" s="4">
        <f t="shared" si="1349"/>
        <v>0.5</v>
      </c>
      <c r="N1132" s="4">
        <f t="shared" si="1349"/>
        <v>0.50000000000000067</v>
      </c>
      <c r="O1132" s="4">
        <f t="shared" si="1349"/>
        <v>0.49999999999999933</v>
      </c>
      <c r="P1132" s="4">
        <f>IFERROR(P1100/P1024,"-")</f>
        <v>0.49999999999999994</v>
      </c>
      <c r="Q1132" s="4">
        <f>IFERROR(Q1100/Q1024,"-")</f>
        <v>0.4999999999999995</v>
      </c>
      <c r="S1132" s="3"/>
    </row>
    <row r="1133" spans="2:19" x14ac:dyDescent="0.5">
      <c r="B1133" s="5" t="str">
        <f t="shared" si="1320"/>
        <v>SPS1</v>
      </c>
      <c r="C1133" s="5" t="str">
        <f t="shared" si="1321"/>
        <v>CH</v>
      </c>
      <c r="D1133" t="s">
        <v>1112</v>
      </c>
      <c r="E1133" t="s">
        <v>240</v>
      </c>
      <c r="F1133" s="4">
        <f>IFERROR(F1102/F1029,"-")</f>
        <v>0.625</v>
      </c>
      <c r="G1133" s="4">
        <f t="shared" ref="G1133:K1133" si="1350">IFERROR(G1102/G1029,"-")</f>
        <v>0.62499999999999922</v>
      </c>
      <c r="H1133" s="4">
        <f t="shared" si="1350"/>
        <v>0.62499999999999889</v>
      </c>
      <c r="I1133" s="4">
        <f t="shared" si="1350"/>
        <v>0.62499999999999989</v>
      </c>
      <c r="J1133" s="4">
        <f t="shared" si="1350"/>
        <v>0.62499999999999978</v>
      </c>
      <c r="K1133" s="4">
        <f t="shared" si="1350"/>
        <v>0.62500000000000044</v>
      </c>
      <c r="L1133" s="4">
        <f t="shared" ref="L1133:O1133" si="1351">IFERROR(L1102/L1029,"-")</f>
        <v>0.625</v>
      </c>
      <c r="M1133" s="4">
        <f t="shared" si="1351"/>
        <v>0.62499999999999978</v>
      </c>
      <c r="N1133" s="4">
        <f t="shared" si="1351"/>
        <v>0.625</v>
      </c>
      <c r="O1133" s="4">
        <f t="shared" si="1351"/>
        <v>0.62499999999999944</v>
      </c>
      <c r="P1133" s="4">
        <f>IFERROR(P1102/P1029,"-")</f>
        <v>0.62500000000000078</v>
      </c>
      <c r="Q1133" s="4">
        <f>IFERROR(Q1102/Q1029,"-")</f>
        <v>0.62499999999999989</v>
      </c>
      <c r="S1133" s="3"/>
    </row>
    <row r="1134" spans="2:19" x14ac:dyDescent="0.5">
      <c r="B1134" s="5" t="str">
        <f t="shared" si="1320"/>
        <v>SPS1</v>
      </c>
      <c r="C1134" s="5" t="str">
        <f t="shared" si="1321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M1134" s="4">
        <v>1</v>
      </c>
      <c r="N1134" s="4">
        <v>1</v>
      </c>
      <c r="O1134" s="4">
        <v>1</v>
      </c>
      <c r="P1134" s="4">
        <v>1</v>
      </c>
      <c r="Q1134" s="4">
        <v>1</v>
      </c>
      <c r="S1134" s="3"/>
    </row>
    <row r="1135" spans="2:19" x14ac:dyDescent="0.5">
      <c r="B1135" s="5" t="str">
        <f t="shared" si="1320"/>
        <v>SPS1</v>
      </c>
      <c r="C1135" s="5" t="str">
        <f t="shared" si="1321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352">IFERROR(G1106/G1041,"-")</f>
        <v>-</v>
      </c>
      <c r="H1135" s="4" t="str">
        <f t="shared" si="1352"/>
        <v>-</v>
      </c>
      <c r="I1135" s="4" t="str">
        <f t="shared" si="1352"/>
        <v>-</v>
      </c>
      <c r="J1135" s="4" t="str">
        <f t="shared" si="1352"/>
        <v>-</v>
      </c>
      <c r="K1135" s="4" t="str">
        <f t="shared" si="1352"/>
        <v>-</v>
      </c>
      <c r="L1135" s="4" t="str">
        <f t="shared" ref="L1135:O1135" si="1353">IFERROR(L1106/L1041,"-")</f>
        <v>-</v>
      </c>
      <c r="M1135" s="4" t="str">
        <f t="shared" si="1353"/>
        <v>-</v>
      </c>
      <c r="N1135" s="4" t="str">
        <f t="shared" si="1353"/>
        <v>-</v>
      </c>
      <c r="O1135" s="4" t="str">
        <f t="shared" si="1353"/>
        <v>-</v>
      </c>
      <c r="P1135" s="4" t="str">
        <f>IFERROR(P1106/P1041,"-")</f>
        <v>-</v>
      </c>
      <c r="Q1135" s="4" t="str">
        <f>IFERROR(Q1106/Q1041,"-")</f>
        <v>-</v>
      </c>
      <c r="S1135" s="3"/>
    </row>
    <row r="1136" spans="2:19" x14ac:dyDescent="0.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354">F1137+F1152+F1157+F1180+F1203</f>
        <v>139.14986611084595</v>
      </c>
      <c r="G1136" s="3">
        <f t="shared" si="1354"/>
        <v>135.54037212252447</v>
      </c>
      <c r="H1136" s="3">
        <f t="shared" si="1354"/>
        <v>129.02629772347893</v>
      </c>
      <c r="I1136" s="3">
        <f t="shared" si="1354"/>
        <v>89.958115607048839</v>
      </c>
      <c r="J1136" s="3">
        <f t="shared" si="1354"/>
        <v>62.056134621450404</v>
      </c>
      <c r="K1136" s="3">
        <f t="shared" si="1354"/>
        <v>51.765095902243154</v>
      </c>
      <c r="L1136" s="3">
        <f t="shared" ref="L1136:O1136" si="1355">L1137+L1152+L1157+L1180+L1203</f>
        <v>48.96950242157115</v>
      </c>
      <c r="M1136" s="3">
        <f t="shared" si="1355"/>
        <v>41.843920703834328</v>
      </c>
      <c r="N1136" s="3">
        <f t="shared" si="1355"/>
        <v>40.618749463755833</v>
      </c>
      <c r="O1136" s="3">
        <f t="shared" si="1355"/>
        <v>38.244673501080605</v>
      </c>
      <c r="P1136" s="3">
        <f>P1137+P1152+P1157+P1180+P1203</f>
        <v>36.718673715897737</v>
      </c>
      <c r="Q1136" s="3">
        <f>Q1137+Q1152+Q1157+Q1180+Q1203</f>
        <v>36.410584589013965</v>
      </c>
      <c r="S1136" s="3"/>
    </row>
    <row r="1137" spans="2:19" x14ac:dyDescent="0.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0.73751144285156622</v>
      </c>
      <c r="G1137" s="1">
        <f t="shared" ref="G1137:K1137" si="1356">SUM(G1138:G1151)</f>
        <v>1.6381063151932471</v>
      </c>
      <c r="H1137" s="1">
        <f t="shared" si="1356"/>
        <v>4.3157284232867656</v>
      </c>
      <c r="I1137" s="1">
        <f t="shared" si="1356"/>
        <v>18.479608261753306</v>
      </c>
      <c r="J1137" s="1">
        <f t="shared" si="1356"/>
        <v>33.217366297216863</v>
      </c>
      <c r="K1137" s="1">
        <f t="shared" si="1356"/>
        <v>37.923043108229436</v>
      </c>
      <c r="L1137" s="1">
        <f t="shared" ref="L1137:O1137" si="1357">SUM(L1138:L1151)</f>
        <v>37.895398992127937</v>
      </c>
      <c r="M1137" s="1">
        <f t="shared" si="1357"/>
        <v>38.804885302903003</v>
      </c>
      <c r="N1137" s="1">
        <f t="shared" si="1357"/>
        <v>37.51751385987329</v>
      </c>
      <c r="O1137" s="1">
        <f t="shared" si="1357"/>
        <v>35.30418478186381</v>
      </c>
      <c r="P1137" s="1">
        <f>SUM(P1138:P1151)</f>
        <v>34.029034606501718</v>
      </c>
      <c r="Q1137" s="1">
        <f>SUM(Q1138:Q1151)</f>
        <v>34.207128036124352</v>
      </c>
      <c r="S1137" s="3"/>
    </row>
    <row r="1138" spans="2:19" x14ac:dyDescent="0.5">
      <c r="B1138" s="5" t="str">
        <f t="shared" ref="B1138:B1217" si="1358">B1137</f>
        <v>SPS1</v>
      </c>
      <c r="C1138" s="5" t="str">
        <f t="shared" ref="C1138:C1217" si="1359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0.46789165621339707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0.37692229068119276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0.26222448208682242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0.11309558967420644</v>
      </c>
      <c r="J1138" s="1" cm="1">
        <f t="array" ref="J1138">SUMPRODUCT(("T_C-BATELCEXT"=[1]OUT_TransportEnergyCons!$A$3:$A$1000)*1,("Var_Fin"=[1]OUT_TransportEnergyCons!$B$3:$B$1000)*1,ISNUMBER(SEARCH("ELC",[1]OUT_TransportEnergyCons!$C$3:$C$1000))*1,[1]OUT_TransportEnergyCons!H$3:H$1000)</f>
        <v>0</v>
      </c>
      <c r="K1138" s="1" cm="1">
        <f t="array" ref="K1138">SUMPRODUCT(("T_C-BATELCEXT"=[1]OUT_TransportEnergyCons!$A$3:$A$1000)*1,("Var_Fin"=[1]OUT_TransportEnergyCons!$B$3:$B$1000)*1,ISNUMBER(SEARCH("ELC",[1]OUT_TransportEnergyCons!$C$3:$C$1000))*1,[1]OUT_TransportEnergyCons!I$3:I$1000)</f>
        <v>0</v>
      </c>
      <c r="L1138" s="1" cm="1">
        <f t="array" ref="L1138">SUMPRODUCT(("T_C-BATELCEXT"=[1]OUT_TransportEnergyCons!$A$3:$A$1000)*1,("Var_Fin"=[1]OUT_TransportEnergyCons!$B$3:$B$1000)*1,ISNUMBER(SEARCH("ELC",[1]OUT_TransportEnergyCons!$C$3:$C$1000))*1,[1]OUT_TransportEnergyCons!J$3:J$1000)</f>
        <v>0</v>
      </c>
      <c r="M1138" s="1" cm="1">
        <f t="array" ref="M1138">SUMPRODUCT(("T_C-BATELCEXT"=[1]OUT_TransportEnergyCons!$A$3:$A$1000)*1,("Var_Fin"=[1]OUT_TransportEnergyCons!$B$3:$B$1000)*1,ISNUMBER(SEARCH("ELC",[1]OUT_TransportEnergyCons!$C$3:$C$1000))*1,[1]OUT_TransportEnergyCons!K$3:K$1000)</f>
        <v>0</v>
      </c>
      <c r="N1138" s="1" cm="1">
        <f t="array" ref="N1138">SUMPRODUCT(("T_C-BATELCEXT"=[1]OUT_TransportEnergyCons!$A$3:$A$1000)*1,("Var_Fin"=[1]OUT_TransportEnergyCons!$B$3:$B$1000)*1,ISNUMBER(SEARCH("ELC",[1]OUT_TransportEnergyCons!$C$3:$C$1000))*1,[1]OUT_TransportEnergyCons!L$3:L$1000)</f>
        <v>0</v>
      </c>
      <c r="O1138" s="1" cm="1">
        <f t="array" ref="O1138">SUMPRODUCT(("T_C-BATELCEXT"=[1]OUT_TransportEnergyCons!$A$3:$A$1000)*1,("Var_Fin"=[1]OUT_TransportEnergyCons!$B$3:$B$1000)*1,ISNUMBER(SEARCH("ELC",[1]OUT_TransportEnergyCons!$C$3:$C$1000))*1,[1]OUT_TransportEnergyCons!M$3:M$1000)</f>
        <v>0</v>
      </c>
      <c r="P1138" s="1" cm="1">
        <f t="array" ref="P1138">SUMPRODUCT(("T_C-BATELCEXT"=[1]OUT_TransportEnergyCons!$A$3:$A$1000)*1,("Var_Fin"=[1]OUT_TransportEnergyCons!$B$3:$B$1000)*1,ISNUMBER(SEARCH("ELC",[1]OUT_TransportEnergyCons!$C$3:$C$1000))*1,[1]OUT_TransportEnergyCons!N$3:N$1000)</f>
        <v>0</v>
      </c>
      <c r="Q1138" s="1" cm="1">
        <f t="array" ref="Q1138">SUMPRODUCT(("T_C-BATELCEXT"=[1]OUT_TransportEnergyCons!$A$3:$A$1000)*1,("Var_Fin"=[1]OUT_TransportEnergyCons!$B$3:$B$1000)*1,ISNUMBER(SEARCH("ELC",[1]OUT_TransportEnergyCons!$C$3:$C$1000))*1,[1]OUT_TransportEnergyCons!O$3:O$1000)</f>
        <v>0</v>
      </c>
      <c r="S1138" s="3"/>
    </row>
    <row r="1139" spans="2:19" x14ac:dyDescent="0.5">
      <c r="B1139" s="5" t="str">
        <f t="shared" si="1358"/>
        <v>SPS1</v>
      </c>
      <c r="C1139" s="5" t="str">
        <f t="shared" si="1359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7.6447277290911247E-3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1.4123002398781429E-2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1.1248750728034539E-2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0.52645394527357259</v>
      </c>
      <c r="J1139" s="1" cm="1">
        <f t="array" ref="J1139">SUMPRODUCT(("T_C-BAT-ELC-S1"=[1]OUT_TransportEnergyCons!$A$3:$A$1000)*1,("Var_Fin"=[1]OUT_TransportEnergyCons!$B$3:$B$1000)*1,ISNUMBER(SEARCH("ELC",[1]OUT_TransportEnergyCons!$C$3:$C$1000))*1,[1]OUT_TransportEnergyCons!H$3:H$1000)</f>
        <v>1.0107578946736964</v>
      </c>
      <c r="K1139" s="1" cm="1">
        <f t="array" ref="K1139">SUMPRODUCT(("T_C-BAT-ELC-S1"=[1]OUT_TransportEnergyCons!$A$3:$A$1000)*1,("Var_Fin"=[1]OUT_TransportEnergyCons!$B$3:$B$1000)*1,ISNUMBER(SEARCH("ELC",[1]OUT_TransportEnergyCons!$C$3:$C$1000))*1,[1]OUT_TransportEnergyCons!I$3:I$1000)</f>
        <v>1.2050764196205983</v>
      </c>
      <c r="L1139" s="1" cm="1">
        <f t="array" ref="L1139">SUMPRODUCT(("T_C-BAT-ELC-S1"=[1]OUT_TransportEnergyCons!$A$3:$A$1000)*1,("Var_Fin"=[1]OUT_TransportEnergyCons!$B$3:$B$1000)*1,ISNUMBER(SEARCH("ELC",[1]OUT_TransportEnergyCons!$C$3:$C$1000))*1,[1]OUT_TransportEnergyCons!J$3:J$1000)</f>
        <v>1.2007946186831195</v>
      </c>
      <c r="M1139" s="1" cm="1">
        <f t="array" ref="M1139">SUMPRODUCT(("T_C-BAT-ELC-S1"=[1]OUT_TransportEnergyCons!$A$3:$A$1000)*1,("Var_Fin"=[1]OUT_TransportEnergyCons!$B$3:$B$1000)*1,ISNUMBER(SEARCH("ELC",[1]OUT_TransportEnergyCons!$C$3:$C$1000))*1,[1]OUT_TransportEnergyCons!K$3:K$1000)</f>
        <v>1.1555132079589332</v>
      </c>
      <c r="N1139" s="1" cm="1">
        <f t="array" ref="N1139">SUMPRODUCT(("T_C-BAT-ELC-S1"=[1]OUT_TransportEnergyCons!$A$3:$A$1000)*1,("Var_Fin"=[1]OUT_TransportEnergyCons!$B$3:$B$1000)*1,ISNUMBER(SEARCH("ELC",[1]OUT_TransportEnergyCons!$C$3:$C$1000))*1,[1]OUT_TransportEnergyCons!L$3:L$1000)</f>
        <v>1.1015391361584586</v>
      </c>
      <c r="O1139" s="1" cm="1">
        <f t="array" ref="O1139">SUMPRODUCT(("T_C-BAT-ELC-S1"=[1]OUT_TransportEnergyCons!$A$3:$A$1000)*1,("Var_Fin"=[1]OUT_TransportEnergyCons!$B$3:$B$1000)*1,ISNUMBER(SEARCH("ELC",[1]OUT_TransportEnergyCons!$C$3:$C$1000))*1,[1]OUT_TransportEnergyCons!M$3:M$1000)</f>
        <v>1.0447688346958732</v>
      </c>
      <c r="P1139" s="1" cm="1">
        <f t="array" ref="P1139">SUMPRODUCT(("T_C-BAT-ELC-S1"=[1]OUT_TransportEnergyCons!$A$3:$A$1000)*1,("Var_Fin"=[1]OUT_TransportEnergyCons!$B$3:$B$1000)*1,ISNUMBER(SEARCH("ELC",[1]OUT_TransportEnergyCons!$C$3:$C$1000))*1,[1]OUT_TransportEnergyCons!N$3:N$1000)</f>
        <v>1.0104784642219535</v>
      </c>
      <c r="Q1139" s="1" cm="1">
        <f t="array" ref="Q1139">SUMPRODUCT(("T_C-BAT-ELC-S1"=[1]OUT_TransportEnergyCons!$A$3:$A$1000)*1,("Var_Fin"=[1]OUT_TransportEnergyCons!$B$3:$B$1000)*1,ISNUMBER(SEARCH("ELC",[1]OUT_TransportEnergyCons!$C$3:$C$1000))*1,[1]OUT_TransportEnergyCons!O$3:O$1000)</f>
        <v>0.99301769236996618</v>
      </c>
      <c r="S1139" s="3"/>
    </row>
    <row r="1140" spans="2:19" x14ac:dyDescent="0.5">
      <c r="B1140" s="5" t="str">
        <f t="shared" si="1358"/>
        <v>SPS1</v>
      </c>
      <c r="C1140" s="5" t="str">
        <f t="shared" si="1359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6.6179735501222234E-2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0.10245058413641067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1.0459186880204021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5.7973758516657607</v>
      </c>
      <c r="J1140" s="1" cm="1">
        <f t="array" ref="J1140">SUMPRODUCT(("T_C-BAT-ELC-S2"=[1]OUT_TransportEnergyCons!$A$3:$A$1000)*1,("Var_Fin"=[1]OUT_TransportEnergyCons!$B$3:$B$1000)*1,ISNUMBER(SEARCH("ELC",[1]OUT_TransportEnergyCons!$C$3:$C$1000))*1,[1]OUT_TransportEnergyCons!H$3:H$1000)</f>
        <v>11.033512474454923</v>
      </c>
      <c r="K1140" s="1" cm="1">
        <f t="array" ref="K1140">SUMPRODUCT(("T_C-BAT-ELC-S2"=[1]OUT_TransportEnergyCons!$A$3:$A$1000)*1,("Var_Fin"=[1]OUT_TransportEnergyCons!$B$3:$B$1000)*1,ISNUMBER(SEARCH("ELC",[1]OUT_TransportEnergyCons!$C$3:$C$1000))*1,[1]OUT_TransportEnergyCons!I$3:I$1000)</f>
        <v>11.757361112917742</v>
      </c>
      <c r="L1140" s="1" cm="1">
        <f t="array" ref="L1140">SUMPRODUCT(("T_C-BAT-ELC-S2"=[1]OUT_TransportEnergyCons!$A$3:$A$1000)*1,("Var_Fin"=[1]OUT_TransportEnergyCons!$B$3:$B$1000)*1,ISNUMBER(SEARCH("ELC",[1]OUT_TransportEnergyCons!$C$3:$C$1000))*1,[1]OUT_TransportEnergyCons!J$3:J$1000)</f>
        <v>11.279690462951084</v>
      </c>
      <c r="M1140" s="1" cm="1">
        <f t="array" ref="M1140">SUMPRODUCT(("T_C-BAT-ELC-S2"=[1]OUT_TransportEnergyCons!$A$3:$A$1000)*1,("Var_Fin"=[1]OUT_TransportEnergyCons!$B$3:$B$1000)*1,ISNUMBER(SEARCH("ELC",[1]OUT_TransportEnergyCons!$C$3:$C$1000))*1,[1]OUT_TransportEnergyCons!K$3:K$1000)</f>
        <v>10.391493620597457</v>
      </c>
      <c r="N1140" s="1" cm="1">
        <f t="array" ref="N1140">SUMPRODUCT(("T_C-BAT-ELC-S2"=[1]OUT_TransportEnergyCons!$A$3:$A$1000)*1,("Var_Fin"=[1]OUT_TransportEnergyCons!$B$3:$B$1000)*1,ISNUMBER(SEARCH("ELC",[1]OUT_TransportEnergyCons!$C$3:$C$1000))*1,[1]OUT_TransportEnergyCons!L$3:L$1000)</f>
        <v>9.9617419474348594</v>
      </c>
      <c r="O1140" s="1" cm="1">
        <f t="array" ref="O1140">SUMPRODUCT(("T_C-BAT-ELC-S2"=[1]OUT_TransportEnergyCons!$A$3:$A$1000)*1,("Var_Fin"=[1]OUT_TransportEnergyCons!$B$3:$B$1000)*1,ISNUMBER(SEARCH("ELC",[1]OUT_TransportEnergyCons!$C$3:$C$1000))*1,[1]OUT_TransportEnergyCons!M$3:M$1000)</f>
        <v>9.444396234750343</v>
      </c>
      <c r="P1140" s="1" cm="1">
        <f t="array" ref="P1140">SUMPRODUCT(("T_C-BAT-ELC-S2"=[1]OUT_TransportEnergyCons!$A$3:$A$1000)*1,("Var_Fin"=[1]OUT_TransportEnergyCons!$B$3:$B$1000)*1,ISNUMBER(SEARCH("ELC",[1]OUT_TransportEnergyCons!$C$3:$C$1000))*1,[1]OUT_TransportEnergyCons!N$3:N$1000)</f>
        <v>9.0825258686397543</v>
      </c>
      <c r="Q1140" s="1" cm="1">
        <f t="array" ref="Q1140">SUMPRODUCT(("T_C-BAT-ELC-S2"=[1]OUT_TransportEnergyCons!$A$3:$A$1000)*1,("Var_Fin"=[1]OUT_TransportEnergyCons!$B$3:$B$1000)*1,ISNUMBER(SEARCH("ELC",[1]OUT_TransportEnergyCons!$C$3:$C$1000))*1,[1]OUT_TransportEnergyCons!O$3:O$1000)</f>
        <v>8.9261972866977111</v>
      </c>
      <c r="S1140" s="3"/>
    </row>
    <row r="1141" spans="2:19" x14ac:dyDescent="0.5">
      <c r="B1141" s="5" t="str">
        <f t="shared" si="1358"/>
        <v>SPS1</v>
      </c>
      <c r="C1141" s="5" t="str">
        <f t="shared" si="1359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4.5968750004067208E-2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9.4541076805412377E-2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9.7664596554357344E-2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8.0580793462690994E-2</v>
      </c>
      <c r="J1141" s="1" cm="1">
        <f t="array" ref="J1141">SUMPRODUCT(("T_C-BAT-ELC-S3"=[1]OUT_TransportEnergyCons!$A$3:$A$1000)*1,("Var_Fin"=[1]OUT_TransportEnergyCons!$B$3:$B$1000)*1,ISNUMBER(SEARCH("ELC",[1]OUT_TransportEnergyCons!$C$3:$C$1000))*1,[1]OUT_TransportEnergyCons!H$3:H$1000)</f>
        <v>0.60335284264679845</v>
      </c>
      <c r="K1141" s="1" cm="1">
        <f t="array" ref="K1141">SUMPRODUCT(("T_C-BAT-ELC-S3"=[1]OUT_TransportEnergyCons!$A$3:$A$1000)*1,("Var_Fin"=[1]OUT_TransportEnergyCons!$B$3:$B$1000)*1,ISNUMBER(SEARCH("ELC",[1]OUT_TransportEnergyCons!$C$3:$C$1000))*1,[1]OUT_TransportEnergyCons!I$3:I$1000)</f>
        <v>4.0496761800245666</v>
      </c>
      <c r="L1141" s="1" cm="1">
        <f t="array" ref="L1141">SUMPRODUCT(("T_C-BAT-ELC-S3"=[1]OUT_TransportEnergyCons!$A$3:$A$1000)*1,("Var_Fin"=[1]OUT_TransportEnergyCons!$B$3:$B$1000)*1,ISNUMBER(SEARCH("ELC",[1]OUT_TransportEnergyCons!$C$3:$C$1000))*1,[1]OUT_TransportEnergyCons!J$3:J$1000)</f>
        <v>3.584852918406026</v>
      </c>
      <c r="M1141" s="1" cm="1">
        <f t="array" ref="M1141">SUMPRODUCT(("T_C-BAT-ELC-S3"=[1]OUT_TransportEnergyCons!$A$3:$A$1000)*1,("Var_Fin"=[1]OUT_TransportEnergyCons!$B$3:$B$1000)*1,ISNUMBER(SEARCH("ELC",[1]OUT_TransportEnergyCons!$C$3:$C$1000))*1,[1]OUT_TransportEnergyCons!K$3:K$1000)</f>
        <v>7.7999937258640051</v>
      </c>
      <c r="N1141" s="1" cm="1">
        <f t="array" ref="N1141">SUMPRODUCT(("T_C-BAT-ELC-S3"=[1]OUT_TransportEnergyCons!$A$3:$A$1000)*1,("Var_Fin"=[1]OUT_TransportEnergyCons!$B$3:$B$1000)*1,ISNUMBER(SEARCH("ELC",[1]OUT_TransportEnergyCons!$C$3:$C$1000))*1,[1]OUT_TransportEnergyCons!L$3:L$1000)</f>
        <v>8.4134598556034508</v>
      </c>
      <c r="O1141" s="1" cm="1">
        <f t="array" ref="O1141">SUMPRODUCT(("T_C-BAT-ELC-S3"=[1]OUT_TransportEnergyCons!$A$3:$A$1000)*1,("Var_Fin"=[1]OUT_TransportEnergyCons!$B$3:$B$1000)*1,ISNUMBER(SEARCH("ELC",[1]OUT_TransportEnergyCons!$C$3:$C$1000))*1,[1]OUT_TransportEnergyCons!M$3:M$1000)</f>
        <v>9.6751946999888077</v>
      </c>
      <c r="P1141" s="1" cm="1">
        <f t="array" ref="P1141">SUMPRODUCT(("T_C-BAT-ELC-S3"=[1]OUT_TransportEnergyCons!$A$3:$A$1000)*1,("Var_Fin"=[1]OUT_TransportEnergyCons!$B$3:$B$1000)*1,ISNUMBER(SEARCH("ELC",[1]OUT_TransportEnergyCons!$C$3:$C$1000))*1,[1]OUT_TransportEnergyCons!N$3:N$1000)</f>
        <v>13.068896185918524</v>
      </c>
      <c r="Q1141" s="1" cm="1">
        <f t="array" ref="Q1141">SUMPRODUCT(("T_C-BAT-ELC-S3"=[1]OUT_TransportEnergyCons!$A$3:$A$1000)*1,("Var_Fin"=[1]OUT_TransportEnergyCons!$B$3:$B$1000)*1,ISNUMBER(SEARCH("ELC",[1]OUT_TransportEnergyCons!$C$3:$C$1000))*1,[1]OUT_TransportEnergyCons!O$3:O$1000)</f>
        <v>10.736058370911076</v>
      </c>
      <c r="S1141" s="3"/>
    </row>
    <row r="1142" spans="2:19" x14ac:dyDescent="0.5">
      <c r="B1142" s="5" t="str">
        <f t="shared" si="1358"/>
        <v>SPS1</v>
      </c>
      <c r="C1142" s="5" t="str">
        <f t="shared" si="1359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0.14948694572155136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0.97815482578527768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2.5976074857595934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9.8199055981529959</v>
      </c>
      <c r="J1142" s="1" cm="1">
        <f t="array" ref="J1142">SUMPRODUCT(("T_C-BAT-ELC-S4"=[1]OUT_TransportEnergyCons!$A$3:$A$1000)*1,("Var_Fin"=[1]OUT_TransportEnergyCons!$B$3:$B$1000)*1,ISNUMBER(SEARCH("ELC",[1]OUT_TransportEnergyCons!$C$3:$C$1000))*1,[1]OUT_TransportEnergyCons!H$3:H$1000)</f>
        <v>15.467765203465438</v>
      </c>
      <c r="K1142" s="1" cm="1">
        <f t="array" ref="K1142">SUMPRODUCT(("T_C-BAT-ELC-S4"=[1]OUT_TransportEnergyCons!$A$3:$A$1000)*1,("Var_Fin"=[1]OUT_TransportEnergyCons!$B$3:$B$1000)*1,ISNUMBER(SEARCH("ELC",[1]OUT_TransportEnergyCons!$C$3:$C$1000))*1,[1]OUT_TransportEnergyCons!I$3:I$1000)</f>
        <v>16.44713409420401</v>
      </c>
      <c r="L1142" s="1" cm="1">
        <f t="array" ref="L1142">SUMPRODUCT(("T_C-BAT-ELC-S4"=[1]OUT_TransportEnergyCons!$A$3:$A$1000)*1,("Var_Fin"=[1]OUT_TransportEnergyCons!$B$3:$B$1000)*1,ISNUMBER(SEARCH("ELC",[1]OUT_TransportEnergyCons!$C$3:$C$1000))*1,[1]OUT_TransportEnergyCons!J$3:J$1000)</f>
        <v>16.063579890667697</v>
      </c>
      <c r="M1142" s="1" cm="1">
        <f t="array" ref="M1142">SUMPRODUCT(("T_C-BAT-ELC-S4"=[1]OUT_TransportEnergyCons!$A$3:$A$1000)*1,("Var_Fin"=[1]OUT_TransportEnergyCons!$B$3:$B$1000)*1,ISNUMBER(SEARCH("ELC",[1]OUT_TransportEnergyCons!$C$3:$C$1000))*1,[1]OUT_TransportEnergyCons!K$3:K$1000)</f>
        <v>15.53492752434064</v>
      </c>
      <c r="N1142" s="1" cm="1">
        <f t="array" ref="N1142">SUMPRODUCT(("T_C-BAT-ELC-S4"=[1]OUT_TransportEnergyCons!$A$3:$A$1000)*1,("Var_Fin"=[1]OUT_TransportEnergyCons!$B$3:$B$1000)*1,ISNUMBER(SEARCH("ELC",[1]OUT_TransportEnergyCons!$C$3:$C$1000))*1,[1]OUT_TransportEnergyCons!L$3:L$1000)</f>
        <v>13.927165522561532</v>
      </c>
      <c r="O1142" s="1" cm="1">
        <f t="array" ref="O1142">SUMPRODUCT(("T_C-BAT-ELC-S4"=[1]OUT_TransportEnergyCons!$A$3:$A$1000)*1,("Var_Fin"=[1]OUT_TransportEnergyCons!$B$3:$B$1000)*1,ISNUMBER(SEARCH("ELC",[1]OUT_TransportEnergyCons!$C$3:$C$1000))*1,[1]OUT_TransportEnergyCons!M$3:M$1000)</f>
        <v>11.663508793871788</v>
      </c>
      <c r="P1142" s="1" cm="1">
        <f t="array" ref="P1142">SUMPRODUCT(("T_C-BAT-ELC-S4"=[1]OUT_TransportEnergyCons!$A$3:$A$1000)*1,("Var_Fin"=[1]OUT_TransportEnergyCons!$B$3:$B$1000)*1,ISNUMBER(SEARCH("ELC",[1]OUT_TransportEnergyCons!$C$3:$C$1000))*1,[1]OUT_TransportEnergyCons!N$3:N$1000)</f>
        <v>7.4132641136435042</v>
      </c>
      <c r="Q1142" s="1" cm="1">
        <f t="array" ref="Q1142">SUMPRODUCT(("T_C-BAT-ELC-S4"=[1]OUT_TransportEnergyCons!$A$3:$A$1000)*1,("Var_Fin"=[1]OUT_TransportEnergyCons!$B$3:$B$1000)*1,ISNUMBER(SEARCH("ELC",[1]OUT_TransportEnergyCons!$C$3:$C$1000))*1,[1]OUT_TransportEnergyCons!O$3:O$1000)</f>
        <v>9.8727952435161779</v>
      </c>
      <c r="S1142" s="3"/>
    </row>
    <row r="1143" spans="2:19" x14ac:dyDescent="0.5">
      <c r="B1143" s="5" t="str">
        <f t="shared" si="1358"/>
        <v>SPS1</v>
      </c>
      <c r="C1143" s="5" t="str">
        <f t="shared" si="1359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2.0218214533711266E-5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2.6252393937152476E-5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4.4827748265774025E-5</v>
      </c>
      <c r="J1143" s="1" cm="1">
        <f t="array" ref="J1143">SUMPRODUCT(("T-Plg-elc-gsl_S1"=[1]OUT_TransportEnergyCons!$A$3:$A$1000)*1,("Var_Fin"=[1]OUT_TransportEnergyCons!$B$3:$B$1000)*1,ISNUMBER(SEARCH("ELC",[1]OUT_TransportEnergyCons!$C$3:$C$1000))*1,[1]OUT_TransportEnergyCons!H$3:H$1000)</f>
        <v>4.3821578723288868E-5</v>
      </c>
      <c r="K1143" s="1" cm="1">
        <f t="array" ref="K1143">SUMPRODUCT(("T-Plg-elc-gsl_S1"=[1]OUT_TransportEnergyCons!$A$3:$A$1000)*1,("Var_Fin"=[1]OUT_TransportEnergyCons!$B$3:$B$1000)*1,ISNUMBER(SEARCH("ELC",[1]OUT_TransportEnergyCons!$C$3:$C$1000))*1,[1]OUT_TransportEnergyCons!I$3:I$1000)</f>
        <v>3.3262189747257207E-5</v>
      </c>
      <c r="L1143" s="1" cm="1">
        <f t="array" ref="L1143">SUMPRODUCT(("T-Plg-elc-gsl_S1"=[1]OUT_TransportEnergyCons!$A$3:$A$1000)*1,("Var_Fin"=[1]OUT_TransportEnergyCons!$B$3:$B$1000)*1,ISNUMBER(SEARCH("ELC",[1]OUT_TransportEnergyCons!$C$3:$C$1000))*1,[1]OUT_TransportEnergyCons!J$3:J$1000)</f>
        <v>3.540969486499665E-5</v>
      </c>
      <c r="M1143" s="1" cm="1">
        <f t="array" ref="M1143">SUMPRODUCT(("T-Plg-elc-gsl_S1"=[1]OUT_TransportEnergyCons!$A$3:$A$1000)*1,("Var_Fin"=[1]OUT_TransportEnergyCons!$B$3:$B$1000)*1,ISNUMBER(SEARCH("ELC",[1]OUT_TransportEnergyCons!$C$3:$C$1000))*1,[1]OUT_TransportEnergyCons!K$3:K$1000)</f>
        <v>2.2206412586439125E-5</v>
      </c>
      <c r="N1143" s="1" cm="1">
        <f t="array" ref="N1143">SUMPRODUCT(("T-Plg-elc-gsl_S1"=[1]OUT_TransportEnergyCons!$A$3:$A$1000)*1,("Var_Fin"=[1]OUT_TransportEnergyCons!$B$3:$B$1000)*1,ISNUMBER(SEARCH("ELC",[1]OUT_TransportEnergyCons!$C$3:$C$1000))*1,[1]OUT_TransportEnergyCons!L$3:L$1000)</f>
        <v>1.488082974979355E-4</v>
      </c>
      <c r="O1143" s="1" cm="1">
        <f t="array" ref="O1143">SUMPRODUCT(("T-Plg-elc-gsl_S1"=[1]OUT_TransportEnergyCons!$A$3:$A$1000)*1,("Var_Fin"=[1]OUT_TransportEnergyCons!$B$3:$B$1000)*1,ISNUMBER(SEARCH("ELC",[1]OUT_TransportEnergyCons!$C$3:$C$1000))*1,[1]OUT_TransportEnergyCons!M$3:M$1000)</f>
        <v>2.6121344399898579E-4</v>
      </c>
      <c r="P1143" s="1" cm="1">
        <f t="array" ref="P1143">SUMPRODUCT(("T-Plg-elc-gsl_S1"=[1]OUT_TransportEnergyCons!$A$3:$A$1000)*1,("Var_Fin"=[1]OUT_TransportEnergyCons!$B$3:$B$1000)*1,ISNUMBER(SEARCH("ELC",[1]OUT_TransportEnergyCons!$C$3:$C$1000))*1,[1]OUT_TransportEnergyCons!N$3:N$1000)</f>
        <v>3.1380643785500553E-4</v>
      </c>
      <c r="Q1143" s="1" cm="1">
        <f t="array" ref="Q1143">SUMPRODUCT(("T-Plg-elc-gsl_S1"=[1]OUT_TransportEnergyCons!$A$3:$A$1000)*1,("Var_Fin"=[1]OUT_TransportEnergyCons!$B$3:$B$1000)*1,ISNUMBER(SEARCH("ELC",[1]OUT_TransportEnergyCons!$C$3:$C$1000))*1,[1]OUT_TransportEnergyCons!O$3:O$1000)</f>
        <v>3.8435478387508165E-4</v>
      </c>
      <c r="S1143" s="3"/>
    </row>
    <row r="1144" spans="2:19" x14ac:dyDescent="0.5">
      <c r="B1144" s="5" t="str">
        <f t="shared" si="1358"/>
        <v>SPS1</v>
      </c>
      <c r="C1144" s="5" t="str">
        <f t="shared" si="1359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3.3962768223724603E-4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2.4945622440309464E-4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4.6761708907194224E-4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6.042932066676023E-4</v>
      </c>
      <c r="J1144" s="1" cm="1">
        <f t="array" ref="J1144">SUMPRODUCT(("T-Plg-elc-gsl_S2"=[1]OUT_TransportEnergyCons!$A$3:$A$1000)*1,("Var_Fin"=[1]OUT_TransportEnergyCons!$B$3:$B$1000)*1,ISNUMBER(SEARCH("ELC",[1]OUT_TransportEnergyCons!$C$3:$C$1000))*1,[1]OUT_TransportEnergyCons!H$3:H$1000)</f>
        <v>1.6143116952767299E-3</v>
      </c>
      <c r="K1144" s="1" cm="1">
        <f t="array" ref="K1144">SUMPRODUCT(("T-Plg-elc-gsl_S2"=[1]OUT_TransportEnergyCons!$A$3:$A$1000)*1,("Var_Fin"=[1]OUT_TransportEnergyCons!$B$3:$B$1000)*1,ISNUMBER(SEARCH("ELC",[1]OUT_TransportEnergyCons!$C$3:$C$1000))*1,[1]OUT_TransportEnergyCons!I$3:I$1000)</f>
        <v>1.3990478262648434E-4</v>
      </c>
      <c r="L1144" s="1" cm="1">
        <f t="array" ref="L1144">SUMPRODUCT(("T-Plg-elc-gsl_S2"=[1]OUT_TransportEnergyCons!$A$3:$A$1000)*1,("Var_Fin"=[1]OUT_TransportEnergyCons!$B$3:$B$1000)*1,ISNUMBER(SEARCH("ELC",[1]OUT_TransportEnergyCons!$C$3:$C$1000))*1,[1]OUT_TransportEnergyCons!J$3:J$1000)</f>
        <v>1.435242596097362E-4</v>
      </c>
      <c r="M1144" s="1" cm="1">
        <f t="array" ref="M1144">SUMPRODUCT(("T-Plg-elc-gsl_S2"=[1]OUT_TransportEnergyCons!$A$3:$A$1000)*1,("Var_Fin"=[1]OUT_TransportEnergyCons!$B$3:$B$1000)*1,ISNUMBER(SEARCH("ELC",[1]OUT_TransportEnergyCons!$C$3:$C$1000))*1,[1]OUT_TransportEnergyCons!K$3:K$1000)</f>
        <v>1.3959833839566774E-4</v>
      </c>
      <c r="N1144" s="1" cm="1">
        <f t="array" ref="N1144">SUMPRODUCT(("T-Plg-elc-gsl_S2"=[1]OUT_TransportEnergyCons!$A$3:$A$1000)*1,("Var_Fin"=[1]OUT_TransportEnergyCons!$B$3:$B$1000)*1,ISNUMBER(SEARCH("ELC",[1]OUT_TransportEnergyCons!$C$3:$C$1000))*1,[1]OUT_TransportEnergyCons!L$3:L$1000)</f>
        <v>6.9360832863400691E-4</v>
      </c>
      <c r="O1144" s="1" cm="1">
        <f t="array" ref="O1144">SUMPRODUCT(("T-Plg-elc-gsl_S2"=[1]OUT_TransportEnergyCons!$A$3:$A$1000)*1,("Var_Fin"=[1]OUT_TransportEnergyCons!$B$3:$B$1000)*1,ISNUMBER(SEARCH("ELC",[1]OUT_TransportEnergyCons!$C$3:$C$1000))*1,[1]OUT_TransportEnergyCons!M$3:M$1000)</f>
        <v>7.5706654200632332E-4</v>
      </c>
      <c r="P1144" s="1" cm="1">
        <f t="array" ref="P1144">SUMPRODUCT(("T-Plg-elc-gsl_S2"=[1]OUT_TransportEnergyCons!$A$3:$A$1000)*1,("Var_Fin"=[1]OUT_TransportEnergyCons!$B$3:$B$1000)*1,ISNUMBER(SEARCH("ELC",[1]OUT_TransportEnergyCons!$C$3:$C$1000))*1,[1]OUT_TransportEnergyCons!N$3:N$1000)</f>
        <v>6.1461188817721259E-4</v>
      </c>
      <c r="Q1144" s="1" cm="1">
        <f t="array" ref="Q1144">SUMPRODUCT(("T-Plg-elc-gsl_S2"=[1]OUT_TransportEnergyCons!$A$3:$A$1000)*1,("Var_Fin"=[1]OUT_TransportEnergyCons!$B$3:$B$1000)*1,ISNUMBER(SEARCH("ELC",[1]OUT_TransportEnergyCons!$C$3:$C$1000))*1,[1]OUT_TransportEnergyCons!O$3:O$1000)</f>
        <v>3.1581757276772781E-4</v>
      </c>
      <c r="S1144" s="3"/>
    </row>
    <row r="1145" spans="2:19" x14ac:dyDescent="0.5">
      <c r="B1145" s="5" t="str">
        <f t="shared" si="1358"/>
        <v>SPS1</v>
      </c>
      <c r="C1145" s="5" t="str">
        <f t="shared" si="1359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1.7608174597190728E-2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0.16497140089162191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0.75404462280345563</v>
      </c>
      <c r="J1145" s="1" cm="1">
        <f t="array" ref="J1145">SUMPRODUCT(("T-Plg-elc-gsl_S3"=[1]OUT_TransportEnergyCons!$A$3:$A$1000)*1,("Var_Fin"=[1]OUT_TransportEnergyCons!$B$3:$B$1000)*1,ISNUMBER(SEARCH("ELC",[1]OUT_TransportEnergyCons!$C$3:$C$1000))*1,[1]OUT_TransportEnergyCons!H$3:H$1000)</f>
        <v>2.0473589410006801</v>
      </c>
      <c r="K1145" s="1" cm="1">
        <f t="array" ref="K1145">SUMPRODUCT(("T-Plg-elc-gsl_S3"=[1]OUT_TransportEnergyCons!$A$3:$A$1000)*1,("Var_Fin"=[1]OUT_TransportEnergyCons!$B$3:$B$1000)*1,ISNUMBER(SEARCH("ELC",[1]OUT_TransportEnergyCons!$C$3:$C$1000))*1,[1]OUT_TransportEnergyCons!I$3:I$1000)</f>
        <v>1.929034559665846</v>
      </c>
      <c r="L1145" s="1" cm="1">
        <f t="array" ref="L1145">SUMPRODUCT(("T-Plg-elc-gsl_S3"=[1]OUT_TransportEnergyCons!$A$3:$A$1000)*1,("Var_Fin"=[1]OUT_TransportEnergyCons!$B$3:$B$1000)*1,ISNUMBER(SEARCH("ELC",[1]OUT_TransportEnergyCons!$C$3:$C$1000))*1,[1]OUT_TransportEnergyCons!J$3:J$1000)</f>
        <v>2.1172180940835506</v>
      </c>
      <c r="M1145" s="1" cm="1">
        <f t="array" ref="M1145">SUMPRODUCT(("T-Plg-elc-gsl_S3"=[1]OUT_TransportEnergyCons!$A$3:$A$1000)*1,("Var_Fin"=[1]OUT_TransportEnergyCons!$B$3:$B$1000)*1,ISNUMBER(SEARCH("ELC",[1]OUT_TransportEnergyCons!$C$3:$C$1000))*1,[1]OUT_TransportEnergyCons!K$3:K$1000)</f>
        <v>0.95628690404610073</v>
      </c>
      <c r="N1145" s="1" cm="1">
        <f t="array" ref="N1145">SUMPRODUCT(("T-Plg-elc-gsl_S3"=[1]OUT_TransportEnergyCons!$A$3:$A$1000)*1,("Var_Fin"=[1]OUT_TransportEnergyCons!$B$3:$B$1000)*1,ISNUMBER(SEARCH("ELC",[1]OUT_TransportEnergyCons!$C$3:$C$1000))*1,[1]OUT_TransportEnergyCons!L$3:L$1000)</f>
        <v>0.51709941904104462</v>
      </c>
      <c r="O1145" s="1" cm="1">
        <f t="array" ref="O1145">SUMPRODUCT(("T-Plg-elc-gsl_S3"=[1]OUT_TransportEnergyCons!$A$3:$A$1000)*1,("Var_Fin"=[1]OUT_TransportEnergyCons!$B$3:$B$1000)*1,ISNUMBER(SEARCH("ELC",[1]OUT_TransportEnergyCons!$C$3:$C$1000))*1,[1]OUT_TransportEnergyCons!M$3:M$1000)</f>
        <v>1.400320187864307E-3</v>
      </c>
      <c r="P1145" s="1" cm="1">
        <f t="array" ref="P1145">SUMPRODUCT(("T-Plg-elc-gsl_S3"=[1]OUT_TransportEnergyCons!$A$3:$A$1000)*1,("Var_Fin"=[1]OUT_TransportEnergyCons!$B$3:$B$1000)*1,ISNUMBER(SEARCH("ELC",[1]OUT_TransportEnergyCons!$C$3:$C$1000))*1,[1]OUT_TransportEnergyCons!N$3:N$1000)</f>
        <v>1.2439422090105832E-3</v>
      </c>
      <c r="Q1145" s="1" cm="1">
        <f t="array" ref="Q1145">SUMPRODUCT(("T-Plg-elc-gsl_S3"=[1]OUT_TransportEnergyCons!$A$3:$A$1000)*1,("Var_Fin"=[1]OUT_TransportEnergyCons!$B$3:$B$1000)*1,ISNUMBER(SEARCH("ELC",[1]OUT_TransportEnergyCons!$C$3:$C$1000))*1,[1]OUT_TransportEnergyCons!O$3:O$1000)</f>
        <v>6.7930002624831849E-4</v>
      </c>
      <c r="S1145" s="3"/>
    </row>
    <row r="1146" spans="2:19" x14ac:dyDescent="0.5">
      <c r="B1146" s="5" t="str">
        <f t="shared" si="1358"/>
        <v>SPS1</v>
      </c>
      <c r="C1146" s="5" t="str">
        <f t="shared" si="1359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1.5970424764197988E-4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4.3944437790543084E-4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7.5948168337067528E-3</v>
      </c>
      <c r="J1146" s="1" cm="1">
        <f t="array" ref="J1146">SUMPRODUCT(("T-Plg-elc-gsl_S4"=[1]OUT_TransportEnergyCons!$A$3:$A$1000)*1,("Var_Fin"=[1]OUT_TransportEnergyCons!$B$3:$B$1000)*1,ISNUMBER(SEARCH("ELC",[1]OUT_TransportEnergyCons!$C$3:$C$1000))*1,[1]OUT_TransportEnergyCons!H$3:H$1000)</f>
        <v>5.1836984647416831E-3</v>
      </c>
      <c r="K1146" s="1" cm="1">
        <f t="array" ref="K1146">SUMPRODUCT(("T-Plg-elc-gsl_S4"=[1]OUT_TransportEnergyCons!$A$3:$A$1000)*1,("Var_Fin"=[1]OUT_TransportEnergyCons!$B$3:$B$1000)*1,ISNUMBER(SEARCH("ELC",[1]OUT_TransportEnergyCons!$C$3:$C$1000))*1,[1]OUT_TransportEnergyCons!I$3:I$1000)</f>
        <v>3.9925110850167297E-4</v>
      </c>
      <c r="L1146" s="1" cm="1">
        <f t="array" ref="L1146">SUMPRODUCT(("T-Plg-elc-gsl_S4"=[1]OUT_TransportEnergyCons!$A$3:$A$1000)*1,("Var_Fin"=[1]OUT_TransportEnergyCons!$B$3:$B$1000)*1,ISNUMBER(SEARCH("ELC",[1]OUT_TransportEnergyCons!$C$3:$C$1000))*1,[1]OUT_TransportEnergyCons!J$3:J$1000)</f>
        <v>2.8331167010973686E-4</v>
      </c>
      <c r="M1146" s="1" cm="1">
        <f t="array" ref="M1146">SUMPRODUCT(("T-Plg-elc-gsl_S4"=[1]OUT_TransportEnergyCons!$A$3:$A$1000)*1,("Var_Fin"=[1]OUT_TransportEnergyCons!$B$3:$B$1000)*1,ISNUMBER(SEARCH("ELC",[1]OUT_TransportEnergyCons!$C$3:$C$1000))*1,[1]OUT_TransportEnergyCons!K$3:K$1000)</f>
        <v>2.1634821582291935E-4</v>
      </c>
      <c r="N1146" s="1" cm="1">
        <f t="array" ref="N1146">SUMPRODUCT(("T-Plg-elc-gsl_S4"=[1]OUT_TransportEnergyCons!$A$3:$A$1000)*1,("Var_Fin"=[1]OUT_TransportEnergyCons!$B$3:$B$1000)*1,ISNUMBER(SEARCH("ELC",[1]OUT_TransportEnergyCons!$C$3:$C$1000))*1,[1]OUT_TransportEnergyCons!L$3:L$1000)</f>
        <v>0.30910448861677003</v>
      </c>
      <c r="O1146" s="1" cm="1">
        <f t="array" ref="O1146">SUMPRODUCT(("T-Plg-elc-gsl_S4"=[1]OUT_TransportEnergyCons!$A$3:$A$1000)*1,("Var_Fin"=[1]OUT_TransportEnergyCons!$B$3:$B$1000)*1,ISNUMBER(SEARCH("ELC",[1]OUT_TransportEnergyCons!$C$3:$C$1000))*1,[1]OUT_TransportEnergyCons!M$3:M$1000)</f>
        <v>0.77457895644617081</v>
      </c>
      <c r="P1146" s="1" cm="1">
        <f t="array" ref="P1146">SUMPRODUCT(("T-Plg-elc-gsl_S4"=[1]OUT_TransportEnergyCons!$A$3:$A$1000)*1,("Var_Fin"=[1]OUT_TransportEnergyCons!$B$3:$B$1000)*1,ISNUMBER(SEARCH("ELC",[1]OUT_TransportEnergyCons!$C$3:$C$1000))*1,[1]OUT_TransportEnergyCons!N$3:N$1000)</f>
        <v>0.74053432707574851</v>
      </c>
      <c r="Q1146" s="1" cm="1">
        <f t="array" ref="Q1146">SUMPRODUCT(("T-Plg-elc-gsl_S4"=[1]OUT_TransportEnergyCons!$A$3:$A$1000)*1,("Var_Fin"=[1]OUT_TransportEnergyCons!$B$3:$B$1000)*1,ISNUMBER(SEARCH("ELC",[1]OUT_TransportEnergyCons!$C$3:$C$1000))*1,[1]OUT_TransportEnergyCons!O$3:O$1000)</f>
        <v>0.64218351361177706</v>
      </c>
      <c r="S1146" s="3"/>
    </row>
    <row r="1147" spans="2:19" x14ac:dyDescent="0.5">
      <c r="B1147" s="5" t="str">
        <f t="shared" ref="B1147:B1151" si="1360">B1146</f>
        <v>SPS1</v>
      </c>
      <c r="C1147" s="5" t="str">
        <f t="shared" ref="C1147:C1151" si="1361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9.7098730882573157E-6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1.6961736307029737E-5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4.0343452245281198E-5</v>
      </c>
      <c r="J1147" s="1" cm="1">
        <f t="array" ref="J1147">SUMPRODUCT(("T-Plg-elc-dsl_S1"=[1]OUT_TransportEnergyCons!$A$3:$A$1000)*1,("Var_Fin"=[1]OUT_TransportEnergyCons!$B$3:$B$1000)*1,ISNUMBER(SEARCH("ELC",[1]OUT_TransportEnergyCons!$C$3:$C$1000))*1,[1]OUT_TransportEnergyCons!H$3:H$1000)</f>
        <v>4.9600151878622356E-5</v>
      </c>
      <c r="K1147" s="1" cm="1">
        <f t="array" ref="K1147">SUMPRODUCT(("T-Plg-elc-dsl_S1"=[1]OUT_TransportEnergyCons!$A$3:$A$1000)*1,("Var_Fin"=[1]OUT_TransportEnergyCons!$B$3:$B$1000)*1,ISNUMBER(SEARCH("ELC",[1]OUT_TransportEnergyCons!$C$3:$C$1000))*1,[1]OUT_TransportEnergyCons!I$3:I$1000)</f>
        <v>3.6634174150964254E-5</v>
      </c>
      <c r="L1147" s="1" cm="1">
        <f t="array" ref="L1147">SUMPRODUCT(("T-Plg-elc-dsl_S1"=[1]OUT_TransportEnergyCons!$A$3:$A$1000)*1,("Var_Fin"=[1]OUT_TransportEnergyCons!$B$3:$B$1000)*1,ISNUMBER(SEARCH("ELC",[1]OUT_TransportEnergyCons!$C$3:$C$1000))*1,[1]OUT_TransportEnergyCons!J$3:J$1000)</f>
        <v>1.4096723984254441E-4</v>
      </c>
      <c r="M1147" s="1" cm="1">
        <f t="array" ref="M1147">SUMPRODUCT(("T-Plg-elc-dsl_S1"=[1]OUT_TransportEnergyCons!$A$3:$A$1000)*1,("Var_Fin"=[1]OUT_TransportEnergyCons!$B$3:$B$1000)*1,ISNUMBER(SEARCH("ELC",[1]OUT_TransportEnergyCons!$C$3:$C$1000))*1,[1]OUT_TransportEnergyCons!K$3:K$1000)</f>
        <v>1.4484451385725973E-4</v>
      </c>
      <c r="N1147" s="1" cm="1">
        <f t="array" ref="N1147">SUMPRODUCT(("T-Plg-elc-dsl_S1"=[1]OUT_TransportEnergyCons!$A$3:$A$1000)*1,("Var_Fin"=[1]OUT_TransportEnergyCons!$B$3:$B$1000)*1,ISNUMBER(SEARCH("ELC",[1]OUT_TransportEnergyCons!$C$3:$C$1000))*1,[1]OUT_TransportEnergyCons!L$3:L$1000)</f>
        <v>5.2039260596829556E-4</v>
      </c>
      <c r="O1147" s="1" cm="1">
        <f t="array" ref="O1147">SUMPRODUCT(("T-Plg-elc-dsl_S1"=[1]OUT_TransportEnergyCons!$A$3:$A$1000)*1,("Var_Fin"=[1]OUT_TransportEnergyCons!$B$3:$B$1000)*1,ISNUMBER(SEARCH("ELC",[1]OUT_TransportEnergyCons!$C$3:$C$1000))*1,[1]OUT_TransportEnergyCons!M$3:M$1000)</f>
        <v>3.0641260553570839E-5</v>
      </c>
      <c r="P1147" s="1" cm="1">
        <f t="array" ref="P1147">SUMPRODUCT(("T-Plg-elc-dsl_S1"=[1]OUT_TransportEnergyCons!$A$3:$A$1000)*1,("Var_Fin"=[1]OUT_TransportEnergyCons!$B$3:$B$1000)*1,ISNUMBER(SEARCH("ELC",[1]OUT_TransportEnergyCons!$C$3:$C$1000))*1,[1]OUT_TransportEnergyCons!N$3:N$1000)</f>
        <v>1.8496208212983764E-5</v>
      </c>
      <c r="Q1147" s="1" cm="1">
        <f t="array" ref="Q1147">SUMPRODUCT(("T-Plg-elc-dsl_S1"=[1]OUT_TransportEnergyCons!$A$3:$A$1000)*1,("Var_Fin"=[1]OUT_TransportEnergyCons!$B$3:$B$1000)*1,ISNUMBER(SEARCH("ELC",[1]OUT_TransportEnergyCons!$C$3:$C$1000))*1,[1]OUT_TransportEnergyCons!O$3:O$1000)</f>
        <v>1.6532932706222125E-5</v>
      </c>
      <c r="S1147" s="3"/>
    </row>
    <row r="1148" spans="2:19" x14ac:dyDescent="0.5">
      <c r="B1148" s="5" t="str">
        <f t="shared" si="1360"/>
        <v>SPS1</v>
      </c>
      <c r="C1148" s="5" t="str">
        <f t="shared" si="1361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0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1.2724436339796742E-5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5.238720987208454E-5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1.1724619405641348E-4</v>
      </c>
      <c r="J1148" s="1" cm="1">
        <f t="array" ref="J1148">SUMPRODUCT(("T-Plg-elc-dsl_S2"=[1]OUT_TransportEnergyCons!$A$3:$A$1000)*1,("Var_Fin"=[1]OUT_TransportEnergyCons!$B$3:$B$1000)*1,ISNUMBER(SEARCH("ELC",[1]OUT_TransportEnergyCons!$C$3:$C$1000))*1,[1]OUT_TransportEnergyCons!H$3:H$1000)</f>
        <v>2.5584867146826584E-4</v>
      </c>
      <c r="K1148" s="1" cm="1">
        <f t="array" ref="K1148">SUMPRODUCT(("T-Plg-elc-dsl_S2"=[1]OUT_TransportEnergyCons!$A$3:$A$1000)*1,("Var_Fin"=[1]OUT_TransportEnergyCons!$B$3:$B$1000)*1,ISNUMBER(SEARCH("ELC",[1]OUT_TransportEnergyCons!$C$3:$C$1000))*1,[1]OUT_TransportEnergyCons!I$3:I$1000)</f>
        <v>1.9268980875664438E-4</v>
      </c>
      <c r="L1148" s="1" cm="1">
        <f t="array" ref="L1148">SUMPRODUCT(("T-Plg-elc-dsl_S2"=[1]OUT_TransportEnergyCons!$A$3:$A$1000)*1,("Var_Fin"=[1]OUT_TransportEnergyCons!$B$3:$B$1000)*1,ISNUMBER(SEARCH("ELC",[1]OUT_TransportEnergyCons!$C$3:$C$1000))*1,[1]OUT_TransportEnergyCons!J$3:J$1000)</f>
        <v>9.0281087926070112E-4</v>
      </c>
      <c r="M1148" s="1" cm="1">
        <f t="array" ref="M1148">SUMPRODUCT(("T-Plg-elc-dsl_S2"=[1]OUT_TransportEnergyCons!$A$3:$A$1000)*1,("Var_Fin"=[1]OUT_TransportEnergyCons!$B$3:$B$1000)*1,ISNUMBER(SEARCH("ELC",[1]OUT_TransportEnergyCons!$C$3:$C$1000))*1,[1]OUT_TransportEnergyCons!K$3:K$1000)</f>
        <v>9.0610527869988385E-4</v>
      </c>
      <c r="N1148" s="1" cm="1">
        <f t="array" ref="N1148">SUMPRODUCT(("T-Plg-elc-dsl_S2"=[1]OUT_TransportEnergyCons!$A$3:$A$1000)*1,("Var_Fin"=[1]OUT_TransportEnergyCons!$B$3:$B$1000)*1,ISNUMBER(SEARCH("ELC",[1]OUT_TransportEnergyCons!$C$3:$C$1000))*1,[1]OUT_TransportEnergyCons!L$3:L$1000)</f>
        <v>6.0315000474797122E-4</v>
      </c>
      <c r="O1148" s="1" cm="1">
        <f t="array" ref="O1148">SUMPRODUCT(("T-Plg-elc-dsl_S2"=[1]OUT_TransportEnergyCons!$A$3:$A$1000)*1,("Var_Fin"=[1]OUT_TransportEnergyCons!$B$3:$B$1000)*1,ISNUMBER(SEARCH("ELC",[1]OUT_TransportEnergyCons!$C$3:$C$1000))*1,[1]OUT_TransportEnergyCons!M$3:M$1000)</f>
        <v>6.7059167899467356E-5</v>
      </c>
      <c r="P1148" s="1" cm="1">
        <f t="array" ref="P1148">SUMPRODUCT(("T-Plg-elc-dsl_S2"=[1]OUT_TransportEnergyCons!$A$3:$A$1000)*1,("Var_Fin"=[1]OUT_TransportEnergyCons!$B$3:$B$1000)*1,ISNUMBER(SEARCH("ELC",[1]OUT_TransportEnergyCons!$C$3:$C$1000))*1,[1]OUT_TransportEnergyCons!N$3:N$1000)</f>
        <v>5.8222514177005497E-5</v>
      </c>
      <c r="Q1148" s="1" cm="1">
        <f t="array" ref="Q1148">SUMPRODUCT(("T-Plg-elc-dsl_S2"=[1]OUT_TransportEnergyCons!$A$3:$A$1000)*1,("Var_Fin"=[1]OUT_TransportEnergyCons!$B$3:$B$1000)*1,ISNUMBER(SEARCH("ELC",[1]OUT_TransportEnergyCons!$C$3:$C$1000))*1,[1]OUT_TransportEnergyCons!O$3:O$1000)</f>
        <v>3.4678569689523138E-5</v>
      </c>
      <c r="S1148" s="3"/>
    </row>
    <row r="1149" spans="2:19" x14ac:dyDescent="0.5">
      <c r="B1149" s="5" t="str">
        <f t="shared" si="1360"/>
        <v>SPS1</v>
      </c>
      <c r="C1149" s="5" t="str">
        <f t="shared" si="1361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5.381403421573068E-2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0.13494410509975538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1.1613655846852851</v>
      </c>
      <c r="J1149" s="1" cm="1">
        <f t="array" ref="J1149">SUMPRODUCT(("T-Plg-elc-dsl_S3"=[1]OUT_TransportEnergyCons!$A$3:$A$1000)*1,("Var_Fin"=[1]OUT_TransportEnergyCons!$B$3:$B$1000)*1,ISNUMBER(SEARCH("ELC",[1]OUT_TransportEnergyCons!$C$3:$C$1000))*1,[1]OUT_TransportEnergyCons!H$3:H$1000)</f>
        <v>1.6445192992912283</v>
      </c>
      <c r="K1149" s="1" cm="1">
        <f t="array" ref="K1149">SUMPRODUCT(("T-Plg-elc-dsl_S3"=[1]OUT_TransportEnergyCons!$A$3:$A$1000)*1,("Var_Fin"=[1]OUT_TransportEnergyCons!$B$3:$B$1000)*1,ISNUMBER(SEARCH("ELC",[1]OUT_TransportEnergyCons!$C$3:$C$1000))*1,[1]OUT_TransportEnergyCons!I$3:I$1000)</f>
        <v>1.3931134202959854</v>
      </c>
      <c r="L1149" s="1" cm="1">
        <f t="array" ref="L1149">SUMPRODUCT(("T-Plg-elc-dsl_S3"=[1]OUT_TransportEnergyCons!$A$3:$A$1000)*1,("Var_Fin"=[1]OUT_TransportEnergyCons!$B$3:$B$1000)*1,ISNUMBER(SEARCH("ELC",[1]OUT_TransportEnergyCons!$C$3:$C$1000))*1,[1]OUT_TransportEnergyCons!J$3:J$1000)</f>
        <v>1.4700195963008329</v>
      </c>
      <c r="M1149" s="1" cm="1">
        <f t="array" ref="M1149">SUMPRODUCT(("T-Plg-elc-dsl_S3"=[1]OUT_TransportEnergyCons!$A$3:$A$1000)*1,("Var_Fin"=[1]OUT_TransportEnergyCons!$B$3:$B$1000)*1,ISNUMBER(SEARCH("ELC",[1]OUT_TransportEnergyCons!$C$3:$C$1000))*1,[1]OUT_TransportEnergyCons!K$3:K$1000)</f>
        <v>0.60914505896532722</v>
      </c>
      <c r="N1149" s="1" cm="1">
        <f t="array" ref="N1149">SUMPRODUCT(("T-Plg-elc-dsl_S3"=[1]OUT_TransportEnergyCons!$A$3:$A$1000)*1,("Var_Fin"=[1]OUT_TransportEnergyCons!$B$3:$B$1000)*1,ISNUMBER(SEARCH("ELC",[1]OUT_TransportEnergyCons!$C$3:$C$1000))*1,[1]OUT_TransportEnergyCons!L$3:L$1000)</f>
        <v>0.40687845950222112</v>
      </c>
      <c r="O1149" s="1" cm="1">
        <f t="array" ref="O1149">SUMPRODUCT(("T-Plg-elc-dsl_S3"=[1]OUT_TransportEnergyCons!$A$3:$A$1000)*1,("Var_Fin"=[1]OUT_TransportEnergyCons!$B$3:$B$1000)*1,ISNUMBER(SEARCH("ELC",[1]OUT_TransportEnergyCons!$C$3:$C$1000))*1,[1]OUT_TransportEnergyCons!M$3:M$1000)</f>
        <v>1.1791577957823404E-4</v>
      </c>
      <c r="P1149" s="1" cm="1">
        <f t="array" ref="P1149">SUMPRODUCT(("T-Plg-elc-dsl_S3"=[1]OUT_TransportEnergyCons!$A$3:$A$1000)*1,("Var_Fin"=[1]OUT_TransportEnergyCons!$B$3:$B$1000)*1,ISNUMBER(SEARCH("ELC",[1]OUT_TransportEnergyCons!$C$3:$C$1000))*1,[1]OUT_TransportEnergyCons!N$3:N$1000)</f>
        <v>9.9154852657339367E-5</v>
      </c>
      <c r="Q1149" s="1" cm="1">
        <f t="array" ref="Q1149">SUMPRODUCT(("T-Plg-elc-dsl_S3"=[1]OUT_TransportEnergyCons!$A$3:$A$1000)*1,("Var_Fin"=[1]OUT_TransportEnergyCons!$B$3:$B$1000)*1,ISNUMBER(SEARCH("ELC",[1]OUT_TransportEnergyCons!$C$3:$C$1000))*1,[1]OUT_TransportEnergyCons!O$3:O$1000)</f>
        <v>5.06262760097627E-5</v>
      </c>
      <c r="S1149" s="3"/>
    </row>
    <row r="1150" spans="2:19" x14ac:dyDescent="0.5">
      <c r="B1150" s="5" t="str">
        <f t="shared" si="1360"/>
        <v>SPS1</v>
      </c>
      <c r="C1150" s="5" t="str">
        <f t="shared" si="1361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4.0513577244103493E-5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1.4625133908453421E-4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1.6535464060358448E-3</v>
      </c>
      <c r="J1150" s="1" cm="1">
        <f t="array" ref="J1150">SUMPRODUCT(("T-Plg-elc-dsl_S4"=[1]OUT_TransportEnergyCons!$A$3:$A$1000)*1,("Var_Fin"=[1]OUT_TransportEnergyCons!$B$3:$B$1000)*1,ISNUMBER(SEARCH("ELC",[1]OUT_TransportEnergyCons!$C$3:$C$1000))*1,[1]OUT_TransportEnergyCons!H$3:H$1000)</f>
        <v>4.757820312150109E-3</v>
      </c>
      <c r="K1150" s="1" cm="1">
        <f t="array" ref="K1150">SUMPRODUCT(("T-Plg-elc-dsl_S4"=[1]OUT_TransportEnergyCons!$A$3:$A$1000)*1,("Var_Fin"=[1]OUT_TransportEnergyCons!$B$3:$B$1000)*1,ISNUMBER(SEARCH("ELC",[1]OUT_TransportEnergyCons!$C$3:$C$1000))*1,[1]OUT_TransportEnergyCons!I$3:I$1000)</f>
        <v>3.0624665912467011E-3</v>
      </c>
      <c r="L1150" s="1" cm="1">
        <f t="array" ref="L1150">SUMPRODUCT(("T-Plg-elc-dsl_S4"=[1]OUT_TransportEnergyCons!$A$3:$A$1000)*1,("Var_Fin"=[1]OUT_TransportEnergyCons!$B$3:$B$1000)*1,ISNUMBER(SEARCH("ELC",[1]OUT_TransportEnergyCons!$C$3:$C$1000))*1,[1]OUT_TransportEnergyCons!J$3:J$1000)</f>
        <v>2.1044848341335242E-3</v>
      </c>
      <c r="M1150" s="1" cm="1">
        <f t="array" ref="M1150">SUMPRODUCT(("T-Plg-elc-dsl_S4"=[1]OUT_TransportEnergyCons!$A$3:$A$1000)*1,("Var_Fin"=[1]OUT_TransportEnergyCons!$B$3:$B$1000)*1,ISNUMBER(SEARCH("ELC",[1]OUT_TransportEnergyCons!$C$3:$C$1000))*1,[1]OUT_TransportEnergyCons!K$3:K$1000)</f>
        <v>1.9960496285544478E-3</v>
      </c>
      <c r="N1150" s="1" cm="1">
        <f t="array" ref="N1150">SUMPRODUCT(("T-Plg-elc-dsl_S4"=[1]OUT_TransportEnergyCons!$A$3:$A$1000)*1,("Var_Fin"=[1]OUT_TransportEnergyCons!$B$3:$B$1000)*1,ISNUMBER(SEARCH("ELC",[1]OUT_TransportEnergyCons!$C$3:$C$1000))*1,[1]OUT_TransportEnergyCons!L$3:L$1000)</f>
        <v>0.17248311391568624</v>
      </c>
      <c r="O1150" s="1" cm="1">
        <f t="array" ref="O1150">SUMPRODUCT(("T-Plg-elc-dsl_S4"=[1]OUT_TransportEnergyCons!$A$3:$A$1000)*1,("Var_Fin"=[1]OUT_TransportEnergyCons!$B$3:$B$1000)*1,ISNUMBER(SEARCH("ELC",[1]OUT_TransportEnergyCons!$C$3:$C$1000))*1,[1]OUT_TransportEnergyCons!M$3:M$1000)</f>
        <v>0.52264845562103446</v>
      </c>
      <c r="P1150" s="1" cm="1">
        <f t="array" ref="P1150">SUMPRODUCT(("T-Plg-elc-dsl_S4"=[1]OUT_TransportEnergyCons!$A$3:$A$1000)*1,("Var_Fin"=[1]OUT_TransportEnergyCons!$B$3:$B$1000)*1,ISNUMBER(SEARCH("ELC",[1]OUT_TransportEnergyCons!$C$3:$C$1000))*1,[1]OUT_TransportEnergyCons!N$3:N$1000)</f>
        <v>0.50299633181437264</v>
      </c>
      <c r="Q1150" s="1" cm="1">
        <f t="array" ref="Q1150">SUMPRODUCT(("T-Plg-elc-dsl_S4"=[1]OUT_TransportEnergyCons!$A$3:$A$1000)*1,("Var_Fin"=[1]OUT_TransportEnergyCons!$B$3:$B$1000)*1,ISNUMBER(SEARCH("ELC",[1]OUT_TransportEnergyCons!$C$3:$C$1000))*1,[1]OUT_TransportEnergyCons!O$3:O$1000)</f>
        <v>0.41919113246935208</v>
      </c>
      <c r="S1150" s="3"/>
    </row>
    <row r="1151" spans="2:19" x14ac:dyDescent="0.5">
      <c r="B1151" s="5" t="str">
        <f t="shared" si="1360"/>
        <v>SPS1</v>
      </c>
      <c r="C1151" s="5" t="str">
        <f t="shared" si="1361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0.21673120219436529</v>
      </c>
      <c r="J1151" s="1">
        <f>[1]Transport!F$32</f>
        <v>1.3981945408098519</v>
      </c>
      <c r="K1151" s="1">
        <f>[1]Transport!G$32</f>
        <v>1.1377831128456597</v>
      </c>
      <c r="L1151" s="1">
        <f>[1]Transport!H$32</f>
        <v>2.1756329024578038</v>
      </c>
      <c r="M1151" s="1">
        <f>[1]Transport!I$32</f>
        <v>2.3541001087426285</v>
      </c>
      <c r="N1151" s="1">
        <f>[1]Transport!J$32</f>
        <v>2.7060759578024154</v>
      </c>
      <c r="O1151" s="1">
        <f>[1]Transport!K$32</f>
        <v>2.1764545901078942</v>
      </c>
      <c r="P1151" s="1">
        <f>[1]Transport!L$32</f>
        <v>2.2079910810777656</v>
      </c>
      <c r="Q1151" s="1">
        <f>[1]Transport!M$32</f>
        <v>2.6162034863869956</v>
      </c>
      <c r="S1151" s="3"/>
    </row>
    <row r="1152" spans="2:19" x14ac:dyDescent="0.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8.5960368926939711E-4</v>
      </c>
      <c r="G1152" s="1">
        <f t="shared" ref="G1152:K1152" si="1362">SUM(G1153:G1156)</f>
        <v>1.989161572079067E-3</v>
      </c>
      <c r="H1152" s="1">
        <f t="shared" si="1362"/>
        <v>1.8921883501249253E-3</v>
      </c>
      <c r="I1152" s="1">
        <f t="shared" si="1362"/>
        <v>2.1175481413475136E-6</v>
      </c>
      <c r="J1152" s="1">
        <f t="shared" si="1362"/>
        <v>2.0989771794810335E-6</v>
      </c>
      <c r="K1152" s="1">
        <f t="shared" si="1362"/>
        <v>2.151641056687804E-6</v>
      </c>
      <c r="L1152" s="1">
        <f t="shared" ref="L1152:O1152" si="1363">SUM(L1153:L1156)</f>
        <v>2.0029570188356237E-6</v>
      </c>
      <c r="M1152" s="1">
        <f t="shared" si="1363"/>
        <v>1.5010518914613403E-6</v>
      </c>
      <c r="N1152" s="1">
        <f t="shared" si="1363"/>
        <v>1.4560819236106041E-6</v>
      </c>
      <c r="O1152" s="1">
        <f t="shared" si="1363"/>
        <v>1.9675262948540185E-6</v>
      </c>
      <c r="P1152" s="1">
        <f>SUM(P1153:P1156)</f>
        <v>1.9053980819308517E-6</v>
      </c>
      <c r="Q1152" s="1">
        <f>SUM(Q1153:Q1156)</f>
        <v>7.9010841784798616E-6</v>
      </c>
      <c r="S1152" s="3"/>
    </row>
    <row r="1153" spans="2:19" x14ac:dyDescent="0.5">
      <c r="B1153" s="5" t="str">
        <f t="shared" si="1358"/>
        <v>SPS1</v>
      </c>
      <c r="C1153" s="5" t="str">
        <f t="shared" si="1359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7.205855474669106E-6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8.7392729604109106E-6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9.3446015783253093E-9</v>
      </c>
      <c r="J1153" s="1" cm="1">
        <f t="array" ref="J1153">SUMPRODUCT(("T_C-FC-H2O-S1"=[1]OUT_TransportEnergyCons!$A$3:$A$1000)*1,("Var_Fin"=[1]OUT_TransportEnergyCons!$B$3:$B$1000)*1,ISNUMBER(SEARCH("H2",[1]OUT_TransportEnergyCons!$C$3:$C$1000))*1,[1]OUT_TransportEnergyCons!H$3:H$1000)</f>
        <v>1.1977563995242821E-7</v>
      </c>
      <c r="K1153" s="1" cm="1">
        <f t="array" ref="K1153">SUMPRODUCT(("T_C-FC-H2O-S1"=[1]OUT_TransportEnergyCons!$A$3:$A$1000)*1,("Var_Fin"=[1]OUT_TransportEnergyCons!$B$3:$B$1000)*1,ISNUMBER(SEARCH("H2",[1]OUT_TransportEnergyCons!$C$3:$C$1000))*1,[1]OUT_TransportEnergyCons!I$3:I$1000)</f>
        <v>4.2895953459624698E-7</v>
      </c>
      <c r="L1153" s="1" cm="1">
        <f t="array" ref="L1153">SUMPRODUCT(("T_C-FC-H2O-S1"=[1]OUT_TransportEnergyCons!$A$3:$A$1000)*1,("Var_Fin"=[1]OUT_TransportEnergyCons!$B$3:$B$1000)*1,ISNUMBER(SEARCH("H2",[1]OUT_TransportEnergyCons!$C$3:$C$1000))*1,[1]OUT_TransportEnergyCons!J$3:J$1000)</f>
        <v>1.2714148257779438E-7</v>
      </c>
      <c r="M1153" s="1" cm="1">
        <f t="array" ref="M1153">SUMPRODUCT(("T_C-FC-H2O-S1"=[1]OUT_TransportEnergyCons!$A$3:$A$1000)*1,("Var_Fin"=[1]OUT_TransportEnergyCons!$B$3:$B$1000)*1,ISNUMBER(SEARCH("H2",[1]OUT_TransportEnergyCons!$C$3:$C$1000))*1,[1]OUT_TransportEnergyCons!K$3:K$1000)</f>
        <v>9.9766046310150897E-8</v>
      </c>
      <c r="N1153" s="1" cm="1">
        <f t="array" ref="N1153">SUMPRODUCT(("T_C-FC-H2O-S1"=[1]OUT_TransportEnergyCons!$A$3:$A$1000)*1,("Var_Fin"=[1]OUT_TransportEnergyCons!$B$3:$B$1000)*1,ISNUMBER(SEARCH("H2",[1]OUT_TransportEnergyCons!$C$3:$C$1000))*1,[1]OUT_TransportEnergyCons!L$3:L$1000)</f>
        <v>1.375288235567956E-8</v>
      </c>
      <c r="O1153" s="1" cm="1">
        <f t="array" ref="O1153">SUMPRODUCT(("T_C-FC-H2O-S1"=[1]OUT_TransportEnergyCons!$A$3:$A$1000)*1,("Var_Fin"=[1]OUT_TransportEnergyCons!$B$3:$B$1000)*1,ISNUMBER(SEARCH("H2",[1]OUT_TransportEnergyCons!$C$3:$C$1000))*1,[1]OUT_TransportEnergyCons!M$3:M$1000)</f>
        <v>1.3642401638053319E-8</v>
      </c>
      <c r="P1153" s="1" cm="1">
        <f t="array" ref="P1153">SUMPRODUCT(("T_C-FC-H2O-S1"=[1]OUT_TransportEnergyCons!$A$3:$A$1000)*1,("Var_Fin"=[1]OUT_TransportEnergyCons!$B$3:$B$1000)*1,ISNUMBER(SEARCH("H2",[1]OUT_TransportEnergyCons!$C$3:$C$1000))*1,[1]OUT_TransportEnergyCons!N$3:N$1000)</f>
        <v>0</v>
      </c>
      <c r="Q1153" s="1" cm="1">
        <f t="array" ref="Q1153">SUMPRODUCT(("T_C-FC-H2O-S1"=[1]OUT_TransportEnergyCons!$A$3:$A$1000)*1,("Var_Fin"=[1]OUT_TransportEnergyCons!$B$3:$B$1000)*1,ISNUMBER(SEARCH("H2",[1]OUT_TransportEnergyCons!$C$3:$C$1000))*1,[1]OUT_TransportEnergyCons!O$3:O$1000)</f>
        <v>7.3845641140819446E-7</v>
      </c>
      <c r="S1153" s="3"/>
    </row>
    <row r="1154" spans="2:19" x14ac:dyDescent="0.5">
      <c r="B1154" s="5" t="str">
        <f t="shared" si="1358"/>
        <v>SPS1</v>
      </c>
      <c r="C1154" s="5" t="str">
        <f t="shared" si="1359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8.1123389104584493E-5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9.6866545610145853E-5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9.3817657027224754E-5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5.6695856880007914E-7</v>
      </c>
      <c r="J1154" s="1" cm="1">
        <f t="array" ref="J1154">SUMPRODUCT(("T_C-FC-H2O-S2"=[1]OUT_TransportEnergyCons!$A$3:$A$1000)*1,("Var_Fin"=[1]OUT_TransportEnergyCons!$B$3:$B$1000)*1,ISNUMBER(SEARCH("H2",[1]OUT_TransportEnergyCons!$C$3:$C$1000))*1,[1]OUT_TransportEnergyCons!H$3:H$1000)</f>
        <v>6.605878924755785E-7</v>
      </c>
      <c r="K1154" s="1" cm="1">
        <f t="array" ref="K1154">SUMPRODUCT(("T_C-FC-H2O-S2"=[1]OUT_TransportEnergyCons!$A$3:$A$1000)*1,("Var_Fin"=[1]OUT_TransportEnergyCons!$B$3:$B$1000)*1,ISNUMBER(SEARCH("H2",[1]OUT_TransportEnergyCons!$C$3:$C$1000))*1,[1]OUT_TransportEnergyCons!I$3:I$1000)</f>
        <v>5.7963729155280535E-7</v>
      </c>
      <c r="L1154" s="1" cm="1">
        <f t="array" ref="L1154">SUMPRODUCT(("T_C-FC-H2O-S2"=[1]OUT_TransportEnergyCons!$A$3:$A$1000)*1,("Var_Fin"=[1]OUT_TransportEnergyCons!$B$3:$B$1000)*1,ISNUMBER(SEARCH("H2",[1]OUT_TransportEnergyCons!$C$3:$C$1000))*1,[1]OUT_TransportEnergyCons!J$3:J$1000)</f>
        <v>6.0216023022264788E-7</v>
      </c>
      <c r="M1154" s="1" cm="1">
        <f t="array" ref="M1154">SUMPRODUCT(("T_C-FC-H2O-S2"=[1]OUT_TransportEnergyCons!$A$3:$A$1000)*1,("Var_Fin"=[1]OUT_TransportEnergyCons!$B$3:$B$1000)*1,ISNUMBER(SEARCH("H2",[1]OUT_TransportEnergyCons!$C$3:$C$1000))*1,[1]OUT_TransportEnergyCons!K$3:K$1000)</f>
        <v>4.4312454948516581E-7</v>
      </c>
      <c r="N1154" s="1" cm="1">
        <f t="array" ref="N1154">SUMPRODUCT(("T_C-FC-H2O-S2"=[1]OUT_TransportEnergyCons!$A$3:$A$1000)*1,("Var_Fin"=[1]OUT_TransportEnergyCons!$B$3:$B$1000)*1,ISNUMBER(SEARCH("H2",[1]OUT_TransportEnergyCons!$C$3:$C$1000))*1,[1]OUT_TransportEnergyCons!L$3:L$1000)</f>
        <v>4.2001709501103421E-7</v>
      </c>
      <c r="O1154" s="1" cm="1">
        <f t="array" ref="O1154">SUMPRODUCT(("T_C-FC-H2O-S2"=[1]OUT_TransportEnergyCons!$A$3:$A$1000)*1,("Var_Fin"=[1]OUT_TransportEnergyCons!$B$3:$B$1000)*1,ISNUMBER(SEARCH("H2",[1]OUT_TransportEnergyCons!$C$3:$C$1000))*1,[1]OUT_TransportEnergyCons!M$3:M$1000)</f>
        <v>6.0570310320789991E-7</v>
      </c>
      <c r="P1154" s="1" cm="1">
        <f t="array" ref="P1154">SUMPRODUCT(("T_C-FC-H2O-S2"=[1]OUT_TransportEnergyCons!$A$3:$A$1000)*1,("Var_Fin"=[1]OUT_TransportEnergyCons!$B$3:$B$1000)*1,ISNUMBER(SEARCH("H2",[1]OUT_TransportEnergyCons!$C$3:$C$1000))*1,[1]OUT_TransportEnergyCons!N$3:N$1000)</f>
        <v>3.9746825602377341E-7</v>
      </c>
      <c r="Q1154" s="1" cm="1">
        <f t="array" ref="Q1154">SUMPRODUCT(("T_C-FC-H2O-S2"=[1]OUT_TransportEnergyCons!$A$3:$A$1000)*1,("Var_Fin"=[1]OUT_TransportEnergyCons!$B$3:$B$1000)*1,ISNUMBER(SEARCH("H2",[1]OUT_TransportEnergyCons!$C$3:$C$1000))*1,[1]OUT_TransportEnergyCons!O$3:O$1000)</f>
        <v>2.1824946264852614E-6</v>
      </c>
      <c r="S1154" s="3"/>
    </row>
    <row r="1155" spans="2:19" x14ac:dyDescent="0.5">
      <c r="B1155" s="5" t="str">
        <f t="shared" si="1358"/>
        <v>SPS1</v>
      </c>
      <c r="C1155" s="5" t="str">
        <f t="shared" si="1359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7.7848030016481262E-4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1.8782327471774914E-3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1.7813886437444651E-3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1.0997672512140574E-6</v>
      </c>
      <c r="J1155" s="1" cm="1">
        <f t="array" ref="J1155">SUMPRODUCT(("T_C-FC-H2O-S3"=[1]OUT_TransportEnergyCons!$A$3:$A$1000)*1,("Var_Fin"=[1]OUT_TransportEnergyCons!$B$3:$B$1000)*1,ISNUMBER(SEARCH("H2",[1]OUT_TransportEnergyCons!$C$3:$C$1000))*1,[1]OUT_TransportEnergyCons!H$3:H$1000)</f>
        <v>7.325017814883204E-7</v>
      </c>
      <c r="K1155" s="1" cm="1">
        <f t="array" ref="K1155">SUMPRODUCT(("T_C-FC-H2O-S3"=[1]OUT_TransportEnergyCons!$A$3:$A$1000)*1,("Var_Fin"=[1]OUT_TransportEnergyCons!$B$3:$B$1000)*1,ISNUMBER(SEARCH("H2",[1]OUT_TransportEnergyCons!$C$3:$C$1000))*1,[1]OUT_TransportEnergyCons!I$3:I$1000)</f>
        <v>5.548627872068846E-7</v>
      </c>
      <c r="L1155" s="1" cm="1">
        <f t="array" ref="L1155">SUMPRODUCT(("T_C-FC-H2O-S3"=[1]OUT_TransportEnergyCons!$A$3:$A$1000)*1,("Var_Fin"=[1]OUT_TransportEnergyCons!$B$3:$B$1000)*1,ISNUMBER(SEARCH("H2",[1]OUT_TransportEnergyCons!$C$3:$C$1000))*1,[1]OUT_TransportEnergyCons!J$3:J$1000)</f>
        <v>6.5065575359776574E-7</v>
      </c>
      <c r="M1155" s="1" cm="1">
        <f t="array" ref="M1155">SUMPRODUCT(("T_C-FC-H2O-S3"=[1]OUT_TransportEnergyCons!$A$3:$A$1000)*1,("Var_Fin"=[1]OUT_TransportEnergyCons!$B$3:$B$1000)*1,ISNUMBER(SEARCH("H2",[1]OUT_TransportEnergyCons!$C$3:$C$1000))*1,[1]OUT_TransportEnergyCons!K$3:K$1000)</f>
        <v>5.5409468085694841E-7</v>
      </c>
      <c r="N1155" s="1" cm="1">
        <f t="array" ref="N1155">SUMPRODUCT(("T_C-FC-H2O-S3"=[1]OUT_TransportEnergyCons!$A$3:$A$1000)*1,("Var_Fin"=[1]OUT_TransportEnergyCons!$B$3:$B$1000)*1,ISNUMBER(SEARCH("H2",[1]OUT_TransportEnergyCons!$C$3:$C$1000))*1,[1]OUT_TransportEnergyCons!L$3:L$1000)</f>
        <v>6.5995300994135783E-7</v>
      </c>
      <c r="O1155" s="1" cm="1">
        <f t="array" ref="O1155">SUMPRODUCT(("T_C-FC-H2O-S3"=[1]OUT_TransportEnergyCons!$A$3:$A$1000)*1,("Var_Fin"=[1]OUT_TransportEnergyCons!$B$3:$B$1000)*1,ISNUMBER(SEARCH("H2",[1]OUT_TransportEnergyCons!$C$3:$C$1000))*1,[1]OUT_TransportEnergyCons!M$3:M$1000)</f>
        <v>8.6286518687593091E-7</v>
      </c>
      <c r="P1155" s="1" cm="1">
        <f t="array" ref="P1155">SUMPRODUCT(("T_C-FC-H2O-S3"=[1]OUT_TransportEnergyCons!$A$3:$A$1000)*1,("Var_Fin"=[1]OUT_TransportEnergyCons!$B$3:$B$1000)*1,ISNUMBER(SEARCH("H2",[1]OUT_TransportEnergyCons!$C$3:$C$1000))*1,[1]OUT_TransportEnergyCons!N$3:N$1000)</f>
        <v>1.2574383652693937E-6</v>
      </c>
      <c r="Q1155" s="1" cm="1">
        <f t="array" ref="Q1155">SUMPRODUCT(("T_C-FC-H2O-S3"=[1]OUT_TransportEnergyCons!$A$3:$A$1000)*1,("Var_Fin"=[1]OUT_TransportEnergyCons!$B$3:$B$1000)*1,ISNUMBER(SEARCH("H2",[1]OUT_TransportEnergyCons!$C$3:$C$1000))*1,[1]OUT_TransportEnergyCons!O$3:O$1000)</f>
        <v>2.9587632534178786E-6</v>
      </c>
      <c r="S1155" s="3"/>
    </row>
    <row r="1156" spans="2:19" x14ac:dyDescent="0.5">
      <c r="B1156" s="5" t="str">
        <f t="shared" si="1358"/>
        <v>SPS1</v>
      </c>
      <c r="C1156" s="5" t="str">
        <f t="shared" si="1359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6.8564238167609449E-6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8.2427763928245629E-6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4.4147771975505178E-7</v>
      </c>
      <c r="J1156" s="1" cm="1">
        <f t="array" ref="J1156">SUMPRODUCT(("T_C-FC-H2O-S4"=[1]OUT_TransportEnergyCons!$A$3:$A$1000)*1,("Var_Fin"=[1]OUT_TransportEnergyCons!$B$3:$B$1000)*1,ISNUMBER(SEARCH("H2",[1]OUT_TransportEnergyCons!$C$3:$C$1000))*1,[1]OUT_TransportEnergyCons!H$3:H$1000)</f>
        <v>5.8611186556470632E-7</v>
      </c>
      <c r="K1156" s="1" cm="1">
        <f t="array" ref="K1156">SUMPRODUCT(("T_C-FC-H2O-S4"=[1]OUT_TransportEnergyCons!$A$3:$A$1000)*1,("Var_Fin"=[1]OUT_TransportEnergyCons!$B$3:$B$1000)*1,ISNUMBER(SEARCH("H2",[1]OUT_TransportEnergyCons!$C$3:$C$1000))*1,[1]OUT_TransportEnergyCons!I$3:I$1000)</f>
        <v>5.8818144333186694E-7</v>
      </c>
      <c r="L1156" s="1" cm="1">
        <f t="array" ref="L1156">SUMPRODUCT(("T_C-FC-H2O-S4"=[1]OUT_TransportEnergyCons!$A$3:$A$1000)*1,("Var_Fin"=[1]OUT_TransportEnergyCons!$B$3:$B$1000)*1,ISNUMBER(SEARCH("H2",[1]OUT_TransportEnergyCons!$C$3:$C$1000))*1,[1]OUT_TransportEnergyCons!J$3:J$1000)</f>
        <v>6.2299955243741572E-7</v>
      </c>
      <c r="M1156" s="1" cm="1">
        <f t="array" ref="M1156">SUMPRODUCT(("T_C-FC-H2O-S4"=[1]OUT_TransportEnergyCons!$A$3:$A$1000)*1,("Var_Fin"=[1]OUT_TransportEnergyCons!$B$3:$B$1000)*1,ISNUMBER(SEARCH("H2",[1]OUT_TransportEnergyCons!$C$3:$C$1000))*1,[1]OUT_TransportEnergyCons!K$3:K$1000)</f>
        <v>4.0406661480907511E-7</v>
      </c>
      <c r="N1156" s="1" cm="1">
        <f t="array" ref="N1156">SUMPRODUCT(("T_C-FC-H2O-S4"=[1]OUT_TransportEnergyCons!$A$3:$A$1000)*1,("Var_Fin"=[1]OUT_TransportEnergyCons!$B$3:$B$1000)*1,ISNUMBER(SEARCH("H2",[1]OUT_TransportEnergyCons!$C$3:$C$1000))*1,[1]OUT_TransportEnergyCons!L$3:L$1000)</f>
        <v>3.6235893630253251E-7</v>
      </c>
      <c r="O1156" s="1" cm="1">
        <f t="array" ref="O1156">SUMPRODUCT(("T_C-FC-H2O-S4"=[1]OUT_TransportEnergyCons!$A$3:$A$1000)*1,("Var_Fin"=[1]OUT_TransportEnergyCons!$B$3:$B$1000)*1,ISNUMBER(SEARCH("H2",[1]OUT_TransportEnergyCons!$C$3:$C$1000))*1,[1]OUT_TransportEnergyCons!M$3:M$1000)</f>
        <v>4.8531560313213448E-7</v>
      </c>
      <c r="P1156" s="1" cm="1">
        <f t="array" ref="P1156">SUMPRODUCT(("T_C-FC-H2O-S4"=[1]OUT_TransportEnergyCons!$A$3:$A$1000)*1,("Var_Fin"=[1]OUT_TransportEnergyCons!$B$3:$B$1000)*1,ISNUMBER(SEARCH("H2",[1]OUT_TransportEnergyCons!$C$3:$C$1000))*1,[1]OUT_TransportEnergyCons!N$3:N$1000)</f>
        <v>2.5049146063768443E-7</v>
      </c>
      <c r="Q1156" s="1" cm="1">
        <f t="array" ref="Q1156">SUMPRODUCT(("T_C-FC-H2O-S4"=[1]OUT_TransportEnergyCons!$A$3:$A$1000)*1,("Var_Fin"=[1]OUT_TransportEnergyCons!$B$3:$B$1000)*1,ISNUMBER(SEARCH("H2",[1]OUT_TransportEnergyCons!$C$3:$C$1000))*1,[1]OUT_TransportEnergyCons!O$3:O$1000)</f>
        <v>2.0213698871685261E-6</v>
      </c>
      <c r="S1156" s="3"/>
    </row>
    <row r="1157" spans="2:19" x14ac:dyDescent="0.5">
      <c r="B1157" s="5" t="str">
        <f t="shared" si="1358"/>
        <v>SPS1</v>
      </c>
      <c r="C1157" s="5" t="str">
        <f t="shared" si="1359"/>
        <v>CH</v>
      </c>
      <c r="D1157" t="s">
        <v>1257</v>
      </c>
      <c r="E1157" t="s">
        <v>8</v>
      </c>
      <c r="F1157" s="1">
        <f>SUM(F1162:F1179)</f>
        <v>77.877967460140979</v>
      </c>
      <c r="G1157" s="1">
        <f t="shared" ref="G1157:K1157" si="1364">SUM(G1162:G1179)</f>
        <v>74.660968468110582</v>
      </c>
      <c r="H1157" s="1">
        <f t="shared" si="1364"/>
        <v>77.949166507904025</v>
      </c>
      <c r="I1157" s="1">
        <f t="shared" si="1364"/>
        <v>45.206115796008973</v>
      </c>
      <c r="J1157" s="1">
        <f t="shared" si="1364"/>
        <v>18.508300863461887</v>
      </c>
      <c r="K1157" s="1">
        <f t="shared" si="1364"/>
        <v>8.3516687199103998</v>
      </c>
      <c r="L1157" s="1">
        <f t="shared" ref="L1157:O1157" si="1365">SUM(L1162:L1179)</f>
        <v>6.5509652584984099</v>
      </c>
      <c r="M1157" s="1">
        <f t="shared" si="1365"/>
        <v>1.7137840390251178</v>
      </c>
      <c r="N1157" s="1">
        <f t="shared" si="1365"/>
        <v>1.8482585059453798</v>
      </c>
      <c r="O1157" s="1">
        <f t="shared" si="1365"/>
        <v>1.7102608409517648</v>
      </c>
      <c r="P1157" s="1">
        <f>SUM(P1162:P1179)</f>
        <v>1.5690852707783756</v>
      </c>
      <c r="Q1157" s="1">
        <f>SUM(Q1162:Q1179)</f>
        <v>1.2602607039794811</v>
      </c>
      <c r="S1157" s="3"/>
    </row>
    <row r="1158" spans="2:19" x14ac:dyDescent="0.5">
      <c r="B1158" s="5" t="str">
        <f>B1157</f>
        <v>SPS1</v>
      </c>
      <c r="C1158" s="5" t="str">
        <f t="shared" si="1359"/>
        <v>CH</v>
      </c>
      <c r="D1158" t="s">
        <v>1258</v>
      </c>
      <c r="E1158" t="str">
        <f>E1157</f>
        <v>PJ/yr.</v>
      </c>
      <c r="F1158" s="1">
        <f t="shared" ref="F1158:J1158" si="1366">IF(F1157-F1159&lt;0,0,F1157-F1159)</f>
        <v>73.61490731987503</v>
      </c>
      <c r="G1158" s="1">
        <f t="shared" si="1366"/>
        <v>70.574013805288502</v>
      </c>
      <c r="H1158" s="1">
        <f t="shared" si="1366"/>
        <v>73.682211305141621</v>
      </c>
      <c r="I1158" s="1">
        <f t="shared" si="1366"/>
        <v>42.730962080781708</v>
      </c>
      <c r="J1158" s="1">
        <f t="shared" si="1366"/>
        <v>17.442711460645551</v>
      </c>
      <c r="K1158" s="1">
        <f>IF(K1157-K1159&lt;0,0,K1157-K1159)</f>
        <v>7.7687492966970915</v>
      </c>
      <c r="L1158" s="1">
        <f t="shared" ref="L1158:O1158" si="1367">IF(L1157-L1159&lt;0,0,L1157-L1159)</f>
        <v>2.5799619218713286</v>
      </c>
      <c r="M1158" s="1">
        <f t="shared" si="1367"/>
        <v>0</v>
      </c>
      <c r="N1158" s="1">
        <f t="shared" si="1367"/>
        <v>0.21561915813489274</v>
      </c>
      <c r="O1158" s="1">
        <f t="shared" si="1367"/>
        <v>0.19992758919353215</v>
      </c>
      <c r="P1158" s="1">
        <f>IF(P1157-P1159&lt;0,0,P1157-P1159)</f>
        <v>0.13707105689237253</v>
      </c>
      <c r="Q1158" s="1">
        <f>IF(Q1157-Q1159&lt;0,0,Q1157-Q1159)</f>
        <v>0.1052308549273886</v>
      </c>
      <c r="S1158" s="3"/>
    </row>
    <row r="1159" spans="2:19" x14ac:dyDescent="0.5">
      <c r="B1159" s="5" t="str">
        <f t="shared" ref="B1159:B1161" si="1368">B1158</f>
        <v>SPS1</v>
      </c>
      <c r="C1159" s="5" t="str">
        <f t="shared" si="1359"/>
        <v>CH</v>
      </c>
      <c r="D1159" t="s">
        <v>1259</v>
      </c>
      <c r="E1159" t="str">
        <f>E1158</f>
        <v>PJ/yr.</v>
      </c>
      <c r="F1159" s="1">
        <f>SUM(F1160:F1161)</f>
        <v>4.2630601402659503</v>
      </c>
      <c r="G1159" s="1">
        <f t="shared" ref="G1159" si="1369">SUM(G1160:G1161)</f>
        <v>4.0869546628220741</v>
      </c>
      <c r="H1159" s="1">
        <f t="shared" ref="H1159" si="1370">SUM(H1160:H1161)</f>
        <v>4.2669552027624089</v>
      </c>
      <c r="I1159" s="1">
        <f t="shared" ref="I1159" si="1371">SUM(I1160:I1161)</f>
        <v>2.4751537152272638</v>
      </c>
      <c r="J1159" s="1">
        <f t="shared" ref="J1159" si="1372">SUM(J1160:J1161)</f>
        <v>1.065589402816336</v>
      </c>
      <c r="K1159" s="1">
        <f t="shared" ref="K1159" si="1373">SUM(K1160:K1161)</f>
        <v>0.58291942321330792</v>
      </c>
      <c r="L1159" s="1">
        <f t="shared" ref="L1159:O1159" si="1374">SUM(L1160:L1161)</f>
        <v>3.9710033366270814</v>
      </c>
      <c r="M1159" s="1">
        <f t="shared" si="1374"/>
        <v>1.7176192339360101</v>
      </c>
      <c r="N1159" s="1">
        <f t="shared" si="1374"/>
        <v>1.632639347810487</v>
      </c>
      <c r="O1159" s="1">
        <f t="shared" si="1374"/>
        <v>1.5103332517582326</v>
      </c>
      <c r="P1159" s="1">
        <f>SUM(P1160:P1161)</f>
        <v>1.432014213886003</v>
      </c>
      <c r="Q1159" s="1">
        <f>SUM(Q1160:Q1161)</f>
        <v>1.1550298490520925</v>
      </c>
      <c r="S1159" s="3"/>
    </row>
    <row r="1160" spans="2:19" x14ac:dyDescent="0.5">
      <c r="B1160" s="5" t="str">
        <f t="shared" si="1368"/>
        <v>SPS1</v>
      </c>
      <c r="C1160" s="5" t="str">
        <f t="shared" si="1359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4.2630601402659503</v>
      </c>
      <c r="G1160" s="1">
        <f>[1]Transport!C$25/SUM([1]Transport!C$21,[1]Transport!C$25)*G1157*(G$35+G$600)/(G$35+G$600+G$39)</f>
        <v>4.0869546628220741</v>
      </c>
      <c r="H1160" s="1">
        <f>[1]Transport!D$25/SUM([1]Transport!D$21,[1]Transport!D$25)*H1157*(H$35+H$600)/(H$35+H$600+H$39)</f>
        <v>4.2669552027624089</v>
      </c>
      <c r="I1160" s="1">
        <f>[1]Transport!E$25/SUM([1]Transport!E$21,[1]Transport!E$25)*I1157*(I$35+I$600)/(I$35+I$600+I$39)</f>
        <v>2.4751537152272638</v>
      </c>
      <c r="J1160" s="1">
        <f>[1]Transport!F$25/SUM([1]Transport!F$21,[1]Transport!F$25)*J1157*(J$35+J$600)/(J$35+J$600+J$39)</f>
        <v>1.065589402816336</v>
      </c>
      <c r="K1160" s="1">
        <f>[1]Transport!G$25/SUM([1]Transport!G$21,[1]Transport!G$25)*K1157*(K$35+K$600)/(K$35+K$600+K$39)</f>
        <v>0.45729753055684674</v>
      </c>
      <c r="L1160" s="1">
        <f>[1]Transport!H$25/SUM([1]Transport!H$21,[1]Transport!H$25)*L1157*(L$35+L$600)/(L$35+L$600+L$39)</f>
        <v>3.7407424104458897</v>
      </c>
      <c r="M1160" s="1">
        <f>[1]Transport!I$25/SUM([1]Transport!I$21,[1]Transport!I$25)*M1157*(M$35+M$600)/(M$35+M$600+M$39)</f>
        <v>1.4566524688371048</v>
      </c>
      <c r="N1160" s="1">
        <f>[1]Transport!J$25/SUM([1]Transport!J$21,[1]Transport!J$25)*N1157*(N$35+N$600)/(N$35+N$600+N$39)</f>
        <v>1.5709695570125295</v>
      </c>
      <c r="O1160" s="1">
        <f>[1]Transport!K$25/SUM([1]Transport!K$21,[1]Transport!K$25)*O1157*(O$35+O$600)/(O$35+O$600+O$39)</f>
        <v>1.4536346825815232</v>
      </c>
      <c r="P1160" s="1">
        <f>[1]Transport!L$25/SUM([1]Transport!L$21,[1]Transport!L$25)*P1157*(P$35+P$600)/(P$35+P$600+P$39)</f>
        <v>1.3336402513912304</v>
      </c>
      <c r="Q1160" s="1">
        <f>[1]Transport!M$25/SUM([1]Transport!M$21,[1]Transport!M$25)*Q1157*(Q$35+Q$600)/(Q$35+Q$600+Q$39)</f>
        <v>1.071078131357631</v>
      </c>
      <c r="S1160" s="3"/>
    </row>
    <row r="1161" spans="2:19" x14ac:dyDescent="0.5">
      <c r="B1161" s="5" t="str">
        <f t="shared" si="1368"/>
        <v>SPS1</v>
      </c>
      <c r="C1161" s="5" t="str">
        <f t="shared" si="1359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(J$39+J$719)/([1]Transport!F$21+[1]Transport!F$25)*J1157</f>
        <v>0</v>
      </c>
      <c r="K1161" s="1">
        <f>(K$39+K$719)/([1]Transport!G$21+[1]Transport!G$25)*K1157</f>
        <v>0.12562189265646123</v>
      </c>
      <c r="L1161" s="1">
        <f>(L$39+L$719)/([1]Transport!H$21+[1]Transport!H$25)*L1157</f>
        <v>0.23026092618119187</v>
      </c>
      <c r="M1161" s="1">
        <f>(M$39+M$719)/([1]Transport!I$21+[1]Transport!I$25)*M1157</f>
        <v>0.26096676509890543</v>
      </c>
      <c r="N1161" s="1">
        <f>(N$39+N$719)/([1]Transport!J$21+[1]Transport!J$25)*N1157</f>
        <v>6.1669790797957494E-2</v>
      </c>
      <c r="O1161" s="1">
        <f>(O$39+O$719)/([1]Transport!K$21+[1]Transport!K$25)*O1157</f>
        <v>5.6698569176709408E-2</v>
      </c>
      <c r="P1161" s="1">
        <f>(P$39+P$719)/([1]Transport!L$21+[1]Transport!L$25)*P1157</f>
        <v>9.8373962494772635E-2</v>
      </c>
      <c r="Q1161" s="1">
        <f>(Q$39+Q$719)/([1]Transport!M$21+[1]Transport!M$25)*Q1157</f>
        <v>8.3951717694461456E-2</v>
      </c>
      <c r="S1161" s="3"/>
    </row>
    <row r="1162" spans="2:19" x14ac:dyDescent="0.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1.2540575605627133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1.2428791984805037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0.92518210223147646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0.43896282349243476</v>
      </c>
      <c r="J1162" s="1" cm="1">
        <f t="array" ref="J1162">SUMPRODUCT(("T_C-HYBGSLEXT"=[1]OUT_TransportEnergyCons!$A$3:$A$1000)*1,("Var_Fin"=[1]OUT_TransportEnergyCons!$B$3:$B$1000)*1,ISNUMBER(SEARCH("GSL",[1]OUT_TransportEnergyCons!$C$3:$C$1000))*1,[1]OUT_TransportEnergyCons!H$3:H$1000)</f>
        <v>0</v>
      </c>
      <c r="K1162" s="1" cm="1">
        <f t="array" ref="K1162">SUMPRODUCT(("T_C-HYBGSLEXT"=[1]OUT_TransportEnergyCons!$A$3:$A$1000)*1,("Var_Fin"=[1]OUT_TransportEnergyCons!$B$3:$B$1000)*1,ISNUMBER(SEARCH("GSL",[1]OUT_TransportEnergyCons!$C$3:$C$1000))*1,[1]OUT_TransportEnergyCons!I$3:I$1000)</f>
        <v>0</v>
      </c>
      <c r="L1162" s="1" cm="1">
        <f t="array" ref="L1162">SUMPRODUCT(("T_C-HYBGSLEXT"=[1]OUT_TransportEnergyCons!$A$3:$A$1000)*1,("Var_Fin"=[1]OUT_TransportEnergyCons!$B$3:$B$1000)*1,ISNUMBER(SEARCH("GSL",[1]OUT_TransportEnergyCons!$C$3:$C$1000))*1,[1]OUT_TransportEnergyCons!J$3:J$1000)</f>
        <v>0</v>
      </c>
      <c r="M1162" s="1" cm="1">
        <f t="array" ref="M1162">SUMPRODUCT(("T_C-HYBGSLEXT"=[1]OUT_TransportEnergyCons!$A$3:$A$1000)*1,("Var_Fin"=[1]OUT_TransportEnergyCons!$B$3:$B$1000)*1,ISNUMBER(SEARCH("GSL",[1]OUT_TransportEnergyCons!$C$3:$C$1000))*1,[1]OUT_TransportEnergyCons!K$3:K$1000)</f>
        <v>0</v>
      </c>
      <c r="N1162" s="1" cm="1">
        <f t="array" ref="N1162">SUMPRODUCT(("T_C-HYBGSLEXT"=[1]OUT_TransportEnergyCons!$A$3:$A$1000)*1,("Var_Fin"=[1]OUT_TransportEnergyCons!$B$3:$B$1000)*1,ISNUMBER(SEARCH("GSL",[1]OUT_TransportEnergyCons!$C$3:$C$1000))*1,[1]OUT_TransportEnergyCons!L$3:L$1000)</f>
        <v>0</v>
      </c>
      <c r="O1162" s="1" cm="1">
        <f t="array" ref="O1162">SUMPRODUCT(("T_C-HYBGSLEXT"=[1]OUT_TransportEnergyCons!$A$3:$A$1000)*1,("Var_Fin"=[1]OUT_TransportEnergyCons!$B$3:$B$1000)*1,ISNUMBER(SEARCH("GSL",[1]OUT_TransportEnergyCons!$C$3:$C$1000))*1,[1]OUT_TransportEnergyCons!M$3:M$1000)</f>
        <v>0</v>
      </c>
      <c r="P1162" s="1" cm="1">
        <f t="array" ref="P1162">SUMPRODUCT(("T_C-HYBGSLEXT"=[1]OUT_TransportEnergyCons!$A$3:$A$1000)*1,("Var_Fin"=[1]OUT_TransportEnergyCons!$B$3:$B$1000)*1,ISNUMBER(SEARCH("GSL",[1]OUT_TransportEnergyCons!$C$3:$C$1000))*1,[1]OUT_TransportEnergyCons!N$3:N$1000)</f>
        <v>0</v>
      </c>
      <c r="Q1162" s="1" cm="1">
        <f t="array" ref="Q1162">SUMPRODUCT(("T_C-HYBGSLEXT"=[1]OUT_TransportEnergyCons!$A$3:$A$1000)*1,("Var_Fin"=[1]OUT_TransportEnergyCons!$B$3:$B$1000)*1,ISNUMBER(SEARCH("GSL",[1]OUT_TransportEnergyCons!$C$3:$C$1000))*1,[1]OUT_TransportEnergyCons!O$3:O$1000)</f>
        <v>0</v>
      </c>
      <c r="S1162" s="3"/>
    </row>
    <row r="1163" spans="2:19" x14ac:dyDescent="0.5">
      <c r="B1163" s="5" t="str">
        <f t="shared" si="1358"/>
        <v>SPS1</v>
      </c>
      <c r="C1163" s="5" t="str">
        <f t="shared" si="1359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4.6383377818931551E-2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5.3402115041473519E-2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3.7600577947886328E-2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2.8931960958452168E-2</v>
      </c>
      <c r="J1163" s="1" cm="1">
        <f t="array" ref="J1163">SUMPRODUCT(("T_C-HY-GSL-S1"=[1]OUT_TransportEnergyCons!$A$3:$A$1000)*1,("Var_Fin"=[1]OUT_TransportEnergyCons!$B$3:$B$1000)*1,ISNUMBER(SEARCH("GSL",[1]OUT_TransportEnergyCons!$C$3:$C$1000))*1,[1]OUT_TransportEnergyCons!H$3:H$1000)</f>
        <v>2.135161176855617E-3</v>
      </c>
      <c r="K1163" s="1" cm="1">
        <f t="array" ref="K1163">SUMPRODUCT(("T_C-HY-GSL-S1"=[1]OUT_TransportEnergyCons!$A$3:$A$1000)*1,("Var_Fin"=[1]OUT_TransportEnergyCons!$B$3:$B$1000)*1,ISNUMBER(SEARCH("GSL",[1]OUT_TransportEnergyCons!$C$3:$C$1000))*1,[1]OUT_TransportEnergyCons!I$3:I$1000)</f>
        <v>1.2918388106604168E-4</v>
      </c>
      <c r="L1163" s="1" cm="1">
        <f t="array" ref="L1163">SUMPRODUCT(("T_C-HY-GSL-S1"=[1]OUT_TransportEnergyCons!$A$3:$A$1000)*1,("Var_Fin"=[1]OUT_TransportEnergyCons!$B$3:$B$1000)*1,ISNUMBER(SEARCH("GSL",[1]OUT_TransportEnergyCons!$C$3:$C$1000))*1,[1]OUT_TransportEnergyCons!J$3:J$1000)</f>
        <v>0</v>
      </c>
      <c r="M1163" s="1" cm="1">
        <f t="array" ref="M1163">SUMPRODUCT(("T_C-HY-GSL-S1"=[1]OUT_TransportEnergyCons!$A$3:$A$1000)*1,("Var_Fin"=[1]OUT_TransportEnergyCons!$B$3:$B$1000)*1,ISNUMBER(SEARCH("GSL",[1]OUT_TransportEnergyCons!$C$3:$C$1000))*1,[1]OUT_TransportEnergyCons!K$3:K$1000)</f>
        <v>0</v>
      </c>
      <c r="N1163" s="1" cm="1">
        <f t="array" ref="N1163">SUMPRODUCT(("T_C-HY-GSL-S1"=[1]OUT_TransportEnergyCons!$A$3:$A$1000)*1,("Var_Fin"=[1]OUT_TransportEnergyCons!$B$3:$B$1000)*1,ISNUMBER(SEARCH("GSL",[1]OUT_TransportEnergyCons!$C$3:$C$1000))*1,[1]OUT_TransportEnergyCons!L$3:L$1000)</f>
        <v>0</v>
      </c>
      <c r="O1163" s="1" cm="1">
        <f t="array" ref="O1163">SUMPRODUCT(("T_C-HY-GSL-S1"=[1]OUT_TransportEnergyCons!$A$3:$A$1000)*1,("Var_Fin"=[1]OUT_TransportEnergyCons!$B$3:$B$1000)*1,ISNUMBER(SEARCH("GSL",[1]OUT_TransportEnergyCons!$C$3:$C$1000))*1,[1]OUT_TransportEnergyCons!M$3:M$1000)</f>
        <v>0</v>
      </c>
      <c r="P1163" s="1" cm="1">
        <f t="array" ref="P1163">SUMPRODUCT(("T_C-HY-GSL-S1"=[1]OUT_TransportEnergyCons!$A$3:$A$1000)*1,("Var_Fin"=[1]OUT_TransportEnergyCons!$B$3:$B$1000)*1,ISNUMBER(SEARCH("GSL",[1]OUT_TransportEnergyCons!$C$3:$C$1000))*1,[1]OUT_TransportEnergyCons!N$3:N$1000)</f>
        <v>0</v>
      </c>
      <c r="Q1163" s="1" cm="1">
        <f t="array" ref="Q1163">SUMPRODUCT(("T_C-HY-GSL-S1"=[1]OUT_TransportEnergyCons!$A$3:$A$1000)*1,("Var_Fin"=[1]OUT_TransportEnergyCons!$B$3:$B$1000)*1,ISNUMBER(SEARCH("GSL",[1]OUT_TransportEnergyCons!$C$3:$C$1000))*1,[1]OUT_TransportEnergyCons!O$3:O$1000)</f>
        <v>0</v>
      </c>
      <c r="S1163" s="3"/>
    </row>
    <row r="1164" spans="2:19" x14ac:dyDescent="0.5">
      <c r="B1164" s="5" t="str">
        <f t="shared" si="1358"/>
        <v>SPS1</v>
      </c>
      <c r="C1164" s="5" t="str">
        <f t="shared" si="1359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0.13651849822082665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0.21233941011567267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0.78226397805344472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0.67741427235787377</v>
      </c>
      <c r="J1164" s="1" cm="1">
        <f t="array" ref="J1164">SUMPRODUCT(("T_C-HY-GSL-S2"=[1]OUT_TransportEnergyCons!$A$3:$A$1000)*1,("Var_Fin"=[1]OUT_TransportEnergyCons!$B$3:$B$1000)*1,ISNUMBER(SEARCH("GSL",[1]OUT_TransportEnergyCons!$C$3:$C$1000))*1,[1]OUT_TransportEnergyCons!H$3:H$1000)</f>
        <v>0.28969260834301847</v>
      </c>
      <c r="K1164" s="1" cm="1">
        <f t="array" ref="K1164">SUMPRODUCT(("T_C-HY-GSL-S2"=[1]OUT_TransportEnergyCons!$A$3:$A$1000)*1,("Var_Fin"=[1]OUT_TransportEnergyCons!$B$3:$B$1000)*1,ISNUMBER(SEARCH("GSL",[1]OUT_TransportEnergyCons!$C$3:$C$1000))*1,[1]OUT_TransportEnergyCons!I$3:I$1000)</f>
        <v>4.2942127444398612E-2</v>
      </c>
      <c r="L1164" s="1" cm="1">
        <f t="array" ref="L1164">SUMPRODUCT(("T_C-HY-GSL-S2"=[1]OUT_TransportEnergyCons!$A$3:$A$1000)*1,("Var_Fin"=[1]OUT_TransportEnergyCons!$B$3:$B$1000)*1,ISNUMBER(SEARCH("GSL",[1]OUT_TransportEnergyCons!$C$3:$C$1000))*1,[1]OUT_TransportEnergyCons!J$3:J$1000)</f>
        <v>0</v>
      </c>
      <c r="M1164" s="1" cm="1">
        <f t="array" ref="M1164">SUMPRODUCT(("T_C-HY-GSL-S2"=[1]OUT_TransportEnergyCons!$A$3:$A$1000)*1,("Var_Fin"=[1]OUT_TransportEnergyCons!$B$3:$B$1000)*1,ISNUMBER(SEARCH("GSL",[1]OUT_TransportEnergyCons!$C$3:$C$1000))*1,[1]OUT_TransportEnergyCons!K$3:K$1000)</f>
        <v>0</v>
      </c>
      <c r="N1164" s="1" cm="1">
        <f t="array" ref="N1164">SUMPRODUCT(("T_C-HY-GSL-S2"=[1]OUT_TransportEnergyCons!$A$3:$A$1000)*1,("Var_Fin"=[1]OUT_TransportEnergyCons!$B$3:$B$1000)*1,ISNUMBER(SEARCH("GSL",[1]OUT_TransportEnergyCons!$C$3:$C$1000))*1,[1]OUT_TransportEnergyCons!L$3:L$1000)</f>
        <v>0</v>
      </c>
      <c r="O1164" s="1" cm="1">
        <f t="array" ref="O1164">SUMPRODUCT(("T_C-HY-GSL-S2"=[1]OUT_TransportEnergyCons!$A$3:$A$1000)*1,("Var_Fin"=[1]OUT_TransportEnergyCons!$B$3:$B$1000)*1,ISNUMBER(SEARCH("GSL",[1]OUT_TransportEnergyCons!$C$3:$C$1000))*1,[1]OUT_TransportEnergyCons!M$3:M$1000)</f>
        <v>0</v>
      </c>
      <c r="P1164" s="1" cm="1">
        <f t="array" ref="P1164">SUMPRODUCT(("T_C-HY-GSL-S2"=[1]OUT_TransportEnergyCons!$A$3:$A$1000)*1,("Var_Fin"=[1]OUT_TransportEnergyCons!$B$3:$B$1000)*1,ISNUMBER(SEARCH("GSL",[1]OUT_TransportEnergyCons!$C$3:$C$1000))*1,[1]OUT_TransportEnergyCons!N$3:N$1000)</f>
        <v>0</v>
      </c>
      <c r="Q1164" s="1" cm="1">
        <f t="array" ref="Q1164">SUMPRODUCT(("T_C-HY-GSL-S2"=[1]OUT_TransportEnergyCons!$A$3:$A$1000)*1,("Var_Fin"=[1]OUT_TransportEnergyCons!$B$3:$B$1000)*1,ISNUMBER(SEARCH("GSL",[1]OUT_TransportEnergyCons!$C$3:$C$1000))*1,[1]OUT_TransportEnergyCons!O$3:O$1000)</f>
        <v>0</v>
      </c>
      <c r="S1164" s="3"/>
    </row>
    <row r="1165" spans="2:19" x14ac:dyDescent="0.5">
      <c r="B1165" s="5" t="str">
        <f t="shared" si="1358"/>
        <v>SPS1</v>
      </c>
      <c r="C1165" s="5" t="str">
        <f t="shared" si="1359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0.10141130955617994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1.1197481034508288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1.0592846342671731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0.84672044742665376</v>
      </c>
      <c r="J1165" s="1" cm="1">
        <f t="array" ref="J1165">SUMPRODUCT(("T_C-HY-GSL-S3"=[1]OUT_TransportEnergyCons!$A$3:$A$1000)*1,("Var_Fin"=[1]OUT_TransportEnergyCons!$B$3:$B$1000)*1,ISNUMBER(SEARCH("GSL",[1]OUT_TransportEnergyCons!$C$3:$C$1000))*1,[1]OUT_TransportEnergyCons!H$3:H$1000)</f>
        <v>0.26788706161167752</v>
      </c>
      <c r="K1165" s="1" cm="1">
        <f t="array" ref="K1165">SUMPRODUCT(("T_C-HY-GSL-S3"=[1]OUT_TransportEnergyCons!$A$3:$A$1000)*1,("Var_Fin"=[1]OUT_TransportEnergyCons!$B$3:$B$1000)*1,ISNUMBER(SEARCH("GSL",[1]OUT_TransportEnergyCons!$C$3:$C$1000))*1,[1]OUT_TransportEnergyCons!I$3:I$1000)</f>
        <v>4.8926905832255456E-5</v>
      </c>
      <c r="L1165" s="1" cm="1">
        <f t="array" ref="L1165">SUMPRODUCT(("T_C-HY-GSL-S3"=[1]OUT_TransportEnergyCons!$A$3:$A$1000)*1,("Var_Fin"=[1]OUT_TransportEnergyCons!$B$3:$B$1000)*1,ISNUMBER(SEARCH("GSL",[1]OUT_TransportEnergyCons!$C$3:$C$1000))*1,[1]OUT_TransportEnergyCons!J$3:J$1000)</f>
        <v>0</v>
      </c>
      <c r="M1165" s="1" cm="1">
        <f t="array" ref="M1165">SUMPRODUCT(("T_C-HY-GSL-S3"=[1]OUT_TransportEnergyCons!$A$3:$A$1000)*1,("Var_Fin"=[1]OUT_TransportEnergyCons!$B$3:$B$1000)*1,ISNUMBER(SEARCH("GSL",[1]OUT_TransportEnergyCons!$C$3:$C$1000))*1,[1]OUT_TransportEnergyCons!K$3:K$1000)</f>
        <v>0</v>
      </c>
      <c r="N1165" s="1" cm="1">
        <f t="array" ref="N1165">SUMPRODUCT(("T_C-HY-GSL-S3"=[1]OUT_TransportEnergyCons!$A$3:$A$1000)*1,("Var_Fin"=[1]OUT_TransportEnergyCons!$B$3:$B$1000)*1,ISNUMBER(SEARCH("GSL",[1]OUT_TransportEnergyCons!$C$3:$C$1000))*1,[1]OUT_TransportEnergyCons!L$3:L$1000)</f>
        <v>0</v>
      </c>
      <c r="O1165" s="1" cm="1">
        <f t="array" ref="O1165">SUMPRODUCT(("T_C-HY-GSL-S3"=[1]OUT_TransportEnergyCons!$A$3:$A$1000)*1,("Var_Fin"=[1]OUT_TransportEnergyCons!$B$3:$B$1000)*1,ISNUMBER(SEARCH("GSL",[1]OUT_TransportEnergyCons!$C$3:$C$1000))*1,[1]OUT_TransportEnergyCons!M$3:M$1000)</f>
        <v>0</v>
      </c>
      <c r="P1165" s="1" cm="1">
        <f t="array" ref="P1165">SUMPRODUCT(("T_C-HY-GSL-S3"=[1]OUT_TransportEnergyCons!$A$3:$A$1000)*1,("Var_Fin"=[1]OUT_TransportEnergyCons!$B$3:$B$1000)*1,ISNUMBER(SEARCH("GSL",[1]OUT_TransportEnergyCons!$C$3:$C$1000))*1,[1]OUT_TransportEnergyCons!N$3:N$1000)</f>
        <v>0</v>
      </c>
      <c r="Q1165" s="1" cm="1">
        <f t="array" ref="Q1165">SUMPRODUCT(("T_C-HY-GSL-S3"=[1]OUT_TransportEnergyCons!$A$3:$A$1000)*1,("Var_Fin"=[1]OUT_TransportEnergyCons!$B$3:$B$1000)*1,ISNUMBER(SEARCH("GSL",[1]OUT_TransportEnergyCons!$C$3:$C$1000))*1,[1]OUT_TransportEnergyCons!O$3:O$1000)</f>
        <v>0</v>
      </c>
      <c r="S1165" s="3"/>
    </row>
    <row r="1166" spans="2:19" x14ac:dyDescent="0.5">
      <c r="B1166" s="5" t="str">
        <f t="shared" si="1358"/>
        <v>SPS1</v>
      </c>
      <c r="C1166" s="5" t="str">
        <f t="shared" si="1359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9.0754997415047792E-2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0.13513713166061678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0.12719636493079761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0.10766617818301248</v>
      </c>
      <c r="J1166" s="1" cm="1">
        <f t="array" ref="J1166">SUMPRODUCT(("T_C-HY-GSL-S4"=[1]OUT_TransportEnergyCons!$A$3:$A$1000)*1,("Var_Fin"=[1]OUT_TransportEnergyCons!$B$3:$B$1000)*1,ISNUMBER(SEARCH("GSL",[1]OUT_TransportEnergyCons!$C$3:$C$1000))*1,[1]OUT_TransportEnergyCons!H$3:H$1000)</f>
        <v>1.5630168875983393E-2</v>
      </c>
      <c r="K1166" s="1" cm="1">
        <f t="array" ref="K1166">SUMPRODUCT(("T_C-HY-GSL-S4"=[1]OUT_TransportEnergyCons!$A$3:$A$1000)*1,("Var_Fin"=[1]OUT_TransportEnergyCons!$B$3:$B$1000)*1,ISNUMBER(SEARCH("GSL",[1]OUT_TransportEnergyCons!$C$3:$C$1000))*1,[1]OUT_TransportEnergyCons!I$3:I$1000)</f>
        <v>5.4934722803155856E-5</v>
      </c>
      <c r="L1166" s="1" cm="1">
        <f t="array" ref="L1166">SUMPRODUCT(("T_C-HY-GSL-S4"=[1]OUT_TransportEnergyCons!$A$3:$A$1000)*1,("Var_Fin"=[1]OUT_TransportEnergyCons!$B$3:$B$1000)*1,ISNUMBER(SEARCH("GSL",[1]OUT_TransportEnergyCons!$C$3:$C$1000))*1,[1]OUT_TransportEnergyCons!J$3:J$1000)</f>
        <v>0</v>
      </c>
      <c r="M1166" s="1" cm="1">
        <f t="array" ref="M1166">SUMPRODUCT(("T_C-HY-GSL-S4"=[1]OUT_TransportEnergyCons!$A$3:$A$1000)*1,("Var_Fin"=[1]OUT_TransportEnergyCons!$B$3:$B$1000)*1,ISNUMBER(SEARCH("GSL",[1]OUT_TransportEnergyCons!$C$3:$C$1000))*1,[1]OUT_TransportEnergyCons!K$3:K$1000)</f>
        <v>0</v>
      </c>
      <c r="N1166" s="1" cm="1">
        <f t="array" ref="N1166">SUMPRODUCT(("T_C-HY-GSL-S4"=[1]OUT_TransportEnergyCons!$A$3:$A$1000)*1,("Var_Fin"=[1]OUT_TransportEnergyCons!$B$3:$B$1000)*1,ISNUMBER(SEARCH("GSL",[1]OUT_TransportEnergyCons!$C$3:$C$1000))*1,[1]OUT_TransportEnergyCons!L$3:L$1000)</f>
        <v>0</v>
      </c>
      <c r="O1166" s="1" cm="1">
        <f t="array" ref="O1166">SUMPRODUCT(("T_C-HY-GSL-S4"=[1]OUT_TransportEnergyCons!$A$3:$A$1000)*1,("Var_Fin"=[1]OUT_TransportEnergyCons!$B$3:$B$1000)*1,ISNUMBER(SEARCH("GSL",[1]OUT_TransportEnergyCons!$C$3:$C$1000))*1,[1]OUT_TransportEnergyCons!M$3:M$1000)</f>
        <v>0</v>
      </c>
      <c r="P1166" s="1" cm="1">
        <f t="array" ref="P1166">SUMPRODUCT(("T_C-HY-GSL-S4"=[1]OUT_TransportEnergyCons!$A$3:$A$1000)*1,("Var_Fin"=[1]OUT_TransportEnergyCons!$B$3:$B$1000)*1,ISNUMBER(SEARCH("GSL",[1]OUT_TransportEnergyCons!$C$3:$C$1000))*1,[1]OUT_TransportEnergyCons!N$3:N$1000)</f>
        <v>0</v>
      </c>
      <c r="Q1166" s="1" cm="1">
        <f t="array" ref="Q1166">SUMPRODUCT(("T_C-HY-GSL-S4"=[1]OUT_TransportEnergyCons!$A$3:$A$1000)*1,("Var_Fin"=[1]OUT_TransportEnergyCons!$B$3:$B$1000)*1,ISNUMBER(SEARCH("GSL",[1]OUT_TransportEnergyCons!$C$3:$C$1000))*1,[1]OUT_TransportEnergyCons!O$3:O$1000)</f>
        <v>0</v>
      </c>
      <c r="S1166" s="3"/>
    </row>
    <row r="1167" spans="2:19" x14ac:dyDescent="0.5">
      <c r="B1167" s="5" t="str">
        <f t="shared" si="1358"/>
        <v>SPS1</v>
      </c>
      <c r="C1167" s="5" t="str">
        <f t="shared" si="1359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63.987646377086051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54.331997469131345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48.878720015561782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17.731776636902037</v>
      </c>
      <c r="J1167" s="1" cm="1">
        <f t="array" ref="J1167">SUMPRODUCT(("T_C-ICEGSLEXT"=[1]OUT_TransportEnergyCons!$A$3:$A$1000)*1,("Var_Fin"=[1]OUT_TransportEnergyCons!$B$3:$B$1000)*1,ISNUMBER(SEARCH("GSL",[1]OUT_TransportEnergyCons!$C$3:$C$1000))*1,[1]OUT_TransportEnergyCons!H$3:H$1000)</f>
        <v>0</v>
      </c>
      <c r="K1167" s="1" cm="1">
        <f t="array" ref="K1167">SUMPRODUCT(("T_C-ICEGSLEXT"=[1]OUT_TransportEnergyCons!$A$3:$A$1000)*1,("Var_Fin"=[1]OUT_TransportEnergyCons!$B$3:$B$1000)*1,ISNUMBER(SEARCH("GSL",[1]OUT_TransportEnergyCons!$C$3:$C$1000))*1,[1]OUT_TransportEnergyCons!I$3:I$1000)</f>
        <v>0</v>
      </c>
      <c r="L1167" s="1" cm="1">
        <f t="array" ref="L1167">SUMPRODUCT(("T_C-ICEGSLEXT"=[1]OUT_TransportEnergyCons!$A$3:$A$1000)*1,("Var_Fin"=[1]OUT_TransportEnergyCons!$B$3:$B$1000)*1,ISNUMBER(SEARCH("GSL",[1]OUT_TransportEnergyCons!$C$3:$C$1000))*1,[1]OUT_TransportEnergyCons!J$3:J$1000)</f>
        <v>0</v>
      </c>
      <c r="M1167" s="1" cm="1">
        <f t="array" ref="M1167">SUMPRODUCT(("T_C-ICEGSLEXT"=[1]OUT_TransportEnergyCons!$A$3:$A$1000)*1,("Var_Fin"=[1]OUT_TransportEnergyCons!$B$3:$B$1000)*1,ISNUMBER(SEARCH("GSL",[1]OUT_TransportEnergyCons!$C$3:$C$1000))*1,[1]OUT_TransportEnergyCons!K$3:K$1000)</f>
        <v>0</v>
      </c>
      <c r="N1167" s="1" cm="1">
        <f t="array" ref="N1167">SUMPRODUCT(("T_C-ICEGSLEXT"=[1]OUT_TransportEnergyCons!$A$3:$A$1000)*1,("Var_Fin"=[1]OUT_TransportEnergyCons!$B$3:$B$1000)*1,ISNUMBER(SEARCH("GSL",[1]OUT_TransportEnergyCons!$C$3:$C$1000))*1,[1]OUT_TransportEnergyCons!L$3:L$1000)</f>
        <v>0</v>
      </c>
      <c r="O1167" s="1" cm="1">
        <f t="array" ref="O1167">SUMPRODUCT(("T_C-ICEGSLEXT"=[1]OUT_TransportEnergyCons!$A$3:$A$1000)*1,("Var_Fin"=[1]OUT_TransportEnergyCons!$B$3:$B$1000)*1,ISNUMBER(SEARCH("GSL",[1]OUT_TransportEnergyCons!$C$3:$C$1000))*1,[1]OUT_TransportEnergyCons!M$3:M$1000)</f>
        <v>0</v>
      </c>
      <c r="P1167" s="1" cm="1">
        <f t="array" ref="P1167">SUMPRODUCT(("T_C-ICEGSLEXT"=[1]OUT_TransportEnergyCons!$A$3:$A$1000)*1,("Var_Fin"=[1]OUT_TransportEnergyCons!$B$3:$B$1000)*1,ISNUMBER(SEARCH("GSL",[1]OUT_TransportEnergyCons!$C$3:$C$1000))*1,[1]OUT_TransportEnergyCons!N$3:N$1000)</f>
        <v>0</v>
      </c>
      <c r="Q1167" s="1" cm="1">
        <f t="array" ref="Q1167">SUMPRODUCT(("T_C-ICEGSLEXT"=[1]OUT_TransportEnergyCons!$A$3:$A$1000)*1,("Var_Fin"=[1]OUT_TransportEnergyCons!$B$3:$B$1000)*1,ISNUMBER(SEARCH("GSL",[1]OUT_TransportEnergyCons!$C$3:$C$1000))*1,[1]OUT_TransportEnergyCons!O$3:O$1000)</f>
        <v>0</v>
      </c>
      <c r="S1167" s="3"/>
    </row>
    <row r="1168" spans="2:19" x14ac:dyDescent="0.5">
      <c r="B1168" s="5" t="str">
        <f t="shared" si="1358"/>
        <v>SPS1</v>
      </c>
      <c r="C1168" s="5" t="str">
        <f t="shared" si="1359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0.49553309001139018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0.55056987541279989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1.3684788218968469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1.1568978196310715</v>
      </c>
      <c r="J1168" s="1" cm="1">
        <f t="array" ref="J1168">SUMPRODUCT(("T_C-ICE-GSL-S1"=[1]OUT_TransportEnergyCons!$A$3:$A$1000)*1,("Var_Fin"=[1]OUT_TransportEnergyCons!$B$3:$B$1000)*1,ISNUMBER(SEARCH("GSL",[1]OUT_TransportEnergyCons!$C$3:$C$1000))*1,[1]OUT_TransportEnergyCons!H$3:H$1000)</f>
        <v>0.63289987350091259</v>
      </c>
      <c r="K1168" s="1" cm="1">
        <f t="array" ref="K1168">SUMPRODUCT(("T_C-ICE-GSL-S1"=[1]OUT_TransportEnergyCons!$A$3:$A$1000)*1,("Var_Fin"=[1]OUT_TransportEnergyCons!$B$3:$B$1000)*1,ISNUMBER(SEARCH("GSL",[1]OUT_TransportEnergyCons!$C$3:$C$1000))*1,[1]OUT_TransportEnergyCons!I$3:I$1000)</f>
        <v>9.9143643872876289E-2</v>
      </c>
      <c r="L1168" s="1" cm="1">
        <f t="array" ref="L1168">SUMPRODUCT(("T_C-ICE-GSL-S1"=[1]OUT_TransportEnergyCons!$A$3:$A$1000)*1,("Var_Fin"=[1]OUT_TransportEnergyCons!$B$3:$B$1000)*1,ISNUMBER(SEARCH("GSL",[1]OUT_TransportEnergyCons!$C$3:$C$1000))*1,[1]OUT_TransportEnergyCons!J$3:J$1000)</f>
        <v>0</v>
      </c>
      <c r="M1168" s="1" cm="1">
        <f t="array" ref="M1168">SUMPRODUCT(("T_C-ICE-GSL-S1"=[1]OUT_TransportEnergyCons!$A$3:$A$1000)*1,("Var_Fin"=[1]OUT_TransportEnergyCons!$B$3:$B$1000)*1,ISNUMBER(SEARCH("GSL",[1]OUT_TransportEnergyCons!$C$3:$C$1000))*1,[1]OUT_TransportEnergyCons!K$3:K$1000)</f>
        <v>0</v>
      </c>
      <c r="N1168" s="1" cm="1">
        <f t="array" ref="N1168">SUMPRODUCT(("T_C-ICE-GSL-S1"=[1]OUT_TransportEnergyCons!$A$3:$A$1000)*1,("Var_Fin"=[1]OUT_TransportEnergyCons!$B$3:$B$1000)*1,ISNUMBER(SEARCH("GSL",[1]OUT_TransportEnergyCons!$C$3:$C$1000))*1,[1]OUT_TransportEnergyCons!L$3:L$1000)</f>
        <v>0</v>
      </c>
      <c r="O1168" s="1" cm="1">
        <f t="array" ref="O1168">SUMPRODUCT(("T_C-ICE-GSL-S1"=[1]OUT_TransportEnergyCons!$A$3:$A$1000)*1,("Var_Fin"=[1]OUT_TransportEnergyCons!$B$3:$B$1000)*1,ISNUMBER(SEARCH("GSL",[1]OUT_TransportEnergyCons!$C$3:$C$1000))*1,[1]OUT_TransportEnergyCons!M$3:M$1000)</f>
        <v>0</v>
      </c>
      <c r="P1168" s="1" cm="1">
        <f t="array" ref="P1168">SUMPRODUCT(("T_C-ICE-GSL-S1"=[1]OUT_TransportEnergyCons!$A$3:$A$1000)*1,("Var_Fin"=[1]OUT_TransportEnergyCons!$B$3:$B$1000)*1,ISNUMBER(SEARCH("GSL",[1]OUT_TransportEnergyCons!$C$3:$C$1000))*1,[1]OUT_TransportEnergyCons!N$3:N$1000)</f>
        <v>0</v>
      </c>
      <c r="Q1168" s="1" cm="1">
        <f t="array" ref="Q1168">SUMPRODUCT(("T_C-ICE-GSL-S1"=[1]OUT_TransportEnergyCons!$A$3:$A$1000)*1,("Var_Fin"=[1]OUT_TransportEnergyCons!$B$3:$B$1000)*1,ISNUMBER(SEARCH("GSL",[1]OUT_TransportEnergyCons!$C$3:$C$1000))*1,[1]OUT_TransportEnergyCons!O$3:O$1000)</f>
        <v>0</v>
      </c>
      <c r="S1168" s="3"/>
    </row>
    <row r="1169" spans="2:19" x14ac:dyDescent="0.5">
      <c r="B1169" s="5" t="str">
        <f t="shared" si="1358"/>
        <v>SPS1</v>
      </c>
      <c r="C1169" s="5" t="str">
        <f t="shared" si="1359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3.765442800030824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5.3068203836854311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4.3868786928154337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4.1065595430474939</v>
      </c>
      <c r="J1169" s="1" cm="1">
        <f t="array" ref="J1169">SUMPRODUCT(("T_C-ICE-GSL-S2"=[1]OUT_TransportEnergyCons!$A$3:$A$1000)*1,("Var_Fin"=[1]OUT_TransportEnergyCons!$B$3:$B$1000)*1,ISNUMBER(SEARCH("GSL",[1]OUT_TransportEnergyCons!$C$3:$C$1000))*1,[1]OUT_TransportEnergyCons!H$3:H$1000)</f>
        <v>0.16390583767896888</v>
      </c>
      <c r="K1169" s="1" cm="1">
        <f t="array" ref="K1169">SUMPRODUCT(("T_C-ICE-GSL-S2"=[1]OUT_TransportEnergyCons!$A$3:$A$1000)*1,("Var_Fin"=[1]OUT_TransportEnergyCons!$B$3:$B$1000)*1,ISNUMBER(SEARCH("GSL",[1]OUT_TransportEnergyCons!$C$3:$C$1000))*1,[1]OUT_TransportEnergyCons!I$3:I$1000)</f>
        <v>6.9329748298675253E-4</v>
      </c>
      <c r="L1169" s="1" cm="1">
        <f t="array" ref="L1169">SUMPRODUCT(("T_C-ICE-GSL-S2"=[1]OUT_TransportEnergyCons!$A$3:$A$1000)*1,("Var_Fin"=[1]OUT_TransportEnergyCons!$B$3:$B$1000)*1,ISNUMBER(SEARCH("GSL",[1]OUT_TransportEnergyCons!$C$3:$C$1000))*1,[1]OUT_TransportEnergyCons!J$3:J$1000)</f>
        <v>0</v>
      </c>
      <c r="M1169" s="1" cm="1">
        <f t="array" ref="M1169">SUMPRODUCT(("T_C-ICE-GSL-S2"=[1]OUT_TransportEnergyCons!$A$3:$A$1000)*1,("Var_Fin"=[1]OUT_TransportEnergyCons!$B$3:$B$1000)*1,ISNUMBER(SEARCH("GSL",[1]OUT_TransportEnergyCons!$C$3:$C$1000))*1,[1]OUT_TransportEnergyCons!K$3:K$1000)</f>
        <v>0</v>
      </c>
      <c r="N1169" s="1" cm="1">
        <f t="array" ref="N1169">SUMPRODUCT(("T_C-ICE-GSL-S2"=[1]OUT_TransportEnergyCons!$A$3:$A$1000)*1,("Var_Fin"=[1]OUT_TransportEnergyCons!$B$3:$B$1000)*1,ISNUMBER(SEARCH("GSL",[1]OUT_TransportEnergyCons!$C$3:$C$1000))*1,[1]OUT_TransportEnergyCons!L$3:L$1000)</f>
        <v>0</v>
      </c>
      <c r="O1169" s="1" cm="1">
        <f t="array" ref="O1169">SUMPRODUCT(("T_C-ICE-GSL-S2"=[1]OUT_TransportEnergyCons!$A$3:$A$1000)*1,("Var_Fin"=[1]OUT_TransportEnergyCons!$B$3:$B$1000)*1,ISNUMBER(SEARCH("GSL",[1]OUT_TransportEnergyCons!$C$3:$C$1000))*1,[1]OUT_TransportEnergyCons!M$3:M$1000)</f>
        <v>0</v>
      </c>
      <c r="P1169" s="1" cm="1">
        <f t="array" ref="P1169">SUMPRODUCT(("T_C-ICE-GSL-S2"=[1]OUT_TransportEnergyCons!$A$3:$A$1000)*1,("Var_Fin"=[1]OUT_TransportEnergyCons!$B$3:$B$1000)*1,ISNUMBER(SEARCH("GSL",[1]OUT_TransportEnergyCons!$C$3:$C$1000))*1,[1]OUT_TransportEnergyCons!N$3:N$1000)</f>
        <v>0</v>
      </c>
      <c r="Q1169" s="1" cm="1">
        <f t="array" ref="Q1169">SUMPRODUCT(("T_C-ICE-GSL-S2"=[1]OUT_TransportEnergyCons!$A$3:$A$1000)*1,("Var_Fin"=[1]OUT_TransportEnergyCons!$B$3:$B$1000)*1,ISNUMBER(SEARCH("GSL",[1]OUT_TransportEnergyCons!$C$3:$C$1000))*1,[1]OUT_TransportEnergyCons!O$3:O$1000)</f>
        <v>0</v>
      </c>
      <c r="S1169" s="3"/>
    </row>
    <row r="1170" spans="2:19" x14ac:dyDescent="0.5">
      <c r="B1170" s="5" t="str">
        <f t="shared" si="1358"/>
        <v>SPS1</v>
      </c>
      <c r="C1170" s="5" t="str">
        <f t="shared" si="1359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3.7691375280622035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5.7403368125647845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7.1057094723893401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5.8298404900461946</v>
      </c>
      <c r="J1170" s="1" cm="1">
        <f t="array" ref="J1170">SUMPRODUCT(("T_C-ICE-GSL-S3"=[1]OUT_TransportEnergyCons!$A$3:$A$1000)*1,("Var_Fin"=[1]OUT_TransportEnergyCons!$B$3:$B$1000)*1,ISNUMBER(SEARCH("GSL",[1]OUT_TransportEnergyCons!$C$3:$C$1000))*1,[1]OUT_TransportEnergyCons!H$3:H$1000)</f>
        <v>1.1686585968848984</v>
      </c>
      <c r="K1170" s="1" cm="1">
        <f t="array" ref="K1170">SUMPRODUCT(("T_C-ICE-GSL-S3"=[1]OUT_TransportEnergyCons!$A$3:$A$1000)*1,("Var_Fin"=[1]OUT_TransportEnergyCons!$B$3:$B$1000)*1,ISNUMBER(SEARCH("GSL",[1]OUT_TransportEnergyCons!$C$3:$C$1000))*1,[1]OUT_TransportEnergyCons!I$3:I$1000)</f>
        <v>0.14581322635072583</v>
      </c>
      <c r="L1170" s="1" cm="1">
        <f t="array" ref="L1170">SUMPRODUCT(("T_C-ICE-GSL-S3"=[1]OUT_TransportEnergyCons!$A$3:$A$1000)*1,("Var_Fin"=[1]OUT_TransportEnergyCons!$B$3:$B$1000)*1,ISNUMBER(SEARCH("GSL",[1]OUT_TransportEnergyCons!$C$3:$C$1000))*1,[1]OUT_TransportEnergyCons!J$3:J$1000)</f>
        <v>0</v>
      </c>
      <c r="M1170" s="1" cm="1">
        <f t="array" ref="M1170">SUMPRODUCT(("T_C-ICE-GSL-S3"=[1]OUT_TransportEnergyCons!$A$3:$A$1000)*1,("Var_Fin"=[1]OUT_TransportEnergyCons!$B$3:$B$1000)*1,ISNUMBER(SEARCH("GSL",[1]OUT_TransportEnergyCons!$C$3:$C$1000))*1,[1]OUT_TransportEnergyCons!K$3:K$1000)</f>
        <v>0</v>
      </c>
      <c r="N1170" s="1" cm="1">
        <f t="array" ref="N1170">SUMPRODUCT(("T_C-ICE-GSL-S3"=[1]OUT_TransportEnergyCons!$A$3:$A$1000)*1,("Var_Fin"=[1]OUT_TransportEnergyCons!$B$3:$B$1000)*1,ISNUMBER(SEARCH("GSL",[1]OUT_TransportEnergyCons!$C$3:$C$1000))*1,[1]OUT_TransportEnergyCons!L$3:L$1000)</f>
        <v>0</v>
      </c>
      <c r="O1170" s="1" cm="1">
        <f t="array" ref="O1170">SUMPRODUCT(("T_C-ICE-GSL-S3"=[1]OUT_TransportEnergyCons!$A$3:$A$1000)*1,("Var_Fin"=[1]OUT_TransportEnergyCons!$B$3:$B$1000)*1,ISNUMBER(SEARCH("GSL",[1]OUT_TransportEnergyCons!$C$3:$C$1000))*1,[1]OUT_TransportEnergyCons!M$3:M$1000)</f>
        <v>0</v>
      </c>
      <c r="P1170" s="1" cm="1">
        <f t="array" ref="P1170">SUMPRODUCT(("T_C-ICE-GSL-S3"=[1]OUT_TransportEnergyCons!$A$3:$A$1000)*1,("Var_Fin"=[1]OUT_TransportEnergyCons!$B$3:$B$1000)*1,ISNUMBER(SEARCH("GSL",[1]OUT_TransportEnergyCons!$C$3:$C$1000))*1,[1]OUT_TransportEnergyCons!N$3:N$1000)</f>
        <v>0</v>
      </c>
      <c r="Q1170" s="1" cm="1">
        <f t="array" ref="Q1170">SUMPRODUCT(("T_C-ICE-GSL-S3"=[1]OUT_TransportEnergyCons!$A$3:$A$1000)*1,("Var_Fin"=[1]OUT_TransportEnergyCons!$B$3:$B$1000)*1,ISNUMBER(SEARCH("GSL",[1]OUT_TransportEnergyCons!$C$3:$C$1000))*1,[1]OUT_TransportEnergyCons!O$3:O$1000)</f>
        <v>0</v>
      </c>
      <c r="S1170" s="3"/>
    </row>
    <row r="1171" spans="2:19" x14ac:dyDescent="0.5">
      <c r="B1171" s="5" t="str">
        <f t="shared" si="1358"/>
        <v>SPS1</v>
      </c>
      <c r="C1171" s="5" t="str">
        <f t="shared" si="1359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3.8879482893388579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5.2545239951623905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11.081467291849533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9.2955091569530328</v>
      </c>
      <c r="J1171" s="1" cm="1">
        <f t="array" ref="J1171">SUMPRODUCT(("T_C-ICE-GSL-S4"=[1]OUT_TransportEnergyCons!$A$3:$A$1000)*1,("Var_Fin"=[1]OUT_TransportEnergyCons!$B$3:$B$1000)*1,ISNUMBER(SEARCH("GSL",[1]OUT_TransportEnergyCons!$C$3:$C$1000))*1,[1]OUT_TransportEnergyCons!H$3:H$1000)</f>
        <v>3.8947205283682167</v>
      </c>
      <c r="K1171" s="1" cm="1">
        <f t="array" ref="K1171">SUMPRODUCT(("T_C-ICE-GSL-S4"=[1]OUT_TransportEnergyCons!$A$3:$A$1000)*1,("Var_Fin"=[1]OUT_TransportEnergyCons!$B$3:$B$1000)*1,ISNUMBER(SEARCH("GSL",[1]OUT_TransportEnergyCons!$C$3:$C$1000))*1,[1]OUT_TransportEnergyCons!I$3:I$1000)</f>
        <v>0.4338223744801612</v>
      </c>
      <c r="L1171" s="1" cm="1">
        <f t="array" ref="L1171">SUMPRODUCT(("T_C-ICE-GSL-S4"=[1]OUT_TransportEnergyCons!$A$3:$A$1000)*1,("Var_Fin"=[1]OUT_TransportEnergyCons!$B$3:$B$1000)*1,ISNUMBER(SEARCH("GSL",[1]OUT_TransportEnergyCons!$C$3:$C$1000))*1,[1]OUT_TransportEnergyCons!J$3:J$1000)</f>
        <v>0</v>
      </c>
      <c r="M1171" s="1" cm="1">
        <f t="array" ref="M1171">SUMPRODUCT(("T_C-ICE-GSL-S4"=[1]OUT_TransportEnergyCons!$A$3:$A$1000)*1,("Var_Fin"=[1]OUT_TransportEnergyCons!$B$3:$B$1000)*1,ISNUMBER(SEARCH("GSL",[1]OUT_TransportEnergyCons!$C$3:$C$1000))*1,[1]OUT_TransportEnergyCons!K$3:K$1000)</f>
        <v>0</v>
      </c>
      <c r="N1171" s="1" cm="1">
        <f t="array" ref="N1171">SUMPRODUCT(("T_C-ICE-GSL-S4"=[1]OUT_TransportEnergyCons!$A$3:$A$1000)*1,("Var_Fin"=[1]OUT_TransportEnergyCons!$B$3:$B$1000)*1,ISNUMBER(SEARCH("GSL",[1]OUT_TransportEnergyCons!$C$3:$C$1000))*1,[1]OUT_TransportEnergyCons!L$3:L$1000)</f>
        <v>0</v>
      </c>
      <c r="O1171" s="1" cm="1">
        <f t="array" ref="O1171">SUMPRODUCT(("T_C-ICE-GSL-S4"=[1]OUT_TransportEnergyCons!$A$3:$A$1000)*1,("Var_Fin"=[1]OUT_TransportEnergyCons!$B$3:$B$1000)*1,ISNUMBER(SEARCH("GSL",[1]OUT_TransportEnergyCons!$C$3:$C$1000))*1,[1]OUT_TransportEnergyCons!M$3:M$1000)</f>
        <v>0</v>
      </c>
      <c r="P1171" s="1" cm="1">
        <f t="array" ref="P1171">SUMPRODUCT(("T_C-ICE-GSL-S4"=[1]OUT_TransportEnergyCons!$A$3:$A$1000)*1,("Var_Fin"=[1]OUT_TransportEnergyCons!$B$3:$B$1000)*1,ISNUMBER(SEARCH("GSL",[1]OUT_TransportEnergyCons!$C$3:$C$1000))*1,[1]OUT_TransportEnergyCons!N$3:N$1000)</f>
        <v>0</v>
      </c>
      <c r="Q1171" s="1" cm="1">
        <f t="array" ref="Q1171">SUMPRODUCT(("T_C-ICE-GSL-S4"=[1]OUT_TransportEnergyCons!$A$3:$A$1000)*1,("Var_Fin"=[1]OUT_TransportEnergyCons!$B$3:$B$1000)*1,ISNUMBER(SEARCH("GSL",[1]OUT_TransportEnergyCons!$C$3:$C$1000))*1,[1]OUT_TransportEnergyCons!O$3:O$1000)</f>
        <v>0</v>
      </c>
      <c r="S1171" s="3"/>
    </row>
    <row r="1172" spans="2:19" x14ac:dyDescent="0.5">
      <c r="B1172" s="5" t="str">
        <f t="shared" si="1358"/>
        <v>SPS1</v>
      </c>
      <c r="C1172" s="5" t="str">
        <f t="shared" si="1359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1.2436935871988023E-4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4.7229856210131234E-4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5.8151639134794192E-4</v>
      </c>
      <c r="J1172" s="1" cm="1">
        <f t="array" ref="J1172">SUMPRODUCT(("T_C-MHY-GSL-S1"=[1]OUT_TransportEnergyCons!$A$3:$A$1000)*1,("Var_Fin"=[1]OUT_TransportEnergyCons!$B$3:$B$1000)*1,ISNUMBER(SEARCH("GSL",[1]OUT_TransportEnergyCons!$C$3:$C$1000))*1,[1]OUT_TransportEnergyCons!H$3:H$1000)</f>
        <v>4.1070574853945452E-4</v>
      </c>
      <c r="K1172" s="1" cm="1">
        <f t="array" ref="K1172">SUMPRODUCT(("T_C-MHY-GSL-S1"=[1]OUT_TransportEnergyCons!$A$3:$A$1000)*1,("Var_Fin"=[1]OUT_TransportEnergyCons!$B$3:$B$1000)*1,ISNUMBER(SEARCH("GSL",[1]OUT_TransportEnergyCons!$C$3:$C$1000))*1,[1]OUT_TransportEnergyCons!I$3:I$1000)</f>
        <v>1.2747667516261742E-4</v>
      </c>
      <c r="L1172" s="1" cm="1">
        <f t="array" ref="L1172">SUMPRODUCT(("T_C-MHY-GSL-S1"=[1]OUT_TransportEnergyCons!$A$3:$A$1000)*1,("Var_Fin"=[1]OUT_TransportEnergyCons!$B$3:$B$1000)*1,ISNUMBER(SEARCH("GSL",[1]OUT_TransportEnergyCons!$C$3:$C$1000))*1,[1]OUT_TransportEnergyCons!J$3:J$1000)</f>
        <v>0</v>
      </c>
      <c r="M1172" s="1" cm="1">
        <f t="array" ref="M1172">SUMPRODUCT(("T_C-MHY-GSL-S1"=[1]OUT_TransportEnergyCons!$A$3:$A$1000)*1,("Var_Fin"=[1]OUT_TransportEnergyCons!$B$3:$B$1000)*1,ISNUMBER(SEARCH("GSL",[1]OUT_TransportEnergyCons!$C$3:$C$1000))*1,[1]OUT_TransportEnergyCons!K$3:K$1000)</f>
        <v>0</v>
      </c>
      <c r="N1172" s="1" cm="1">
        <f t="array" ref="N1172">SUMPRODUCT(("T_C-MHY-GSL-S1"=[1]OUT_TransportEnergyCons!$A$3:$A$1000)*1,("Var_Fin"=[1]OUT_TransportEnergyCons!$B$3:$B$1000)*1,ISNUMBER(SEARCH("GSL",[1]OUT_TransportEnergyCons!$C$3:$C$1000))*1,[1]OUT_TransportEnergyCons!L$3:L$1000)</f>
        <v>0</v>
      </c>
      <c r="O1172" s="1" cm="1">
        <f t="array" ref="O1172">SUMPRODUCT(("T_C-MHY-GSL-S1"=[1]OUT_TransportEnergyCons!$A$3:$A$1000)*1,("Var_Fin"=[1]OUT_TransportEnergyCons!$B$3:$B$1000)*1,ISNUMBER(SEARCH("GSL",[1]OUT_TransportEnergyCons!$C$3:$C$1000))*1,[1]OUT_TransportEnergyCons!M$3:M$1000)</f>
        <v>0</v>
      </c>
      <c r="P1172" s="1" cm="1">
        <f t="array" ref="P1172">SUMPRODUCT(("T_C-MHY-GSL-S1"=[1]OUT_TransportEnergyCons!$A$3:$A$1000)*1,("Var_Fin"=[1]OUT_TransportEnergyCons!$B$3:$B$1000)*1,ISNUMBER(SEARCH("GSL",[1]OUT_TransportEnergyCons!$C$3:$C$1000))*1,[1]OUT_TransportEnergyCons!N$3:N$1000)</f>
        <v>0</v>
      </c>
      <c r="Q1172" s="1" cm="1">
        <f t="array" ref="Q1172">SUMPRODUCT(("T_C-MHY-GSL-S1"=[1]OUT_TransportEnergyCons!$A$3:$A$1000)*1,("Var_Fin"=[1]OUT_TransportEnergyCons!$B$3:$B$1000)*1,ISNUMBER(SEARCH("GSL",[1]OUT_TransportEnergyCons!$C$3:$C$1000))*1,[1]OUT_TransportEnergyCons!O$3:O$1000)</f>
        <v>0</v>
      </c>
      <c r="S1172" s="3"/>
    </row>
    <row r="1173" spans="2:19" x14ac:dyDescent="0.5">
      <c r="B1173" s="5" t="str">
        <f t="shared" si="1358"/>
        <v>SPS1</v>
      </c>
      <c r="C1173" s="5" t="str">
        <f t="shared" si="1359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1.147278050413709E-4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4.6898978316505999E-4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6.4640042520428605E-4</v>
      </c>
      <c r="J1173" s="1" cm="1">
        <f t="array" ref="J1173">SUMPRODUCT(("T_C-MHY-GSL-S2"=[1]OUT_TransportEnergyCons!$A$3:$A$1000)*1,("Var_Fin"=[1]OUT_TransportEnergyCons!$B$3:$B$1000)*1,ISNUMBER(SEARCH("GSL",[1]OUT_TransportEnergyCons!$C$3:$C$1000))*1,[1]OUT_TransportEnergyCons!H$3:H$1000)</f>
        <v>4.3981804385458389E-4</v>
      </c>
      <c r="K1173" s="1" cm="1">
        <f t="array" ref="K1173">SUMPRODUCT(("T_C-MHY-GSL-S2"=[1]OUT_TransportEnergyCons!$A$3:$A$1000)*1,("Var_Fin"=[1]OUT_TransportEnergyCons!$B$3:$B$1000)*1,ISNUMBER(SEARCH("GSL",[1]OUT_TransportEnergyCons!$C$3:$C$1000))*1,[1]OUT_TransportEnergyCons!I$3:I$1000)</f>
        <v>1.482303779583083E-4</v>
      </c>
      <c r="L1173" s="1" cm="1">
        <f t="array" ref="L1173">SUMPRODUCT(("T_C-MHY-GSL-S2"=[1]OUT_TransportEnergyCons!$A$3:$A$1000)*1,("Var_Fin"=[1]OUT_TransportEnergyCons!$B$3:$B$1000)*1,ISNUMBER(SEARCH("GSL",[1]OUT_TransportEnergyCons!$C$3:$C$1000))*1,[1]OUT_TransportEnergyCons!J$3:J$1000)</f>
        <v>0</v>
      </c>
      <c r="M1173" s="1" cm="1">
        <f t="array" ref="M1173">SUMPRODUCT(("T_C-MHY-GSL-S2"=[1]OUT_TransportEnergyCons!$A$3:$A$1000)*1,("Var_Fin"=[1]OUT_TransportEnergyCons!$B$3:$B$1000)*1,ISNUMBER(SEARCH("GSL",[1]OUT_TransportEnergyCons!$C$3:$C$1000))*1,[1]OUT_TransportEnergyCons!K$3:K$1000)</f>
        <v>0</v>
      </c>
      <c r="N1173" s="1" cm="1">
        <f t="array" ref="N1173">SUMPRODUCT(("T_C-MHY-GSL-S2"=[1]OUT_TransportEnergyCons!$A$3:$A$1000)*1,("Var_Fin"=[1]OUT_TransportEnergyCons!$B$3:$B$1000)*1,ISNUMBER(SEARCH("GSL",[1]OUT_TransportEnergyCons!$C$3:$C$1000))*1,[1]OUT_TransportEnergyCons!L$3:L$1000)</f>
        <v>0</v>
      </c>
      <c r="O1173" s="1" cm="1">
        <f t="array" ref="O1173">SUMPRODUCT(("T_C-MHY-GSL-S2"=[1]OUT_TransportEnergyCons!$A$3:$A$1000)*1,("Var_Fin"=[1]OUT_TransportEnergyCons!$B$3:$B$1000)*1,ISNUMBER(SEARCH("GSL",[1]OUT_TransportEnergyCons!$C$3:$C$1000))*1,[1]OUT_TransportEnergyCons!M$3:M$1000)</f>
        <v>0</v>
      </c>
      <c r="P1173" s="1" cm="1">
        <f t="array" ref="P1173">SUMPRODUCT(("T_C-MHY-GSL-S2"=[1]OUT_TransportEnergyCons!$A$3:$A$1000)*1,("Var_Fin"=[1]OUT_TransportEnergyCons!$B$3:$B$1000)*1,ISNUMBER(SEARCH("GSL",[1]OUT_TransportEnergyCons!$C$3:$C$1000))*1,[1]OUT_TransportEnergyCons!N$3:N$1000)</f>
        <v>0</v>
      </c>
      <c r="Q1173" s="1" cm="1">
        <f t="array" ref="Q1173">SUMPRODUCT(("T_C-MHY-GSL-S2"=[1]OUT_TransportEnergyCons!$A$3:$A$1000)*1,("Var_Fin"=[1]OUT_TransportEnergyCons!$B$3:$B$1000)*1,ISNUMBER(SEARCH("GSL",[1]OUT_TransportEnergyCons!$C$3:$C$1000))*1,[1]OUT_TransportEnergyCons!O$3:O$1000)</f>
        <v>0</v>
      </c>
      <c r="S1173" s="3"/>
    </row>
    <row r="1174" spans="2:19" x14ac:dyDescent="0.5">
      <c r="B1174" s="5" t="str">
        <f t="shared" si="1358"/>
        <v>SPS1</v>
      </c>
      <c r="C1174" s="5" t="str">
        <f t="shared" si="1359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1.6219449858826472E-4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5.5524934473349865E-4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6.9481808852660677E-4</v>
      </c>
      <c r="J1174" s="1" cm="1">
        <f t="array" ref="J1174">SUMPRODUCT(("T_C-MHY-GSL-S3"=[1]OUT_TransportEnergyCons!$A$3:$A$1000)*1,("Var_Fin"=[1]OUT_TransportEnergyCons!$B$3:$B$1000)*1,ISNUMBER(SEARCH("GSL",[1]OUT_TransportEnergyCons!$C$3:$C$1000))*1,[1]OUT_TransportEnergyCons!H$3:H$1000)</f>
        <v>4.5649766239344835E-4</v>
      </c>
      <c r="K1174" s="1" cm="1">
        <f t="array" ref="K1174">SUMPRODUCT(("T_C-MHY-GSL-S3"=[1]OUT_TransportEnergyCons!$A$3:$A$1000)*1,("Var_Fin"=[1]OUT_TransportEnergyCons!$B$3:$B$1000)*1,ISNUMBER(SEARCH("GSL",[1]OUT_TransportEnergyCons!$C$3:$C$1000))*1,[1]OUT_TransportEnergyCons!I$3:I$1000)</f>
        <v>1.3643452389772078E-4</v>
      </c>
      <c r="L1174" s="1" cm="1">
        <f t="array" ref="L1174">SUMPRODUCT(("T_C-MHY-GSL-S3"=[1]OUT_TransportEnergyCons!$A$3:$A$1000)*1,("Var_Fin"=[1]OUT_TransportEnergyCons!$B$3:$B$1000)*1,ISNUMBER(SEARCH("GSL",[1]OUT_TransportEnergyCons!$C$3:$C$1000))*1,[1]OUT_TransportEnergyCons!J$3:J$1000)</f>
        <v>0</v>
      </c>
      <c r="M1174" s="1" cm="1">
        <f t="array" ref="M1174">SUMPRODUCT(("T_C-MHY-GSL-S3"=[1]OUT_TransportEnergyCons!$A$3:$A$1000)*1,("Var_Fin"=[1]OUT_TransportEnergyCons!$B$3:$B$1000)*1,ISNUMBER(SEARCH("GSL",[1]OUT_TransportEnergyCons!$C$3:$C$1000))*1,[1]OUT_TransportEnergyCons!K$3:K$1000)</f>
        <v>0</v>
      </c>
      <c r="N1174" s="1" cm="1">
        <f t="array" ref="N1174">SUMPRODUCT(("T_C-MHY-GSL-S3"=[1]OUT_TransportEnergyCons!$A$3:$A$1000)*1,("Var_Fin"=[1]OUT_TransportEnergyCons!$B$3:$B$1000)*1,ISNUMBER(SEARCH("GSL",[1]OUT_TransportEnergyCons!$C$3:$C$1000))*1,[1]OUT_TransportEnergyCons!L$3:L$1000)</f>
        <v>0</v>
      </c>
      <c r="O1174" s="1" cm="1">
        <f t="array" ref="O1174">SUMPRODUCT(("T_C-MHY-GSL-S3"=[1]OUT_TransportEnergyCons!$A$3:$A$1000)*1,("Var_Fin"=[1]OUT_TransportEnergyCons!$B$3:$B$1000)*1,ISNUMBER(SEARCH("GSL",[1]OUT_TransportEnergyCons!$C$3:$C$1000))*1,[1]OUT_TransportEnergyCons!M$3:M$1000)</f>
        <v>0</v>
      </c>
      <c r="P1174" s="1" cm="1">
        <f t="array" ref="P1174">SUMPRODUCT(("T_C-MHY-GSL-S3"=[1]OUT_TransportEnergyCons!$A$3:$A$1000)*1,("Var_Fin"=[1]OUT_TransportEnergyCons!$B$3:$B$1000)*1,ISNUMBER(SEARCH("GSL",[1]OUT_TransportEnergyCons!$C$3:$C$1000))*1,[1]OUT_TransportEnergyCons!N$3:N$1000)</f>
        <v>0</v>
      </c>
      <c r="Q1174" s="1" cm="1">
        <f t="array" ref="Q1174">SUMPRODUCT(("T_C-MHY-GSL-S3"=[1]OUT_TransportEnergyCons!$A$3:$A$1000)*1,("Var_Fin"=[1]OUT_TransportEnergyCons!$B$3:$B$1000)*1,ISNUMBER(SEARCH("GSL",[1]OUT_TransportEnergyCons!$C$3:$C$1000))*1,[1]OUT_TransportEnergyCons!O$3:O$1000)</f>
        <v>0</v>
      </c>
      <c r="S1174" s="3"/>
    </row>
    <row r="1175" spans="2:19" x14ac:dyDescent="0.5">
      <c r="B1175" s="5" t="str">
        <f t="shared" si="1358"/>
        <v>SPS1</v>
      </c>
      <c r="C1175" s="5" t="str">
        <f t="shared" si="1359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1.9287229481478163E-4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7.1208856362431024E-4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1.0096990381463665E-3</v>
      </c>
      <c r="J1175" s="1" cm="1">
        <f t="array" ref="J1175">SUMPRODUCT(("T_C-MHY-GSL-S4"=[1]OUT_TransportEnergyCons!$A$3:$A$1000)*1,("Var_Fin"=[1]OUT_TransportEnergyCons!$B$3:$B$1000)*1,ISNUMBER(SEARCH("GSL",[1]OUT_TransportEnergyCons!$C$3:$C$1000))*1,[1]OUT_TransportEnergyCons!H$3:H$1000)</f>
        <v>6.5628290050702637E-4</v>
      </c>
      <c r="K1175" s="1" cm="1">
        <f t="array" ref="K1175">SUMPRODUCT(("T_C-MHY-GSL-S4"=[1]OUT_TransportEnergyCons!$A$3:$A$1000)*1,("Var_Fin"=[1]OUT_TransportEnergyCons!$B$3:$B$1000)*1,ISNUMBER(SEARCH("GSL",[1]OUT_TransportEnergyCons!$C$3:$C$1000))*1,[1]OUT_TransportEnergyCons!I$3:I$1000)</f>
        <v>2.1781087084491658E-4</v>
      </c>
      <c r="L1175" s="1" cm="1">
        <f t="array" ref="L1175">SUMPRODUCT(("T_C-MHY-GSL-S4"=[1]OUT_TransportEnergyCons!$A$3:$A$1000)*1,("Var_Fin"=[1]OUT_TransportEnergyCons!$B$3:$B$1000)*1,ISNUMBER(SEARCH("GSL",[1]OUT_TransportEnergyCons!$C$3:$C$1000))*1,[1]OUT_TransportEnergyCons!J$3:J$1000)</f>
        <v>0</v>
      </c>
      <c r="M1175" s="1" cm="1">
        <f t="array" ref="M1175">SUMPRODUCT(("T_C-MHY-GSL-S4"=[1]OUT_TransportEnergyCons!$A$3:$A$1000)*1,("Var_Fin"=[1]OUT_TransportEnergyCons!$B$3:$B$1000)*1,ISNUMBER(SEARCH("GSL",[1]OUT_TransportEnergyCons!$C$3:$C$1000))*1,[1]OUT_TransportEnergyCons!K$3:K$1000)</f>
        <v>0</v>
      </c>
      <c r="N1175" s="1" cm="1">
        <f t="array" ref="N1175">SUMPRODUCT(("T_C-MHY-GSL-S4"=[1]OUT_TransportEnergyCons!$A$3:$A$1000)*1,("Var_Fin"=[1]OUT_TransportEnergyCons!$B$3:$B$1000)*1,ISNUMBER(SEARCH("GSL",[1]OUT_TransportEnergyCons!$C$3:$C$1000))*1,[1]OUT_TransportEnergyCons!L$3:L$1000)</f>
        <v>0</v>
      </c>
      <c r="O1175" s="1" cm="1">
        <f t="array" ref="O1175">SUMPRODUCT(("T_C-MHY-GSL-S4"=[1]OUT_TransportEnergyCons!$A$3:$A$1000)*1,("Var_Fin"=[1]OUT_TransportEnergyCons!$B$3:$B$1000)*1,ISNUMBER(SEARCH("GSL",[1]OUT_TransportEnergyCons!$C$3:$C$1000))*1,[1]OUT_TransportEnergyCons!M$3:M$1000)</f>
        <v>0</v>
      </c>
      <c r="P1175" s="1" cm="1">
        <f t="array" ref="P1175">SUMPRODUCT(("T_C-MHY-GSL-S4"=[1]OUT_TransportEnergyCons!$A$3:$A$1000)*1,("Var_Fin"=[1]OUT_TransportEnergyCons!$B$3:$B$1000)*1,ISNUMBER(SEARCH("GSL",[1]OUT_TransportEnergyCons!$C$3:$C$1000))*1,[1]OUT_TransportEnergyCons!N$3:N$1000)</f>
        <v>0</v>
      </c>
      <c r="Q1175" s="1" cm="1">
        <f t="array" ref="Q1175">SUMPRODUCT(("T_C-MHY-GSL-S4"=[1]OUT_TransportEnergyCons!$A$3:$A$1000)*1,("Var_Fin"=[1]OUT_TransportEnergyCons!$B$3:$B$1000)*1,ISNUMBER(SEARCH("GSL",[1]OUT_TransportEnergyCons!$C$3:$C$1000))*1,[1]OUT_TransportEnergyCons!O$3:O$1000)</f>
        <v>0</v>
      </c>
      <c r="S1175" s="3"/>
    </row>
    <row r="1176" spans="2:19" x14ac:dyDescent="0.5">
      <c r="B1176" s="5" t="str">
        <f t="shared" si="1358"/>
        <v>SPS1</v>
      </c>
      <c r="C1176" s="5" t="str">
        <f t="shared" si="1359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2.9652014984073372E-4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4.5717277372783776E-4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4.7049586550448023E-4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4.6001016210051249E-4</v>
      </c>
      <c r="J1176" s="1" cm="1">
        <f t="array" ref="J1176">SUMPRODUCT(("T-Plg-GSL-mix_S1"=[1]OUT_TransportEnergyCons!$A$3:$A$1000)*1,("Var_Fin"=[1]OUT_TransportEnergyCons!$B$3:$B$1000)*1,ISNUMBER(SEARCH("GSL",[1]OUT_TransportEnergyCons!$C$3:$C$1000))*1,[1]OUT_TransportEnergyCons!H$3:H$1000)</f>
        <v>3.4783259020001686E-4</v>
      </c>
      <c r="K1176" s="1" cm="1">
        <f t="array" ref="K1176">SUMPRODUCT(("T-Plg-GSL-mix_S1"=[1]OUT_TransportEnergyCons!$A$3:$A$1000)*1,("Var_Fin"=[1]OUT_TransportEnergyCons!$B$3:$B$1000)*1,ISNUMBER(SEARCH("GSL",[1]OUT_TransportEnergyCons!$C$3:$C$1000))*1,[1]OUT_TransportEnergyCons!I$3:I$1000)</f>
        <v>1.7089088881303138E-4</v>
      </c>
      <c r="L1176" s="1" cm="1">
        <f t="array" ref="L1176">SUMPRODUCT(("T-Plg-GSL-mix_S1"=[1]OUT_TransportEnergyCons!$A$3:$A$1000)*1,("Var_Fin"=[1]OUT_TransportEnergyCons!$B$3:$B$1000)*1,ISNUMBER(SEARCH("GSL",[1]OUT_TransportEnergyCons!$C$3:$C$1000))*1,[1]OUT_TransportEnergyCons!J$3:J$1000)</f>
        <v>1.4163234806971675E-4</v>
      </c>
      <c r="M1176" s="1" cm="1">
        <f t="array" ref="M1176">SUMPRODUCT(("T-Plg-GSL-mix_S1"=[1]OUT_TransportEnergyCons!$A$3:$A$1000)*1,("Var_Fin"=[1]OUT_TransportEnergyCons!$B$3:$B$1000)*1,ISNUMBER(SEARCH("GSL",[1]OUT_TransportEnergyCons!$C$3:$C$1000))*1,[1]OUT_TransportEnergyCons!K$3:K$1000)</f>
        <v>5.5071867677100825E-5</v>
      </c>
      <c r="N1176" s="1" cm="1">
        <f t="array" ref="N1176">SUMPRODUCT(("T-Plg-GSL-mix_S1"=[1]OUT_TransportEnergyCons!$A$3:$A$1000)*1,("Var_Fin"=[1]OUT_TransportEnergyCons!$B$3:$B$1000)*1,ISNUMBER(SEARCH("GSL",[1]OUT_TransportEnergyCons!$C$3:$C$1000))*1,[1]OUT_TransportEnergyCons!L$3:L$1000)</f>
        <v>4.0062109243265277E-4</v>
      </c>
      <c r="O1176" s="1" cm="1">
        <f t="array" ref="O1176">SUMPRODUCT(("T-Plg-GSL-mix_S1"=[1]OUT_TransportEnergyCons!$A$3:$A$1000)*1,("Var_Fin"=[1]OUT_TransportEnergyCons!$B$3:$B$1000)*1,ISNUMBER(SEARCH("GSL",[1]OUT_TransportEnergyCons!$C$3:$C$1000))*1,[1]OUT_TransportEnergyCons!M$3:M$1000)</f>
        <v>6.1562705708619113E-4</v>
      </c>
      <c r="P1176" s="1" cm="1">
        <f t="array" ref="P1176">SUMPRODUCT(("T-Plg-GSL-mix_S1"=[1]OUT_TransportEnergyCons!$A$3:$A$1000)*1,("Var_Fin"=[1]OUT_TransportEnergyCons!$B$3:$B$1000)*1,ISNUMBER(SEARCH("GSL",[1]OUT_TransportEnergyCons!$C$3:$C$1000))*1,[1]OUT_TransportEnergyCons!N$3:N$1000)</f>
        <v>7.5879633793393556E-4</v>
      </c>
      <c r="Q1176" s="1" cm="1">
        <f t="array" ref="Q1176">SUMPRODUCT(("T-Plg-GSL-mix_S1"=[1]OUT_TransportEnergyCons!$A$3:$A$1000)*1,("Var_Fin"=[1]OUT_TransportEnergyCons!$B$3:$B$1000)*1,ISNUMBER(SEARCH("GSL",[1]OUT_TransportEnergyCons!$C$3:$C$1000))*1,[1]OUT_TransportEnergyCons!O$3:O$1000)</f>
        <v>9.2645860416719816E-4</v>
      </c>
      <c r="S1176" s="3"/>
    </row>
    <row r="1177" spans="2:19" x14ac:dyDescent="0.5">
      <c r="B1177" s="5" t="str">
        <f t="shared" si="1358"/>
        <v>SPS1</v>
      </c>
      <c r="C1177" s="5" t="str">
        <f t="shared" si="1359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8.1841134804236576E-2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0.16753926045852402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0.11706483086536837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0.13182721489908109</v>
      </c>
      <c r="J1177" s="1" cm="1">
        <f t="array" ref="J1177">SUMPRODUCT(("T-Plg-GSL-mix_S2"=[1]OUT_TransportEnergyCons!$A$3:$A$1000)*1,("Var_Fin"=[1]OUT_TransportEnergyCons!$B$3:$B$1000)*1,ISNUMBER(SEARCH("GSL",[1]OUT_TransportEnergyCons!$C$3:$C$1000))*1,[1]OUT_TransportEnergyCons!H$3:H$1000)</f>
        <v>1.2394153136480627E-2</v>
      </c>
      <c r="K1177" s="1" cm="1">
        <f t="array" ref="K1177">SUMPRODUCT(("T-Plg-GSL-mix_S2"=[1]OUT_TransportEnergyCons!$A$3:$A$1000)*1,("Var_Fin"=[1]OUT_TransportEnergyCons!$B$3:$B$1000)*1,ISNUMBER(SEARCH("GSL",[1]OUT_TransportEnergyCons!$C$3:$C$1000))*1,[1]OUT_TransportEnergyCons!I$3:I$1000)</f>
        <v>6.7137031901976375E-4</v>
      </c>
      <c r="L1177" s="1" cm="1">
        <f t="array" ref="L1177">SUMPRODUCT(("T-Plg-GSL-mix_S2"=[1]OUT_TransportEnergyCons!$A$3:$A$1000)*1,("Var_Fin"=[1]OUT_TransportEnergyCons!$B$3:$B$1000)*1,ISNUMBER(SEARCH("GSL",[1]OUT_TransportEnergyCons!$C$3:$C$1000))*1,[1]OUT_TransportEnergyCons!J$3:J$1000)</f>
        <v>5.2996418415066245E-4</v>
      </c>
      <c r="M1177" s="1" cm="1">
        <f t="array" ref="M1177">SUMPRODUCT(("T-Plg-GSL-mix_S2"=[1]OUT_TransportEnergyCons!$A$3:$A$1000)*1,("Var_Fin"=[1]OUT_TransportEnergyCons!$B$3:$B$1000)*1,ISNUMBER(SEARCH("GSL",[1]OUT_TransportEnergyCons!$C$3:$C$1000))*1,[1]OUT_TransportEnergyCons!K$3:K$1000)</f>
        <v>2.7105283989303607E-4</v>
      </c>
      <c r="N1177" s="1" cm="1">
        <f t="array" ref="N1177">SUMPRODUCT(("T-Plg-GSL-mix_S2"=[1]OUT_TransportEnergyCons!$A$3:$A$1000)*1,("Var_Fin"=[1]OUT_TransportEnergyCons!$B$3:$B$1000)*1,ISNUMBER(SEARCH("GSL",[1]OUT_TransportEnergyCons!$C$3:$C$1000))*1,[1]OUT_TransportEnergyCons!L$3:L$1000)</f>
        <v>1.7501537703709319E-3</v>
      </c>
      <c r="O1177" s="1" cm="1">
        <f t="array" ref="O1177">SUMPRODUCT(("T-Plg-GSL-mix_S2"=[1]OUT_TransportEnergyCons!$A$3:$A$1000)*1,("Var_Fin"=[1]OUT_TransportEnergyCons!$B$3:$B$1000)*1,ISNUMBER(SEARCH("GSL",[1]OUT_TransportEnergyCons!$C$3:$C$1000))*1,[1]OUT_TransportEnergyCons!M$3:M$1000)</f>
        <v>1.5675876734319977E-3</v>
      </c>
      <c r="P1177" s="1" cm="1">
        <f t="array" ref="P1177">SUMPRODUCT(("T-Plg-GSL-mix_S2"=[1]OUT_TransportEnergyCons!$A$3:$A$1000)*1,("Var_Fin"=[1]OUT_TransportEnergyCons!$B$3:$B$1000)*1,ISNUMBER(SEARCH("GSL",[1]OUT_TransportEnergyCons!$C$3:$C$1000))*1,[1]OUT_TransportEnergyCons!N$3:N$1000)</f>
        <v>1.2945603839175164E-3</v>
      </c>
      <c r="Q1177" s="1" cm="1">
        <f t="array" ref="Q1177">SUMPRODUCT(("T-Plg-GSL-mix_S2"=[1]OUT_TransportEnergyCons!$A$3:$A$1000)*1,("Var_Fin"=[1]OUT_TransportEnergyCons!$B$3:$B$1000)*1,ISNUMBER(SEARCH("GSL",[1]OUT_TransportEnergyCons!$C$3:$C$1000))*1,[1]OUT_TransportEnergyCons!O$3:O$1000)</f>
        <v>6.1821806685683769E-4</v>
      </c>
      <c r="S1177" s="3"/>
    </row>
    <row r="1178" spans="2:19" x14ac:dyDescent="0.5">
      <c r="B1178" s="5" t="str">
        <f t="shared" si="1358"/>
        <v>SPS1</v>
      </c>
      <c r="C1178" s="5" t="str">
        <f t="shared" si="1359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8.6210925798424348E-2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0.23991092337853637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1.7848355531666733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4.6322779249023176</v>
      </c>
      <c r="J1178" s="1" cm="1">
        <f t="array" ref="J1178">SUMPRODUCT(("T-Plg-GSL-mix_S3"=[1]OUT_TransportEnergyCons!$A$3:$A$1000)*1,("Var_Fin"=[1]OUT_TransportEnergyCons!$B$3:$B$1000)*1,ISNUMBER(SEARCH("GSL",[1]OUT_TransportEnergyCons!$C$3:$C$1000))*1,[1]OUT_TransportEnergyCons!H$3:H$1000)</f>
        <v>12.02484792324247</v>
      </c>
      <c r="K1178" s="1" cm="1">
        <f t="array" ref="K1178">SUMPRODUCT(("T-Plg-GSL-mix_S3"=[1]OUT_TransportEnergyCons!$A$3:$A$1000)*1,("Var_Fin"=[1]OUT_TransportEnergyCons!$B$3:$B$1000)*1,ISNUMBER(SEARCH("GSL",[1]OUT_TransportEnergyCons!$C$3:$C$1000))*1,[1]OUT_TransportEnergyCons!I$3:I$1000)</f>
        <v>7.6258658805171988</v>
      </c>
      <c r="L1178" s="1" cm="1">
        <f t="array" ref="L1178">SUMPRODUCT(("T-Plg-GSL-mix_S3"=[1]OUT_TransportEnergyCons!$A$3:$A$1000)*1,("Var_Fin"=[1]OUT_TransportEnergyCons!$B$3:$B$1000)*1,ISNUMBER(SEARCH("GSL",[1]OUT_TransportEnergyCons!$C$3:$C$1000))*1,[1]OUT_TransportEnergyCons!J$3:J$1000)</f>
        <v>6.5493798034564472</v>
      </c>
      <c r="M1178" s="1" cm="1">
        <f t="array" ref="M1178">SUMPRODUCT(("T-Plg-GSL-mix_S3"=[1]OUT_TransportEnergyCons!$A$3:$A$1000)*1,("Var_Fin"=[1]OUT_TransportEnergyCons!$B$3:$B$1000)*1,ISNUMBER(SEARCH("GSL",[1]OUT_TransportEnergyCons!$C$3:$C$1000))*1,[1]OUT_TransportEnergyCons!K$3:K$1000)</f>
        <v>1.713115569751706</v>
      </c>
      <c r="N1178" s="1" cm="1">
        <f t="array" ref="N1178">SUMPRODUCT(("T-Plg-GSL-mix_S3"=[1]OUT_TransportEnergyCons!$A$3:$A$1000)*1,("Var_Fin"=[1]OUT_TransportEnergyCons!$B$3:$B$1000)*1,ISNUMBER(SEARCH("GSL",[1]OUT_TransportEnergyCons!$C$3:$C$1000))*1,[1]OUT_TransportEnergyCons!L$3:L$1000)</f>
        <v>1.1269794339383858</v>
      </c>
      <c r="O1178" s="1" cm="1">
        <f t="array" ref="O1178">SUMPRODUCT(("T-Plg-GSL-mix_S3"=[1]OUT_TransportEnergyCons!$A$3:$A$1000)*1,("Var_Fin"=[1]OUT_TransportEnergyCons!$B$3:$B$1000)*1,ISNUMBER(SEARCH("GSL",[1]OUT_TransportEnergyCons!$C$3:$C$1000))*1,[1]OUT_TransportEnergyCons!M$3:M$1000)</f>
        <v>2.3619675968500819E-3</v>
      </c>
      <c r="P1178" s="1" cm="1">
        <f t="array" ref="P1178">SUMPRODUCT(("T-Plg-GSL-mix_S3"=[1]OUT_TransportEnergyCons!$A$3:$A$1000)*1,("Var_Fin"=[1]OUT_TransportEnergyCons!$B$3:$B$1000)*1,ISNUMBER(SEARCH("GSL",[1]OUT_TransportEnergyCons!$C$3:$C$1000))*1,[1]OUT_TransportEnergyCons!N$3:N$1000)</f>
        <v>2.1040003097271679E-3</v>
      </c>
      <c r="Q1178" s="1" cm="1">
        <f t="array" ref="Q1178">SUMPRODUCT(("T-Plg-GSL-mix_S3"=[1]OUT_TransportEnergyCons!$A$3:$A$1000)*1,("Var_Fin"=[1]OUT_TransportEnergyCons!$B$3:$B$1000)*1,ISNUMBER(SEARCH("GSL",[1]OUT_TransportEnergyCons!$C$3:$C$1000))*1,[1]OUT_TransportEnergyCons!O$3:O$1000)</f>
        <v>1.0923999110540952E-3</v>
      </c>
      <c r="S1178" s="3"/>
    </row>
    <row r="1179" spans="2:19" x14ac:dyDescent="0.5">
      <c r="B1179" s="5" t="str">
        <f t="shared" si="1358"/>
        <v>SPS1</v>
      </c>
      <c r="C1179" s="5" t="str">
        <f t="shared" si="1359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0.1747850512854571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0.30471245283679049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0.29180504980913713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0.21833888310397945</v>
      </c>
      <c r="J1179" s="1" cm="1">
        <f t="array" ref="J1179">SUMPRODUCT(("T-Plg-GSL-mix_S4"=[1]OUT_TransportEnergyCons!$A$3:$A$1000)*1,("Var_Fin"=[1]OUT_TransportEnergyCons!$B$3:$B$1000)*1,ISNUMBER(SEARCH("GSL",[1]OUT_TransportEnergyCons!$C$3:$C$1000))*1,[1]OUT_TransportEnergyCons!H$3:H$1000)</f>
        <v>3.3217813696909709E-2</v>
      </c>
      <c r="K1179" s="1" cm="1">
        <f t="array" ref="K1179">SUMPRODUCT(("T-Plg-GSL-mix_S4"=[1]OUT_TransportEnergyCons!$A$3:$A$1000)*1,("Var_Fin"=[1]OUT_TransportEnergyCons!$B$3:$B$1000)*1,ISNUMBER(SEARCH("GSL",[1]OUT_TransportEnergyCons!$C$3:$C$1000))*1,[1]OUT_TransportEnergyCons!I$3:I$1000)</f>
        <v>1.6829105966551443E-3</v>
      </c>
      <c r="L1179" s="1" cm="1">
        <f t="array" ref="L1179">SUMPRODUCT(("T-Plg-GSL-mix_S4"=[1]OUT_TransportEnergyCons!$A$3:$A$1000)*1,("Var_Fin"=[1]OUT_TransportEnergyCons!$B$3:$B$1000)*1,ISNUMBER(SEARCH("GSL",[1]OUT_TransportEnergyCons!$C$3:$C$1000))*1,[1]OUT_TransportEnergyCons!J$3:J$1000)</f>
        <v>9.1385850974229712E-4</v>
      </c>
      <c r="M1179" s="1" cm="1">
        <f t="array" ref="M1179">SUMPRODUCT(("T-Plg-GSL-mix_S4"=[1]OUT_TransportEnergyCons!$A$3:$A$1000)*1,("Var_Fin"=[1]OUT_TransportEnergyCons!$B$3:$B$1000)*1,ISNUMBER(SEARCH("GSL",[1]OUT_TransportEnergyCons!$C$3:$C$1000))*1,[1]OUT_TransportEnergyCons!K$3:K$1000)</f>
        <v>3.423445658416864E-4</v>
      </c>
      <c r="N1179" s="1" cm="1">
        <f t="array" ref="N1179">SUMPRODUCT(("T-Plg-GSL-mix_S4"=[1]OUT_TransportEnergyCons!$A$3:$A$1000)*1,("Var_Fin"=[1]OUT_TransportEnergyCons!$B$3:$B$1000)*1,ISNUMBER(SEARCH("GSL",[1]OUT_TransportEnergyCons!$C$3:$C$1000))*1,[1]OUT_TransportEnergyCons!L$3:L$1000)</f>
        <v>0.71912829714419024</v>
      </c>
      <c r="O1179" s="1" cm="1">
        <f t="array" ref="O1179">SUMPRODUCT(("T-Plg-GSL-mix_S4"=[1]OUT_TransportEnergyCons!$A$3:$A$1000)*1,("Var_Fin"=[1]OUT_TransportEnergyCons!$B$3:$B$1000)*1,ISNUMBER(SEARCH("GSL",[1]OUT_TransportEnergyCons!$C$3:$C$1000))*1,[1]OUT_TransportEnergyCons!M$3:M$1000)</f>
        <v>1.7057156586243964</v>
      </c>
      <c r="P1179" s="1" cm="1">
        <f t="array" ref="P1179">SUMPRODUCT(("T-Plg-GSL-mix_S4"=[1]OUT_TransportEnergyCons!$A$3:$A$1000)*1,("Var_Fin"=[1]OUT_TransportEnergyCons!$B$3:$B$1000)*1,ISNUMBER(SEARCH("GSL",[1]OUT_TransportEnergyCons!$C$3:$C$1000))*1,[1]OUT_TransportEnergyCons!N$3:N$1000)</f>
        <v>1.5649279137467969</v>
      </c>
      <c r="Q1179" s="1" cm="1">
        <f t="array" ref="Q1179">SUMPRODUCT(("T-Plg-GSL-mix_S4"=[1]OUT_TransportEnergyCons!$A$3:$A$1000)*1,("Var_Fin"=[1]OUT_TransportEnergyCons!$B$3:$B$1000)*1,ISNUMBER(SEARCH("GSL",[1]OUT_TransportEnergyCons!$C$3:$C$1000))*1,[1]OUT_TransportEnergyCons!O$3:O$1000)</f>
        <v>1.2576236273974029</v>
      </c>
      <c r="S1179" s="3"/>
    </row>
    <row r="1180" spans="2:19" x14ac:dyDescent="0.5">
      <c r="B1180" s="5" t="str">
        <f t="shared" si="1358"/>
        <v>SPS1</v>
      </c>
      <c r="C1180" s="5" t="str">
        <f t="shared" si="1359"/>
        <v>CH</v>
      </c>
      <c r="D1180" t="s">
        <v>1280</v>
      </c>
      <c r="E1180" t="s">
        <v>8</v>
      </c>
      <c r="F1180" s="1">
        <f>SUM(F1185:F1202)</f>
        <v>60.420837555888582</v>
      </c>
      <c r="G1180" s="1">
        <f t="shared" ref="G1180:K1180" si="1375">SUM(G1185:G1202)</f>
        <v>59.132597419021096</v>
      </c>
      <c r="H1180" s="1">
        <f t="shared" si="1375"/>
        <v>46.649265090661316</v>
      </c>
      <c r="I1180" s="1">
        <f t="shared" si="1375"/>
        <v>26.271903930215668</v>
      </c>
      <c r="J1180" s="1">
        <f t="shared" si="1375"/>
        <v>10.330383373426255</v>
      </c>
      <c r="K1180" s="1">
        <f t="shared" si="1375"/>
        <v>5.4903819224622641</v>
      </c>
      <c r="L1180" s="1">
        <f t="shared" ref="L1180:O1180" si="1376">SUM(L1185:L1202)</f>
        <v>4.5231361679877828</v>
      </c>
      <c r="M1180" s="1">
        <f t="shared" si="1376"/>
        <v>1.3252498608543171</v>
      </c>
      <c r="N1180" s="1">
        <f t="shared" si="1376"/>
        <v>1.2529756418552402</v>
      </c>
      <c r="O1180" s="1">
        <f t="shared" si="1376"/>
        <v>1.2302259107387388</v>
      </c>
      <c r="P1180" s="1">
        <f>SUM(P1185:P1202)</f>
        <v>1.1205519332195675</v>
      </c>
      <c r="Q1180" s="1">
        <f>SUM(Q1185:Q1202)</f>
        <v>0.94318794782594428</v>
      </c>
      <c r="S1180" s="3"/>
    </row>
    <row r="1181" spans="2:19" x14ac:dyDescent="0.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58.922102536851014</v>
      </c>
      <c r="G1181" s="1">
        <f t="shared" ref="G1181:K1181" si="1377">IF(G1180-G1182&lt;0,0,G1180-G1182)</f>
        <v>57.58026104434775</v>
      </c>
      <c r="H1181" s="1">
        <f t="shared" si="1377"/>
        <v>44.55569705944179</v>
      </c>
      <c r="I1181" s="1">
        <f t="shared" si="1377"/>
        <v>25.046732944799352</v>
      </c>
      <c r="J1181" s="1">
        <f t="shared" si="1377"/>
        <v>9.5452764532144272</v>
      </c>
      <c r="K1181" s="1">
        <f t="shared" si="1377"/>
        <v>4.8823169865711797</v>
      </c>
      <c r="L1181" s="1">
        <f t="shared" ref="L1181:O1181" si="1378">IF(L1180-L1182&lt;0,0,L1180-L1182)</f>
        <v>3.2183363208973681</v>
      </c>
      <c r="M1181" s="1">
        <f t="shared" si="1378"/>
        <v>0</v>
      </c>
      <c r="N1181" s="1">
        <f t="shared" si="1378"/>
        <v>2.5970784985673845E-5</v>
      </c>
      <c r="O1181" s="1">
        <f t="shared" si="1378"/>
        <v>3.8533441782728772E-5</v>
      </c>
      <c r="P1181" s="1">
        <f>IF(P1180-P1182&lt;0,0,P1180-P1182)</f>
        <v>3.19082347015609E-5</v>
      </c>
      <c r="Q1181" s="1">
        <f>IF(Q1180-Q1182&lt;0,0,Q1180-Q1182)</f>
        <v>4.5218874669239462E-5</v>
      </c>
      <c r="S1181" s="3"/>
    </row>
    <row r="1182" spans="2:19" x14ac:dyDescent="0.5">
      <c r="B1182" s="5" t="str">
        <f t="shared" ref="B1182:B1184" si="1379">B1181</f>
        <v>SPS1</v>
      </c>
      <c r="C1182" s="5" t="str">
        <f t="shared" ref="C1182:C1184" si="1380">C1181</f>
        <v>CH</v>
      </c>
      <c r="D1182" t="s">
        <v>1282</v>
      </c>
      <c r="E1182" t="str">
        <f t="shared" ref="E1182:E1184" si="1381">E1181</f>
        <v>PJ/yr.</v>
      </c>
      <c r="F1182" s="1">
        <f>SUM(F1183:F1184)</f>
        <v>1.4987350190375699</v>
      </c>
      <c r="G1182" s="1">
        <f t="shared" ref="G1182" si="1382">SUM(G1183:G1184)</f>
        <v>1.552336374673345</v>
      </c>
      <c r="H1182" s="1">
        <f t="shared" ref="H1182" si="1383">SUM(H1183:H1184)</f>
        <v>2.0935680312195268</v>
      </c>
      <c r="I1182" s="1">
        <f t="shared" ref="I1182" si="1384">SUM(I1183:I1184)</f>
        <v>1.2251709854163153</v>
      </c>
      <c r="J1182" s="1">
        <f t="shared" ref="J1182" si="1385">SUM(J1183:J1184)</f>
        <v>0.78510692021182837</v>
      </c>
      <c r="K1182" s="1">
        <f t="shared" ref="K1182" si="1386">SUM(K1183:K1184)</f>
        <v>0.60806493589108412</v>
      </c>
      <c r="L1182" s="1">
        <f t="shared" ref="L1182:O1182" si="1387">SUM(L1183:L1184)</f>
        <v>1.3047998470904147</v>
      </c>
      <c r="M1182" s="1">
        <f t="shared" si="1387"/>
        <v>2.8090054095604127</v>
      </c>
      <c r="N1182" s="1">
        <f t="shared" si="1387"/>
        <v>1.2529496710702546</v>
      </c>
      <c r="O1182" s="1">
        <f t="shared" si="1387"/>
        <v>1.230187377296956</v>
      </c>
      <c r="P1182" s="1">
        <f>SUM(P1183:P1184)</f>
        <v>1.1205200249848659</v>
      </c>
      <c r="Q1182" s="1">
        <f>SUM(Q1183:Q1184)</f>
        <v>0.94314272895127504</v>
      </c>
      <c r="S1182" s="3"/>
    </row>
    <row r="1183" spans="2:19" x14ac:dyDescent="0.5">
      <c r="B1183" s="5" t="str">
        <f t="shared" si="1379"/>
        <v>SPS1</v>
      </c>
      <c r="C1183" s="5" t="str">
        <f t="shared" si="1380"/>
        <v>CH</v>
      </c>
      <c r="D1183" t="s">
        <v>1283</v>
      </c>
      <c r="E1183" t="str">
        <f t="shared" si="1381"/>
        <v>PJ/yr.</v>
      </c>
      <c r="F1183" s="1">
        <f>[1]Transport!B$26/SUM([1]Transport!B$22,[1]Transport!B$26)*F1180*(F$34+F$582)/(F$34+F$582+F$38)</f>
        <v>1.4987350190375699</v>
      </c>
      <c r="G1183" s="1">
        <f>[1]Transport!C$26/SUM([1]Transport!C$22,[1]Transport!C$26)*G1180*(G$34+G$582)/(G$34+G$582+G$38)</f>
        <v>1.552336374673345</v>
      </c>
      <c r="H1183" s="1">
        <f>[1]Transport!D$26/SUM([1]Transport!D$22,[1]Transport!D$26)*H1180*(H$34+H$582)/(H$34+H$582+H$38)</f>
        <v>2.0935680312195268</v>
      </c>
      <c r="I1183" s="1">
        <f>[1]Transport!E$26/SUM([1]Transport!E$22,[1]Transport!E$26)*I1180*(I$34+I$582)/(I$34+I$582+I$38)</f>
        <v>1.2251709854163153</v>
      </c>
      <c r="J1183" s="1">
        <f>[1]Transport!F$26/SUM([1]Transport!F$22,[1]Transport!F$26)*J1180*(J$34+J$582)/(J$34+J$582+J$38)</f>
        <v>0.78510692021182837</v>
      </c>
      <c r="K1183" s="1">
        <f>[1]Transport!G$26/SUM([1]Transport!G$22,[1]Transport!G$26)*K1180*(K$34+K$582)/(K$34+K$582+K$38)</f>
        <v>0.6077958093552106</v>
      </c>
      <c r="L1183" s="1">
        <f>[1]Transport!H$26/SUM([1]Transport!H$22,[1]Transport!H$26)*L1180*(L$34+L$582)/(L$34+L$582+L$38)</f>
        <v>1.0381316059865116</v>
      </c>
      <c r="M1183" s="1">
        <f>[1]Transport!I$26/SUM([1]Transport!I$22,[1]Transport!I$26)*M1180*(M$34+M$582)/(M$34+M$582+M$38)</f>
        <v>0.66534711227958343</v>
      </c>
      <c r="N1183" s="1">
        <f>[1]Transport!J$26/SUM([1]Transport!J$22,[1]Transport!J$26)*N1180*(N$34+N$582)/(N$34+N$582+N$38)</f>
        <v>1.2528830177387642</v>
      </c>
      <c r="O1183" s="1">
        <f>[1]Transport!K$26/SUM([1]Transport!K$22,[1]Transport!K$26)*O1180*(O$34+O$582)/(O$34+O$582+O$38)</f>
        <v>1.2300835850724117</v>
      </c>
      <c r="P1183" s="1">
        <f>[1]Transport!L$26/SUM([1]Transport!L$22,[1]Transport!L$26)*P1180*(P$34+P$582)/(P$34+P$582+P$38)</f>
        <v>1.1204158127284796</v>
      </c>
      <c r="Q1183" s="1">
        <f>[1]Transport!M$26/SUM([1]Transport!M$22,[1]Transport!M$26)*Q1180*(Q$34+Q$582)/(Q$34+Q$582+Q$38)</f>
        <v>0.94298665510467528</v>
      </c>
      <c r="S1183" s="3"/>
    </row>
    <row r="1184" spans="2:19" x14ac:dyDescent="0.5">
      <c r="B1184" s="5" t="str">
        <f t="shared" si="1379"/>
        <v>SPS1</v>
      </c>
      <c r="C1184" s="5" t="str">
        <f t="shared" si="1380"/>
        <v>CH</v>
      </c>
      <c r="D1184" t="s">
        <v>1284</v>
      </c>
      <c r="E1184" t="str">
        <f t="shared" si="1381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(J$38+J$718)/([1]Transport!F$22+[1]Transport!F$26)*J1180</f>
        <v>0</v>
      </c>
      <c r="K1184" s="1">
        <f>(K$38+K$718)/([1]Transport!G$22+[1]Transport!G$26)*K1180</f>
        <v>2.6912653587356168E-4</v>
      </c>
      <c r="L1184" s="1">
        <f>(L$38+L$718)/([1]Transport!H$22+[1]Transport!H$26)*L1180</f>
        <v>0.26666824110390314</v>
      </c>
      <c r="M1184" s="1">
        <f>(M$38+M$718)/([1]Transport!I$22+[1]Transport!I$26)*M1180</f>
        <v>2.1436582972808291</v>
      </c>
      <c r="N1184" s="1">
        <f>(N$38+N$718)/([1]Transport!J$22+[1]Transport!J$26)*N1180</f>
        <v>6.6653331490365892E-5</v>
      </c>
      <c r="O1184" s="1">
        <f>(O$38+O$718)/([1]Transport!K$22+[1]Transport!K$26)*O1180</f>
        <v>1.037922245444567E-4</v>
      </c>
      <c r="P1184" s="1">
        <f>(P$38+P$718)/([1]Transport!L$22+[1]Transport!L$26)*P1180</f>
        <v>1.0421225638630984E-4</v>
      </c>
      <c r="Q1184" s="1">
        <f>(Q$38+Q$718)/([1]Transport!M$22+[1]Transport!M$26)*Q1180</f>
        <v>1.5607384659976979E-4</v>
      </c>
      <c r="R1184" s="1"/>
      <c r="S1184" s="3"/>
    </row>
    <row r="1185" spans="2:19" x14ac:dyDescent="0.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SUMPRODUCT(("T_C-HYBDSLEXT"=[1]OUT_TransportEnergyCons!$A$3:$A$1000)*1,("Var_Fin"=[1]OUT_TransportEnergyCons!$B$3:$B$1000)*1,ISNUMBER(SEARCH("DSL",[1]OUT_TransportEnergyCons!$C$3:$C$1000))*1,[1]OUT_TransportEnergyCons!H$3:H$1000)</f>
        <v>0</v>
      </c>
      <c r="K1185" s="1" cm="1">
        <f t="array" ref="K1185">SUMPRODUCT(("T_C-HYBDSLEXT"=[1]OUT_TransportEnergyCons!$A$3:$A$1000)*1,("Var_Fin"=[1]OUT_TransportEnergyCons!$B$3:$B$1000)*1,ISNUMBER(SEARCH("DSL",[1]OUT_TransportEnergyCons!$C$3:$C$1000))*1,[1]OUT_TransportEnergyCons!I$3:I$1000)</f>
        <v>0</v>
      </c>
      <c r="L1185" s="1" cm="1">
        <f t="array" ref="L1185">SUMPRODUCT(("T_C-HYBDSLEXT"=[1]OUT_TransportEnergyCons!$A$3:$A$1000)*1,("Var_Fin"=[1]OUT_TransportEnergyCons!$B$3:$B$1000)*1,ISNUMBER(SEARCH("DSL",[1]OUT_TransportEnergyCons!$C$3:$C$1000))*1,[1]OUT_TransportEnergyCons!J$3:J$1000)</f>
        <v>0</v>
      </c>
      <c r="M1185" s="1" cm="1">
        <f t="array" ref="M1185">SUMPRODUCT(("T_C-HYBDSLEXT"=[1]OUT_TransportEnergyCons!$A$3:$A$1000)*1,("Var_Fin"=[1]OUT_TransportEnergyCons!$B$3:$B$1000)*1,ISNUMBER(SEARCH("DSL",[1]OUT_TransportEnergyCons!$C$3:$C$1000))*1,[1]OUT_TransportEnergyCons!K$3:K$1000)</f>
        <v>0</v>
      </c>
      <c r="N1185" s="1" cm="1">
        <f t="array" ref="N1185">SUMPRODUCT(("T_C-HYBDSLEXT"=[1]OUT_TransportEnergyCons!$A$3:$A$1000)*1,("Var_Fin"=[1]OUT_TransportEnergyCons!$B$3:$B$1000)*1,ISNUMBER(SEARCH("DSL",[1]OUT_TransportEnergyCons!$C$3:$C$1000))*1,[1]OUT_TransportEnergyCons!L$3:L$1000)</f>
        <v>0</v>
      </c>
      <c r="O1185" s="1" cm="1">
        <f t="array" ref="O1185">SUMPRODUCT(("T_C-HYBDSLEXT"=[1]OUT_TransportEnergyCons!$A$3:$A$1000)*1,("Var_Fin"=[1]OUT_TransportEnergyCons!$B$3:$B$1000)*1,ISNUMBER(SEARCH("DSL",[1]OUT_TransportEnergyCons!$C$3:$C$1000))*1,[1]OUT_TransportEnergyCons!M$3:M$1000)</f>
        <v>0</v>
      </c>
      <c r="P1185" s="1" cm="1">
        <f t="array" ref="P1185">SUMPRODUCT(("T_C-HYBDSLEXT"=[1]OUT_TransportEnergyCons!$A$3:$A$1000)*1,("Var_Fin"=[1]OUT_TransportEnergyCons!$B$3:$B$1000)*1,ISNUMBER(SEARCH("DSL",[1]OUT_TransportEnergyCons!$C$3:$C$1000))*1,[1]OUT_TransportEnergyCons!N$3:N$1000)</f>
        <v>0</v>
      </c>
      <c r="Q1185" s="1" cm="1">
        <f t="array" ref="Q1185">SUMPRODUCT(("T_C-HYBDSLEXT"=[1]OUT_TransportEnergyCons!$A$3:$A$1000)*1,("Var_Fin"=[1]OUT_TransportEnergyCons!$B$3:$B$1000)*1,ISNUMBER(SEARCH("DSL",[1]OUT_TransportEnergyCons!$C$3:$C$1000))*1,[1]OUT_TransportEnergyCons!O$3:O$1000)</f>
        <v>0</v>
      </c>
      <c r="S1185" s="3"/>
    </row>
    <row r="1186" spans="2:19" x14ac:dyDescent="0.5">
      <c r="B1186" s="5" t="str">
        <f t="shared" si="1358"/>
        <v>SPS1</v>
      </c>
      <c r="C1186" s="5" t="str">
        <f t="shared" si="1359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3.0822414168049924E-5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0.16572738514763832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0.11188288437146254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9.0207187774878447E-2</v>
      </c>
      <c r="J1186" s="1" cm="1">
        <f t="array" ref="J1186">SUMPRODUCT(("T_C-HY-DSL-S1"=[1]OUT_TransportEnergyCons!$A$3:$A$1000)*1,("Var_Fin"=[1]OUT_TransportEnergyCons!$B$3:$B$1000)*1,ISNUMBER(SEARCH("DSL",[1]OUT_TransportEnergyCons!$C$3:$C$1000))*1,[1]OUT_TransportEnergyCons!H$3:H$1000)</f>
        <v>3.178099847803656E-2</v>
      </c>
      <c r="K1186" s="1" cm="1">
        <f t="array" ref="K1186">SUMPRODUCT(("T_C-HY-DSL-S1"=[1]OUT_TransportEnergyCons!$A$3:$A$1000)*1,("Var_Fin"=[1]OUT_TransportEnergyCons!$B$3:$B$1000)*1,ISNUMBER(SEARCH("DSL",[1]OUT_TransportEnergyCons!$C$3:$C$1000))*1,[1]OUT_TransportEnergyCons!I$3:I$1000)</f>
        <v>3.2212706392367193E-4</v>
      </c>
      <c r="L1186" s="1" cm="1">
        <f t="array" ref="L1186">SUMPRODUCT(("T_C-HY-DSL-S1"=[1]OUT_TransportEnergyCons!$A$3:$A$1000)*1,("Var_Fin"=[1]OUT_TransportEnergyCons!$B$3:$B$1000)*1,ISNUMBER(SEARCH("DSL",[1]OUT_TransportEnergyCons!$C$3:$C$1000))*1,[1]OUT_TransportEnergyCons!J$3:J$1000)</f>
        <v>0</v>
      </c>
      <c r="M1186" s="1" cm="1">
        <f t="array" ref="M1186">SUMPRODUCT(("T_C-HY-DSL-S1"=[1]OUT_TransportEnergyCons!$A$3:$A$1000)*1,("Var_Fin"=[1]OUT_TransportEnergyCons!$B$3:$B$1000)*1,ISNUMBER(SEARCH("DSL",[1]OUT_TransportEnergyCons!$C$3:$C$1000))*1,[1]OUT_TransportEnergyCons!K$3:K$1000)</f>
        <v>0</v>
      </c>
      <c r="N1186" s="1" cm="1">
        <f t="array" ref="N1186">SUMPRODUCT(("T_C-HY-DSL-S1"=[1]OUT_TransportEnergyCons!$A$3:$A$1000)*1,("Var_Fin"=[1]OUT_TransportEnergyCons!$B$3:$B$1000)*1,ISNUMBER(SEARCH("DSL",[1]OUT_TransportEnergyCons!$C$3:$C$1000))*1,[1]OUT_TransportEnergyCons!L$3:L$1000)</f>
        <v>0</v>
      </c>
      <c r="O1186" s="1" cm="1">
        <f t="array" ref="O1186">SUMPRODUCT(("T_C-HY-DSL-S1"=[1]OUT_TransportEnergyCons!$A$3:$A$1000)*1,("Var_Fin"=[1]OUT_TransportEnergyCons!$B$3:$B$1000)*1,ISNUMBER(SEARCH("DSL",[1]OUT_TransportEnergyCons!$C$3:$C$1000))*1,[1]OUT_TransportEnergyCons!M$3:M$1000)</f>
        <v>0</v>
      </c>
      <c r="P1186" s="1" cm="1">
        <f t="array" ref="P1186">SUMPRODUCT(("T_C-HY-DSL-S1"=[1]OUT_TransportEnergyCons!$A$3:$A$1000)*1,("Var_Fin"=[1]OUT_TransportEnergyCons!$B$3:$B$1000)*1,ISNUMBER(SEARCH("DSL",[1]OUT_TransportEnergyCons!$C$3:$C$1000))*1,[1]OUT_TransportEnergyCons!N$3:N$1000)</f>
        <v>0</v>
      </c>
      <c r="Q1186" s="1" cm="1">
        <f t="array" ref="Q1186">SUMPRODUCT(("T_C-HY-DSL-S1"=[1]OUT_TransportEnergyCons!$A$3:$A$1000)*1,("Var_Fin"=[1]OUT_TransportEnergyCons!$B$3:$B$1000)*1,ISNUMBER(SEARCH("DSL",[1]OUT_TransportEnergyCons!$C$3:$C$1000))*1,[1]OUT_TransportEnergyCons!O$3:O$1000)</f>
        <v>0</v>
      </c>
      <c r="R1186" s="1"/>
      <c r="S1186" s="3"/>
    </row>
    <row r="1187" spans="2:19" x14ac:dyDescent="0.5">
      <c r="B1187" s="5" t="str">
        <f t="shared" si="1358"/>
        <v>SPS1</v>
      </c>
      <c r="C1187" s="5" t="str">
        <f t="shared" si="1359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2.8766809315574795E-3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0.58208658124363744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1.1648248164646375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0.9823636810666988</v>
      </c>
      <c r="J1187" s="1" cm="1">
        <f t="array" ref="J1187">SUMPRODUCT(("T_C-HY-DSL-S2"=[1]OUT_TransportEnergyCons!$A$3:$A$1000)*1,("Var_Fin"=[1]OUT_TransportEnergyCons!$B$3:$B$1000)*1,ISNUMBER(SEARCH("DSL",[1]OUT_TransportEnergyCons!$C$3:$C$1000))*1,[1]OUT_TransportEnergyCons!H$3:H$1000)</f>
        <v>0.48027273922015051</v>
      </c>
      <c r="K1187" s="1" cm="1">
        <f t="array" ref="K1187">SUMPRODUCT(("T_C-HY-DSL-S2"=[1]OUT_TransportEnergyCons!$A$3:$A$1000)*1,("Var_Fin"=[1]OUT_TransportEnergyCons!$B$3:$B$1000)*1,ISNUMBER(SEARCH("DSL",[1]OUT_TransportEnergyCons!$C$3:$C$1000))*1,[1]OUT_TransportEnergyCons!I$3:I$1000)</f>
        <v>4.4781661414137947E-2</v>
      </c>
      <c r="L1187" s="1" cm="1">
        <f t="array" ref="L1187">SUMPRODUCT(("T_C-HY-DSL-S2"=[1]OUT_TransportEnergyCons!$A$3:$A$1000)*1,("Var_Fin"=[1]OUT_TransportEnergyCons!$B$3:$B$1000)*1,ISNUMBER(SEARCH("DSL",[1]OUT_TransportEnergyCons!$C$3:$C$1000))*1,[1]OUT_TransportEnergyCons!J$3:J$1000)</f>
        <v>0</v>
      </c>
      <c r="M1187" s="1" cm="1">
        <f t="array" ref="M1187">SUMPRODUCT(("T_C-HY-DSL-S2"=[1]OUT_TransportEnergyCons!$A$3:$A$1000)*1,("Var_Fin"=[1]OUT_TransportEnergyCons!$B$3:$B$1000)*1,ISNUMBER(SEARCH("DSL",[1]OUT_TransportEnergyCons!$C$3:$C$1000))*1,[1]OUT_TransportEnergyCons!K$3:K$1000)</f>
        <v>0</v>
      </c>
      <c r="N1187" s="1" cm="1">
        <f t="array" ref="N1187">SUMPRODUCT(("T_C-HY-DSL-S2"=[1]OUT_TransportEnergyCons!$A$3:$A$1000)*1,("Var_Fin"=[1]OUT_TransportEnergyCons!$B$3:$B$1000)*1,ISNUMBER(SEARCH("DSL",[1]OUT_TransportEnergyCons!$C$3:$C$1000))*1,[1]OUT_TransportEnergyCons!L$3:L$1000)</f>
        <v>0</v>
      </c>
      <c r="O1187" s="1" cm="1">
        <f t="array" ref="O1187">SUMPRODUCT(("T_C-HY-DSL-S2"=[1]OUT_TransportEnergyCons!$A$3:$A$1000)*1,("Var_Fin"=[1]OUT_TransportEnergyCons!$B$3:$B$1000)*1,ISNUMBER(SEARCH("DSL",[1]OUT_TransportEnergyCons!$C$3:$C$1000))*1,[1]OUT_TransportEnergyCons!M$3:M$1000)</f>
        <v>0</v>
      </c>
      <c r="P1187" s="1" cm="1">
        <f t="array" ref="P1187">SUMPRODUCT(("T_C-HY-DSL-S2"=[1]OUT_TransportEnergyCons!$A$3:$A$1000)*1,("Var_Fin"=[1]OUT_TransportEnergyCons!$B$3:$B$1000)*1,ISNUMBER(SEARCH("DSL",[1]OUT_TransportEnergyCons!$C$3:$C$1000))*1,[1]OUT_TransportEnergyCons!N$3:N$1000)</f>
        <v>0</v>
      </c>
      <c r="Q1187" s="1" cm="1">
        <f t="array" ref="Q1187">SUMPRODUCT(("T_C-HY-DSL-S2"=[1]OUT_TransportEnergyCons!$A$3:$A$1000)*1,("Var_Fin"=[1]OUT_TransportEnergyCons!$B$3:$B$1000)*1,ISNUMBER(SEARCH("DSL",[1]OUT_TransportEnergyCons!$C$3:$C$1000))*1,[1]OUT_TransportEnergyCons!O$3:O$1000)</f>
        <v>0</v>
      </c>
      <c r="S1187" s="3"/>
    </row>
    <row r="1188" spans="2:19" x14ac:dyDescent="0.5">
      <c r="B1188" s="5" t="str">
        <f t="shared" si="1358"/>
        <v>SPS1</v>
      </c>
      <c r="C1188" s="5" t="str">
        <f t="shared" si="1359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2.9843983771739926E-2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4.5304427472178992E-2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4.3389175436246902E-2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3.2455586141885706E-2</v>
      </c>
      <c r="J1188" s="1" cm="1">
        <f t="array" ref="J1188">SUMPRODUCT(("T_C-HY-DSL-S3"=[1]OUT_TransportEnergyCons!$A$3:$A$1000)*1,("Var_Fin"=[1]OUT_TransportEnergyCons!$B$3:$B$1000)*1,ISNUMBER(SEARCH("DSL",[1]OUT_TransportEnergyCons!$C$3:$C$1000))*1,[1]OUT_TransportEnergyCons!H$3:H$1000)</f>
        <v>6.1414261741345663E-3</v>
      </c>
      <c r="K1188" s="1" cm="1">
        <f t="array" ref="K1188">SUMPRODUCT(("T_C-HY-DSL-S3"=[1]OUT_TransportEnergyCons!$A$3:$A$1000)*1,("Var_Fin"=[1]OUT_TransportEnergyCons!$B$3:$B$1000)*1,ISNUMBER(SEARCH("DSL",[1]OUT_TransportEnergyCons!$C$3:$C$1000))*1,[1]OUT_TransportEnergyCons!I$3:I$1000)</f>
        <v>4.9865263597736552E-5</v>
      </c>
      <c r="L1188" s="1" cm="1">
        <f t="array" ref="L1188">SUMPRODUCT(("T_C-HY-DSL-S3"=[1]OUT_TransportEnergyCons!$A$3:$A$1000)*1,("Var_Fin"=[1]OUT_TransportEnergyCons!$B$3:$B$1000)*1,ISNUMBER(SEARCH("DSL",[1]OUT_TransportEnergyCons!$C$3:$C$1000))*1,[1]OUT_TransportEnergyCons!J$3:J$1000)</f>
        <v>0</v>
      </c>
      <c r="M1188" s="1" cm="1">
        <f t="array" ref="M1188">SUMPRODUCT(("T_C-HY-DSL-S3"=[1]OUT_TransportEnergyCons!$A$3:$A$1000)*1,("Var_Fin"=[1]OUT_TransportEnergyCons!$B$3:$B$1000)*1,ISNUMBER(SEARCH("DSL",[1]OUT_TransportEnergyCons!$C$3:$C$1000))*1,[1]OUT_TransportEnergyCons!K$3:K$1000)</f>
        <v>0</v>
      </c>
      <c r="N1188" s="1" cm="1">
        <f t="array" ref="N1188">SUMPRODUCT(("T_C-HY-DSL-S3"=[1]OUT_TransportEnergyCons!$A$3:$A$1000)*1,("Var_Fin"=[1]OUT_TransportEnergyCons!$B$3:$B$1000)*1,ISNUMBER(SEARCH("DSL",[1]OUT_TransportEnergyCons!$C$3:$C$1000))*1,[1]OUT_TransportEnergyCons!L$3:L$1000)</f>
        <v>0</v>
      </c>
      <c r="O1188" s="1" cm="1">
        <f t="array" ref="O1188">SUMPRODUCT(("T_C-HY-DSL-S3"=[1]OUT_TransportEnergyCons!$A$3:$A$1000)*1,("Var_Fin"=[1]OUT_TransportEnergyCons!$B$3:$B$1000)*1,ISNUMBER(SEARCH("DSL",[1]OUT_TransportEnergyCons!$C$3:$C$1000))*1,[1]OUT_TransportEnergyCons!M$3:M$1000)</f>
        <v>0</v>
      </c>
      <c r="P1188" s="1" cm="1">
        <f t="array" ref="P1188">SUMPRODUCT(("T_C-HY-DSL-S3"=[1]OUT_TransportEnergyCons!$A$3:$A$1000)*1,("Var_Fin"=[1]OUT_TransportEnergyCons!$B$3:$B$1000)*1,ISNUMBER(SEARCH("DSL",[1]OUT_TransportEnergyCons!$C$3:$C$1000))*1,[1]OUT_TransportEnergyCons!N$3:N$1000)</f>
        <v>0</v>
      </c>
      <c r="Q1188" s="1" cm="1">
        <f t="array" ref="Q1188">SUMPRODUCT(("T_C-HY-DSL-S3"=[1]OUT_TransportEnergyCons!$A$3:$A$1000)*1,("Var_Fin"=[1]OUT_TransportEnergyCons!$B$3:$B$1000)*1,ISNUMBER(SEARCH("DSL",[1]OUT_TransportEnergyCons!$C$3:$C$1000))*1,[1]OUT_TransportEnergyCons!O$3:O$1000)</f>
        <v>0</v>
      </c>
      <c r="S1188" s="3"/>
    </row>
    <row r="1189" spans="2:19" x14ac:dyDescent="0.5">
      <c r="B1189" s="5" t="str">
        <f t="shared" si="1358"/>
        <v>SPS1</v>
      </c>
      <c r="C1189" s="5" t="str">
        <f t="shared" si="1359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3.5454083174996001E-2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7.0822642175580652E-2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6.7166369987260083E-2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5.5077295433499908E-2</v>
      </c>
      <c r="J1189" s="1" cm="1">
        <f t="array" ref="J1189">SUMPRODUCT(("T_C-HY-DSL-S4"=[1]OUT_TransportEnergyCons!$A$3:$A$1000)*1,("Var_Fin"=[1]OUT_TransportEnergyCons!$B$3:$B$1000)*1,ISNUMBER(SEARCH("DSL",[1]OUT_TransportEnergyCons!$C$3:$C$1000))*1,[1]OUT_TransportEnergyCons!H$3:H$1000)</f>
        <v>1.2353066464471221E-2</v>
      </c>
      <c r="K1189" s="1" cm="1">
        <f t="array" ref="K1189">SUMPRODUCT(("T_C-HY-DSL-S4"=[1]OUT_TransportEnergyCons!$A$3:$A$1000)*1,("Var_Fin"=[1]OUT_TransportEnergyCons!$B$3:$B$1000)*1,ISNUMBER(SEARCH("DSL",[1]OUT_TransportEnergyCons!$C$3:$C$1000))*1,[1]OUT_TransportEnergyCons!I$3:I$1000)</f>
        <v>5.5149432868551757E-5</v>
      </c>
      <c r="L1189" s="1" cm="1">
        <f t="array" ref="L1189">SUMPRODUCT(("T_C-HY-DSL-S4"=[1]OUT_TransportEnergyCons!$A$3:$A$1000)*1,("Var_Fin"=[1]OUT_TransportEnergyCons!$B$3:$B$1000)*1,ISNUMBER(SEARCH("DSL",[1]OUT_TransportEnergyCons!$C$3:$C$1000))*1,[1]OUT_TransportEnergyCons!J$3:J$1000)</f>
        <v>0</v>
      </c>
      <c r="M1189" s="1" cm="1">
        <f t="array" ref="M1189">SUMPRODUCT(("T_C-HY-DSL-S4"=[1]OUT_TransportEnergyCons!$A$3:$A$1000)*1,("Var_Fin"=[1]OUT_TransportEnergyCons!$B$3:$B$1000)*1,ISNUMBER(SEARCH("DSL",[1]OUT_TransportEnergyCons!$C$3:$C$1000))*1,[1]OUT_TransportEnergyCons!K$3:K$1000)</f>
        <v>0</v>
      </c>
      <c r="N1189" s="1" cm="1">
        <f t="array" ref="N1189">SUMPRODUCT(("T_C-HY-DSL-S4"=[1]OUT_TransportEnergyCons!$A$3:$A$1000)*1,("Var_Fin"=[1]OUT_TransportEnergyCons!$B$3:$B$1000)*1,ISNUMBER(SEARCH("DSL",[1]OUT_TransportEnergyCons!$C$3:$C$1000))*1,[1]OUT_TransportEnergyCons!L$3:L$1000)</f>
        <v>0</v>
      </c>
      <c r="O1189" s="1" cm="1">
        <f t="array" ref="O1189">SUMPRODUCT(("T_C-HY-DSL-S4"=[1]OUT_TransportEnergyCons!$A$3:$A$1000)*1,("Var_Fin"=[1]OUT_TransportEnergyCons!$B$3:$B$1000)*1,ISNUMBER(SEARCH("DSL",[1]OUT_TransportEnergyCons!$C$3:$C$1000))*1,[1]OUT_TransportEnergyCons!M$3:M$1000)</f>
        <v>0</v>
      </c>
      <c r="P1189" s="1" cm="1">
        <f t="array" ref="P1189">SUMPRODUCT(("T_C-HY-DSL-S4"=[1]OUT_TransportEnergyCons!$A$3:$A$1000)*1,("Var_Fin"=[1]OUT_TransportEnergyCons!$B$3:$B$1000)*1,ISNUMBER(SEARCH("DSL",[1]OUT_TransportEnergyCons!$C$3:$C$1000))*1,[1]OUT_TransportEnergyCons!N$3:N$1000)</f>
        <v>0</v>
      </c>
      <c r="Q1189" s="1" cm="1">
        <f t="array" ref="Q1189">SUMPRODUCT(("T_C-HY-DSL-S4"=[1]OUT_TransportEnergyCons!$A$3:$A$1000)*1,("Var_Fin"=[1]OUT_TransportEnergyCons!$B$3:$B$1000)*1,ISNUMBER(SEARCH("DSL",[1]OUT_TransportEnergyCons!$C$3:$C$1000))*1,[1]OUT_TransportEnergyCons!O$3:O$1000)</f>
        <v>0</v>
      </c>
      <c r="S1189" s="3"/>
    </row>
    <row r="1190" spans="2:19" x14ac:dyDescent="0.5">
      <c r="B1190" s="5" t="str">
        <f t="shared" si="1358"/>
        <v>SPS1</v>
      </c>
      <c r="C1190" s="5" t="str">
        <f t="shared" si="1359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52.132228083081607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48.700921685189492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35.237592555654636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11.485082294751253</v>
      </c>
      <c r="J1190" s="1" cm="1">
        <f t="array" ref="J1190">SUMPRODUCT(("T_C-ICEDSLEXT"=[1]OUT_TransportEnergyCons!$A$3:$A$1000)*1,("Var_Fin"=[1]OUT_TransportEnergyCons!$B$3:$B$1000)*1,ISNUMBER(SEARCH("DSL",[1]OUT_TransportEnergyCons!$C$3:$C$1000))*1,[1]OUT_TransportEnergyCons!H$3:H$1000)</f>
        <v>0</v>
      </c>
      <c r="K1190" s="1" cm="1">
        <f t="array" ref="K1190">SUMPRODUCT(("T_C-ICEDSLEXT"=[1]OUT_TransportEnergyCons!$A$3:$A$1000)*1,("Var_Fin"=[1]OUT_TransportEnergyCons!$B$3:$B$1000)*1,ISNUMBER(SEARCH("DSL",[1]OUT_TransportEnergyCons!$C$3:$C$1000))*1,[1]OUT_TransportEnergyCons!I$3:I$1000)</f>
        <v>0</v>
      </c>
      <c r="L1190" s="1" cm="1">
        <f t="array" ref="L1190">SUMPRODUCT(("T_C-ICEDSLEXT"=[1]OUT_TransportEnergyCons!$A$3:$A$1000)*1,("Var_Fin"=[1]OUT_TransportEnergyCons!$B$3:$B$1000)*1,ISNUMBER(SEARCH("DSL",[1]OUT_TransportEnergyCons!$C$3:$C$1000))*1,[1]OUT_TransportEnergyCons!J$3:J$1000)</f>
        <v>0</v>
      </c>
      <c r="M1190" s="1" cm="1">
        <f t="array" ref="M1190">SUMPRODUCT(("T_C-ICEDSLEXT"=[1]OUT_TransportEnergyCons!$A$3:$A$1000)*1,("Var_Fin"=[1]OUT_TransportEnergyCons!$B$3:$B$1000)*1,ISNUMBER(SEARCH("DSL",[1]OUT_TransportEnergyCons!$C$3:$C$1000))*1,[1]OUT_TransportEnergyCons!K$3:K$1000)</f>
        <v>0</v>
      </c>
      <c r="N1190" s="1" cm="1">
        <f t="array" ref="N1190">SUMPRODUCT(("T_C-ICEDSLEXT"=[1]OUT_TransportEnergyCons!$A$3:$A$1000)*1,("Var_Fin"=[1]OUT_TransportEnergyCons!$B$3:$B$1000)*1,ISNUMBER(SEARCH("DSL",[1]OUT_TransportEnergyCons!$C$3:$C$1000))*1,[1]OUT_TransportEnergyCons!L$3:L$1000)</f>
        <v>0</v>
      </c>
      <c r="O1190" s="1" cm="1">
        <f t="array" ref="O1190">SUMPRODUCT(("T_C-ICEDSLEXT"=[1]OUT_TransportEnergyCons!$A$3:$A$1000)*1,("Var_Fin"=[1]OUT_TransportEnergyCons!$B$3:$B$1000)*1,ISNUMBER(SEARCH("DSL",[1]OUT_TransportEnergyCons!$C$3:$C$1000))*1,[1]OUT_TransportEnergyCons!M$3:M$1000)</f>
        <v>0</v>
      </c>
      <c r="P1190" s="1" cm="1">
        <f t="array" ref="P1190">SUMPRODUCT(("T_C-ICEDSLEXT"=[1]OUT_TransportEnergyCons!$A$3:$A$1000)*1,("Var_Fin"=[1]OUT_TransportEnergyCons!$B$3:$B$1000)*1,ISNUMBER(SEARCH("DSL",[1]OUT_TransportEnergyCons!$C$3:$C$1000))*1,[1]OUT_TransportEnergyCons!N$3:N$1000)</f>
        <v>0</v>
      </c>
      <c r="Q1190" s="1" cm="1">
        <f t="array" ref="Q1190">SUMPRODUCT(("T_C-ICEDSLEXT"=[1]OUT_TransportEnergyCons!$A$3:$A$1000)*1,("Var_Fin"=[1]OUT_TransportEnergyCons!$B$3:$B$1000)*1,ISNUMBER(SEARCH("DSL",[1]OUT_TransportEnergyCons!$C$3:$C$1000))*1,[1]OUT_TransportEnergyCons!O$3:O$1000)</f>
        <v>0</v>
      </c>
      <c r="S1190" s="3"/>
    </row>
    <row r="1191" spans="2:19" x14ac:dyDescent="0.5">
      <c r="B1191" s="5" t="str">
        <f t="shared" si="1358"/>
        <v>SPS1</v>
      </c>
      <c r="C1191" s="5" t="str">
        <f t="shared" si="1359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5.3170234332303289E-3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5.9382835251849935E-3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4.3878833454650866E-3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3.1983692172696636E-3</v>
      </c>
      <c r="J1191" s="1" cm="1">
        <f t="array" ref="J1191">SUMPRODUCT(("T_C-ICE-DSL-S1"=[1]OUT_TransportEnergyCons!$A$3:$A$1000)*1,("Var_Fin"=[1]OUT_TransportEnergyCons!$B$3:$B$1000)*1,ISNUMBER(SEARCH("DSL",[1]OUT_TransportEnergyCons!$C$3:$C$1000))*1,[1]OUT_TransportEnergyCons!H$3:H$1000)</f>
        <v>3.6860991255030664E-4</v>
      </c>
      <c r="K1191" s="1" cm="1">
        <f t="array" ref="K1191">SUMPRODUCT(("T_C-ICE-DSL-S1"=[1]OUT_TransportEnergyCons!$A$3:$A$1000)*1,("Var_Fin"=[1]OUT_TransportEnergyCons!$B$3:$B$1000)*1,ISNUMBER(SEARCH("DSL",[1]OUT_TransportEnergyCons!$C$3:$C$1000))*1,[1]OUT_TransportEnergyCons!I$3:I$1000)</f>
        <v>1.0458946044920827E-4</v>
      </c>
      <c r="L1191" s="1" cm="1">
        <f t="array" ref="L1191">SUMPRODUCT(("T_C-ICE-DSL-S1"=[1]OUT_TransportEnergyCons!$A$3:$A$1000)*1,("Var_Fin"=[1]OUT_TransportEnergyCons!$B$3:$B$1000)*1,ISNUMBER(SEARCH("DSL",[1]OUT_TransportEnergyCons!$C$3:$C$1000))*1,[1]OUT_TransportEnergyCons!J$3:J$1000)</f>
        <v>0</v>
      </c>
      <c r="M1191" s="1" cm="1">
        <f t="array" ref="M1191">SUMPRODUCT(("T_C-ICE-DSL-S1"=[1]OUT_TransportEnergyCons!$A$3:$A$1000)*1,("Var_Fin"=[1]OUT_TransportEnergyCons!$B$3:$B$1000)*1,ISNUMBER(SEARCH("DSL",[1]OUT_TransportEnergyCons!$C$3:$C$1000))*1,[1]OUT_TransportEnergyCons!K$3:K$1000)</f>
        <v>0</v>
      </c>
      <c r="N1191" s="1" cm="1">
        <f t="array" ref="N1191">SUMPRODUCT(("T_C-ICE-DSL-S1"=[1]OUT_TransportEnergyCons!$A$3:$A$1000)*1,("Var_Fin"=[1]OUT_TransportEnergyCons!$B$3:$B$1000)*1,ISNUMBER(SEARCH("DSL",[1]OUT_TransportEnergyCons!$C$3:$C$1000))*1,[1]OUT_TransportEnergyCons!L$3:L$1000)</f>
        <v>0</v>
      </c>
      <c r="O1191" s="1" cm="1">
        <f t="array" ref="O1191">SUMPRODUCT(("T_C-ICE-DSL-S1"=[1]OUT_TransportEnergyCons!$A$3:$A$1000)*1,("Var_Fin"=[1]OUT_TransportEnergyCons!$B$3:$B$1000)*1,ISNUMBER(SEARCH("DSL",[1]OUT_TransportEnergyCons!$C$3:$C$1000))*1,[1]OUT_TransportEnergyCons!M$3:M$1000)</f>
        <v>0</v>
      </c>
      <c r="P1191" s="1" cm="1">
        <f t="array" ref="P1191">SUMPRODUCT(("T_C-ICE-DSL-S1"=[1]OUT_TransportEnergyCons!$A$3:$A$1000)*1,("Var_Fin"=[1]OUT_TransportEnergyCons!$B$3:$B$1000)*1,ISNUMBER(SEARCH("DSL",[1]OUT_TransportEnergyCons!$C$3:$C$1000))*1,[1]OUT_TransportEnergyCons!N$3:N$1000)</f>
        <v>0</v>
      </c>
      <c r="Q1191" s="1" cm="1">
        <f t="array" ref="Q1191">SUMPRODUCT(("T_C-ICE-DSL-S1"=[1]OUT_TransportEnergyCons!$A$3:$A$1000)*1,("Var_Fin"=[1]OUT_TransportEnergyCons!$B$3:$B$1000)*1,ISNUMBER(SEARCH("DSL",[1]OUT_TransportEnergyCons!$C$3:$C$1000))*1,[1]OUT_TransportEnergyCons!O$3:O$1000)</f>
        <v>0</v>
      </c>
      <c r="S1191" s="3"/>
    </row>
    <row r="1192" spans="2:19" x14ac:dyDescent="0.5">
      <c r="B1192" s="5" t="str">
        <f t="shared" si="1358"/>
        <v>SPS1</v>
      </c>
      <c r="C1192" s="5" t="str">
        <f t="shared" si="1359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1.2220667892312493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1.2831264323182292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1.1115101716502525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0.82865189737102141</v>
      </c>
      <c r="J1192" s="1" cm="1">
        <f t="array" ref="J1192">SUMPRODUCT(("T_C-ICE-DSL-S2"=[1]OUT_TransportEnergyCons!$A$3:$A$1000)*1,("Var_Fin"=[1]OUT_TransportEnergyCons!$B$3:$B$1000)*1,ISNUMBER(SEARCH("DSL",[1]OUT_TransportEnergyCons!$C$3:$C$1000))*1,[1]OUT_TransportEnergyCons!H$3:H$1000)</f>
        <v>2.068064268380981E-2</v>
      </c>
      <c r="K1192" s="1" cm="1">
        <f t="array" ref="K1192">SUMPRODUCT(("T_C-ICE-DSL-S2"=[1]OUT_TransportEnergyCons!$A$3:$A$1000)*1,("Var_Fin"=[1]OUT_TransportEnergyCons!$B$3:$B$1000)*1,ISNUMBER(SEARCH("DSL",[1]OUT_TransportEnergyCons!$C$3:$C$1000))*1,[1]OUT_TransportEnergyCons!I$3:I$1000)</f>
        <v>1.057975476261414E-4</v>
      </c>
      <c r="L1192" s="1" cm="1">
        <f t="array" ref="L1192">SUMPRODUCT(("T_C-ICE-DSL-S2"=[1]OUT_TransportEnergyCons!$A$3:$A$1000)*1,("Var_Fin"=[1]OUT_TransportEnergyCons!$B$3:$B$1000)*1,ISNUMBER(SEARCH("DSL",[1]OUT_TransportEnergyCons!$C$3:$C$1000))*1,[1]OUT_TransportEnergyCons!J$3:J$1000)</f>
        <v>0</v>
      </c>
      <c r="M1192" s="1" cm="1">
        <f t="array" ref="M1192">SUMPRODUCT(("T_C-ICE-DSL-S2"=[1]OUT_TransportEnergyCons!$A$3:$A$1000)*1,("Var_Fin"=[1]OUT_TransportEnergyCons!$B$3:$B$1000)*1,ISNUMBER(SEARCH("DSL",[1]OUT_TransportEnergyCons!$C$3:$C$1000))*1,[1]OUT_TransportEnergyCons!K$3:K$1000)</f>
        <v>0</v>
      </c>
      <c r="N1192" s="1" cm="1">
        <f t="array" ref="N1192">SUMPRODUCT(("T_C-ICE-DSL-S2"=[1]OUT_TransportEnergyCons!$A$3:$A$1000)*1,("Var_Fin"=[1]OUT_TransportEnergyCons!$B$3:$B$1000)*1,ISNUMBER(SEARCH("DSL",[1]OUT_TransportEnergyCons!$C$3:$C$1000))*1,[1]OUT_TransportEnergyCons!L$3:L$1000)</f>
        <v>0</v>
      </c>
      <c r="O1192" s="1" cm="1">
        <f t="array" ref="O1192">SUMPRODUCT(("T_C-ICE-DSL-S2"=[1]OUT_TransportEnergyCons!$A$3:$A$1000)*1,("Var_Fin"=[1]OUT_TransportEnergyCons!$B$3:$B$1000)*1,ISNUMBER(SEARCH("DSL",[1]OUT_TransportEnergyCons!$C$3:$C$1000))*1,[1]OUT_TransportEnergyCons!M$3:M$1000)</f>
        <v>0</v>
      </c>
      <c r="P1192" s="1" cm="1">
        <f t="array" ref="P1192">SUMPRODUCT(("T_C-ICE-DSL-S2"=[1]OUT_TransportEnergyCons!$A$3:$A$1000)*1,("Var_Fin"=[1]OUT_TransportEnergyCons!$B$3:$B$1000)*1,ISNUMBER(SEARCH("DSL",[1]OUT_TransportEnergyCons!$C$3:$C$1000))*1,[1]OUT_TransportEnergyCons!N$3:N$1000)</f>
        <v>0</v>
      </c>
      <c r="Q1192" s="1" cm="1">
        <f t="array" ref="Q1192">SUMPRODUCT(("T_C-ICE-DSL-S2"=[1]OUT_TransportEnergyCons!$A$3:$A$1000)*1,("Var_Fin"=[1]OUT_TransportEnergyCons!$B$3:$B$1000)*1,ISNUMBER(SEARCH("DSL",[1]OUT_TransportEnergyCons!$C$3:$C$1000))*1,[1]OUT_TransportEnergyCons!O$3:O$1000)</f>
        <v>0</v>
      </c>
      <c r="S1192" s="3"/>
    </row>
    <row r="1193" spans="2:19" x14ac:dyDescent="0.5">
      <c r="B1193" s="5" t="str">
        <f t="shared" si="1358"/>
        <v>SPS1</v>
      </c>
      <c r="C1193" s="5" t="str">
        <f t="shared" si="1359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5.0466972801463665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5.3268467728283948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5.2760243248149132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4.0290775412081166</v>
      </c>
      <c r="J1193" s="1" cm="1">
        <f t="array" ref="J1193">SUMPRODUCT(("T_C-ICE-DSL-S3"=[1]OUT_TransportEnergyCons!$A$3:$A$1000)*1,("Var_Fin"=[1]OUT_TransportEnergyCons!$B$3:$B$1000)*1,ISNUMBER(SEARCH("DSL",[1]OUT_TransportEnergyCons!$C$3:$C$1000))*1,[1]OUT_TransportEnergyCons!H$3:H$1000)</f>
        <v>0.13823272166330866</v>
      </c>
      <c r="K1193" s="1" cm="1">
        <f t="array" ref="K1193">SUMPRODUCT(("T_C-ICE-DSL-S3"=[1]OUT_TransportEnergyCons!$A$3:$A$1000)*1,("Var_Fin"=[1]OUT_TransportEnergyCons!$B$3:$B$1000)*1,ISNUMBER(SEARCH("DSL",[1]OUT_TransportEnergyCons!$C$3:$C$1000))*1,[1]OUT_TransportEnergyCons!I$3:I$1000)</f>
        <v>9.4948730954012812E-5</v>
      </c>
      <c r="L1193" s="1" cm="1">
        <f t="array" ref="L1193">SUMPRODUCT(("T_C-ICE-DSL-S3"=[1]OUT_TransportEnergyCons!$A$3:$A$1000)*1,("Var_Fin"=[1]OUT_TransportEnergyCons!$B$3:$B$1000)*1,ISNUMBER(SEARCH("DSL",[1]OUT_TransportEnergyCons!$C$3:$C$1000))*1,[1]OUT_TransportEnergyCons!J$3:J$1000)</f>
        <v>0</v>
      </c>
      <c r="M1193" s="1" cm="1">
        <f t="array" ref="M1193">SUMPRODUCT(("T_C-ICE-DSL-S3"=[1]OUT_TransportEnergyCons!$A$3:$A$1000)*1,("Var_Fin"=[1]OUT_TransportEnergyCons!$B$3:$B$1000)*1,ISNUMBER(SEARCH("DSL",[1]OUT_TransportEnergyCons!$C$3:$C$1000))*1,[1]OUT_TransportEnergyCons!K$3:K$1000)</f>
        <v>0</v>
      </c>
      <c r="N1193" s="1" cm="1">
        <f t="array" ref="N1193">SUMPRODUCT(("T_C-ICE-DSL-S3"=[1]OUT_TransportEnergyCons!$A$3:$A$1000)*1,("Var_Fin"=[1]OUT_TransportEnergyCons!$B$3:$B$1000)*1,ISNUMBER(SEARCH("DSL",[1]OUT_TransportEnergyCons!$C$3:$C$1000))*1,[1]OUT_TransportEnergyCons!L$3:L$1000)</f>
        <v>0</v>
      </c>
      <c r="O1193" s="1" cm="1">
        <f t="array" ref="O1193">SUMPRODUCT(("T_C-ICE-DSL-S3"=[1]OUT_TransportEnergyCons!$A$3:$A$1000)*1,("Var_Fin"=[1]OUT_TransportEnergyCons!$B$3:$B$1000)*1,ISNUMBER(SEARCH("DSL",[1]OUT_TransportEnergyCons!$C$3:$C$1000))*1,[1]OUT_TransportEnergyCons!M$3:M$1000)</f>
        <v>0</v>
      </c>
      <c r="P1193" s="1" cm="1">
        <f t="array" ref="P1193">SUMPRODUCT(("T_C-ICE-DSL-S3"=[1]OUT_TransportEnergyCons!$A$3:$A$1000)*1,("Var_Fin"=[1]OUT_TransportEnergyCons!$B$3:$B$1000)*1,ISNUMBER(SEARCH("DSL",[1]OUT_TransportEnergyCons!$C$3:$C$1000))*1,[1]OUT_TransportEnergyCons!N$3:N$1000)</f>
        <v>0</v>
      </c>
      <c r="Q1193" s="1" cm="1">
        <f t="array" ref="Q1193">SUMPRODUCT(("T_C-ICE-DSL-S3"=[1]OUT_TransportEnergyCons!$A$3:$A$1000)*1,("Var_Fin"=[1]OUT_TransportEnergyCons!$B$3:$B$1000)*1,ISNUMBER(SEARCH("DSL",[1]OUT_TransportEnergyCons!$C$3:$C$1000))*1,[1]OUT_TransportEnergyCons!O$3:O$1000)</f>
        <v>0</v>
      </c>
      <c r="S1193" s="3"/>
    </row>
    <row r="1194" spans="2:19" x14ac:dyDescent="0.5">
      <c r="B1194" s="5" t="str">
        <f t="shared" si="1358"/>
        <v>SPS1</v>
      </c>
      <c r="C1194" s="5" t="str">
        <f t="shared" si="1359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1.9402885145355144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2.2108361581099309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2.173647705480231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1.6732802352551654</v>
      </c>
      <c r="J1194" s="1" cm="1">
        <f t="array" ref="J1194">SUMPRODUCT(("T_C-ICE-DSL-S4"=[1]OUT_TransportEnergyCons!$A$3:$A$1000)*1,("Var_Fin"=[1]OUT_TransportEnergyCons!$B$3:$B$1000)*1,ISNUMBER(SEARCH("DSL",[1]OUT_TransportEnergyCons!$C$3:$C$1000))*1,[1]OUT_TransportEnergyCons!H$3:H$1000)</f>
        <v>8.8451635446527566E-2</v>
      </c>
      <c r="K1194" s="1" cm="1">
        <f t="array" ref="K1194">SUMPRODUCT(("T_C-ICE-DSL-S4"=[1]OUT_TransportEnergyCons!$A$3:$A$1000)*1,("Var_Fin"=[1]OUT_TransportEnergyCons!$B$3:$B$1000)*1,ISNUMBER(SEARCH("DSL",[1]OUT_TransportEnergyCons!$C$3:$C$1000))*1,[1]OUT_TransportEnergyCons!I$3:I$1000)</f>
        <v>6.218273908853554E-5</v>
      </c>
      <c r="L1194" s="1" cm="1">
        <f t="array" ref="L1194">SUMPRODUCT(("T_C-ICE-DSL-S4"=[1]OUT_TransportEnergyCons!$A$3:$A$1000)*1,("Var_Fin"=[1]OUT_TransportEnergyCons!$B$3:$B$1000)*1,ISNUMBER(SEARCH("DSL",[1]OUT_TransportEnergyCons!$C$3:$C$1000))*1,[1]OUT_TransportEnergyCons!J$3:J$1000)</f>
        <v>0</v>
      </c>
      <c r="M1194" s="1" cm="1">
        <f t="array" ref="M1194">SUMPRODUCT(("T_C-ICE-DSL-S4"=[1]OUT_TransportEnergyCons!$A$3:$A$1000)*1,("Var_Fin"=[1]OUT_TransportEnergyCons!$B$3:$B$1000)*1,ISNUMBER(SEARCH("DSL",[1]OUT_TransportEnergyCons!$C$3:$C$1000))*1,[1]OUT_TransportEnergyCons!K$3:K$1000)</f>
        <v>0</v>
      </c>
      <c r="N1194" s="1" cm="1">
        <f t="array" ref="N1194">SUMPRODUCT(("T_C-ICE-DSL-S4"=[1]OUT_TransportEnergyCons!$A$3:$A$1000)*1,("Var_Fin"=[1]OUT_TransportEnergyCons!$B$3:$B$1000)*1,ISNUMBER(SEARCH("DSL",[1]OUT_TransportEnergyCons!$C$3:$C$1000))*1,[1]OUT_TransportEnergyCons!L$3:L$1000)</f>
        <v>0</v>
      </c>
      <c r="O1194" s="1" cm="1">
        <f t="array" ref="O1194">SUMPRODUCT(("T_C-ICE-DSL-S4"=[1]OUT_TransportEnergyCons!$A$3:$A$1000)*1,("Var_Fin"=[1]OUT_TransportEnergyCons!$B$3:$B$1000)*1,ISNUMBER(SEARCH("DSL",[1]OUT_TransportEnergyCons!$C$3:$C$1000))*1,[1]OUT_TransportEnergyCons!M$3:M$1000)</f>
        <v>0</v>
      </c>
      <c r="P1194" s="1" cm="1">
        <f t="array" ref="P1194">SUMPRODUCT(("T_C-ICE-DSL-S4"=[1]OUT_TransportEnergyCons!$A$3:$A$1000)*1,("Var_Fin"=[1]OUT_TransportEnergyCons!$B$3:$B$1000)*1,ISNUMBER(SEARCH("DSL",[1]OUT_TransportEnergyCons!$C$3:$C$1000))*1,[1]OUT_TransportEnergyCons!N$3:N$1000)</f>
        <v>0</v>
      </c>
      <c r="Q1194" s="1" cm="1">
        <f t="array" ref="Q1194">SUMPRODUCT(("T_C-ICE-DSL-S4"=[1]OUT_TransportEnergyCons!$A$3:$A$1000)*1,("Var_Fin"=[1]OUT_TransportEnergyCons!$B$3:$B$1000)*1,ISNUMBER(SEARCH("DSL",[1]OUT_TransportEnergyCons!$C$3:$C$1000))*1,[1]OUT_TransportEnergyCons!O$3:O$1000)</f>
        <v>0</v>
      </c>
      <c r="S1194" s="3"/>
    </row>
    <row r="1195" spans="2:19" x14ac:dyDescent="0.5">
      <c r="B1195" s="5" t="str">
        <f t="shared" si="1358"/>
        <v>SPS1</v>
      </c>
      <c r="C1195" s="5" t="str">
        <f t="shared" si="1359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1.1480710719559595E-4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3.7363457018932801E-4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5.0896789546913887E-4</v>
      </c>
      <c r="J1195" s="1" cm="1">
        <f t="array" ref="J1195">SUMPRODUCT(("T_C-MHY-DSL-S1"=[1]OUT_TransportEnergyCons!$A$3:$A$1000)*1,("Var_Fin"=[1]OUT_TransportEnergyCons!$B$3:$B$1000)*1,ISNUMBER(SEARCH("DSL",[1]OUT_TransportEnergyCons!$C$3:$C$1000))*1,[1]OUT_TransportEnergyCons!H$3:H$1000)</f>
        <v>3.6287972506037777E-4</v>
      </c>
      <c r="K1195" s="1" cm="1">
        <f t="array" ref="K1195">SUMPRODUCT(("T_C-MHY-DSL-S1"=[1]OUT_TransportEnergyCons!$A$3:$A$1000)*1,("Var_Fin"=[1]OUT_TransportEnergyCons!$B$3:$B$1000)*1,ISNUMBER(SEARCH("DSL",[1]OUT_TransportEnergyCons!$C$3:$C$1000))*1,[1]OUT_TransportEnergyCons!I$3:I$1000)</f>
        <v>1.2438954228355308E-4</v>
      </c>
      <c r="L1195" s="1" cm="1">
        <f t="array" ref="L1195">SUMPRODUCT(("T_C-MHY-DSL-S1"=[1]OUT_TransportEnergyCons!$A$3:$A$1000)*1,("Var_Fin"=[1]OUT_TransportEnergyCons!$B$3:$B$1000)*1,ISNUMBER(SEARCH("DSL",[1]OUT_TransportEnergyCons!$C$3:$C$1000))*1,[1]OUT_TransportEnergyCons!J$3:J$1000)</f>
        <v>0</v>
      </c>
      <c r="M1195" s="1" cm="1">
        <f t="array" ref="M1195">SUMPRODUCT(("T_C-MHY-DSL-S1"=[1]OUT_TransportEnergyCons!$A$3:$A$1000)*1,("Var_Fin"=[1]OUT_TransportEnergyCons!$B$3:$B$1000)*1,ISNUMBER(SEARCH("DSL",[1]OUT_TransportEnergyCons!$C$3:$C$1000))*1,[1]OUT_TransportEnergyCons!K$3:K$1000)</f>
        <v>0</v>
      </c>
      <c r="N1195" s="1" cm="1">
        <f t="array" ref="N1195">SUMPRODUCT(("T_C-MHY-DSL-S1"=[1]OUT_TransportEnergyCons!$A$3:$A$1000)*1,("Var_Fin"=[1]OUT_TransportEnergyCons!$B$3:$B$1000)*1,ISNUMBER(SEARCH("DSL",[1]OUT_TransportEnergyCons!$C$3:$C$1000))*1,[1]OUT_TransportEnergyCons!L$3:L$1000)</f>
        <v>0</v>
      </c>
      <c r="O1195" s="1" cm="1">
        <f t="array" ref="O1195">SUMPRODUCT(("T_C-MHY-DSL-S1"=[1]OUT_TransportEnergyCons!$A$3:$A$1000)*1,("Var_Fin"=[1]OUT_TransportEnergyCons!$B$3:$B$1000)*1,ISNUMBER(SEARCH("DSL",[1]OUT_TransportEnergyCons!$C$3:$C$1000))*1,[1]OUT_TransportEnergyCons!M$3:M$1000)</f>
        <v>0</v>
      </c>
      <c r="P1195" s="1" cm="1">
        <f t="array" ref="P1195">SUMPRODUCT(("T_C-MHY-DSL-S1"=[1]OUT_TransportEnergyCons!$A$3:$A$1000)*1,("Var_Fin"=[1]OUT_TransportEnergyCons!$B$3:$B$1000)*1,ISNUMBER(SEARCH("DSL",[1]OUT_TransportEnergyCons!$C$3:$C$1000))*1,[1]OUT_TransportEnergyCons!N$3:N$1000)</f>
        <v>0</v>
      </c>
      <c r="Q1195" s="1" cm="1">
        <f t="array" ref="Q1195">SUMPRODUCT(("T_C-MHY-DSL-S1"=[1]OUT_TransportEnergyCons!$A$3:$A$1000)*1,("Var_Fin"=[1]OUT_TransportEnergyCons!$B$3:$B$1000)*1,ISNUMBER(SEARCH("DSL",[1]OUT_TransportEnergyCons!$C$3:$C$1000))*1,[1]OUT_TransportEnergyCons!O$3:O$1000)</f>
        <v>0</v>
      </c>
      <c r="S1195" s="3"/>
    </row>
    <row r="1196" spans="2:19" x14ac:dyDescent="0.5">
      <c r="B1196" s="5" t="str">
        <f t="shared" si="1358"/>
        <v>SPS1</v>
      </c>
      <c r="C1196" s="5" t="str">
        <f t="shared" si="1359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1.0541941015640232E-4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3.9010986919000109E-4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5.3491113066720926E-4</v>
      </c>
      <c r="J1196" s="1" cm="1">
        <f t="array" ref="J1196">SUMPRODUCT(("T_C-MHY-DSL-S2"=[1]OUT_TransportEnergyCons!$A$3:$A$1000)*1,("Var_Fin"=[1]OUT_TransportEnergyCons!$B$3:$B$1000)*1,ISNUMBER(SEARCH("DSL",[1]OUT_TransportEnergyCons!$C$3:$C$1000))*1,[1]OUT_TransportEnergyCons!H$3:H$1000)</f>
        <v>3.5293830717222891E-4</v>
      </c>
      <c r="K1196" s="1" cm="1">
        <f t="array" ref="K1196">SUMPRODUCT(("T_C-MHY-DSL-S2"=[1]OUT_TransportEnergyCons!$A$3:$A$1000)*1,("Var_Fin"=[1]OUT_TransportEnergyCons!$B$3:$B$1000)*1,ISNUMBER(SEARCH("DSL",[1]OUT_TransportEnergyCons!$C$3:$C$1000))*1,[1]OUT_TransportEnergyCons!I$3:I$1000)</f>
        <v>1.1734147027083562E-4</v>
      </c>
      <c r="L1196" s="1" cm="1">
        <f t="array" ref="L1196">SUMPRODUCT(("T_C-MHY-DSL-S2"=[1]OUT_TransportEnergyCons!$A$3:$A$1000)*1,("Var_Fin"=[1]OUT_TransportEnergyCons!$B$3:$B$1000)*1,ISNUMBER(SEARCH("DSL",[1]OUT_TransportEnergyCons!$C$3:$C$1000))*1,[1]OUT_TransportEnergyCons!J$3:J$1000)</f>
        <v>0</v>
      </c>
      <c r="M1196" s="1" cm="1">
        <f t="array" ref="M1196">SUMPRODUCT(("T_C-MHY-DSL-S2"=[1]OUT_TransportEnergyCons!$A$3:$A$1000)*1,("Var_Fin"=[1]OUT_TransportEnergyCons!$B$3:$B$1000)*1,ISNUMBER(SEARCH("DSL",[1]OUT_TransportEnergyCons!$C$3:$C$1000))*1,[1]OUT_TransportEnergyCons!K$3:K$1000)</f>
        <v>0</v>
      </c>
      <c r="N1196" s="1" cm="1">
        <f t="array" ref="N1196">SUMPRODUCT(("T_C-MHY-DSL-S2"=[1]OUT_TransportEnergyCons!$A$3:$A$1000)*1,("Var_Fin"=[1]OUT_TransportEnergyCons!$B$3:$B$1000)*1,ISNUMBER(SEARCH("DSL",[1]OUT_TransportEnergyCons!$C$3:$C$1000))*1,[1]OUT_TransportEnergyCons!L$3:L$1000)</f>
        <v>0</v>
      </c>
      <c r="O1196" s="1" cm="1">
        <f t="array" ref="O1196">SUMPRODUCT(("T_C-MHY-DSL-S2"=[1]OUT_TransportEnergyCons!$A$3:$A$1000)*1,("Var_Fin"=[1]OUT_TransportEnergyCons!$B$3:$B$1000)*1,ISNUMBER(SEARCH("DSL",[1]OUT_TransportEnergyCons!$C$3:$C$1000))*1,[1]OUT_TransportEnergyCons!M$3:M$1000)</f>
        <v>0</v>
      </c>
      <c r="P1196" s="1" cm="1">
        <f t="array" ref="P1196">SUMPRODUCT(("T_C-MHY-DSL-S2"=[1]OUT_TransportEnergyCons!$A$3:$A$1000)*1,("Var_Fin"=[1]OUT_TransportEnergyCons!$B$3:$B$1000)*1,ISNUMBER(SEARCH("DSL",[1]OUT_TransportEnergyCons!$C$3:$C$1000))*1,[1]OUT_TransportEnergyCons!N$3:N$1000)</f>
        <v>0</v>
      </c>
      <c r="Q1196" s="1" cm="1">
        <f t="array" ref="Q1196">SUMPRODUCT(("T_C-MHY-DSL-S2"=[1]OUT_TransportEnergyCons!$A$3:$A$1000)*1,("Var_Fin"=[1]OUT_TransportEnergyCons!$B$3:$B$1000)*1,ISNUMBER(SEARCH("DSL",[1]OUT_TransportEnergyCons!$C$3:$C$1000))*1,[1]OUT_TransportEnergyCons!O$3:O$1000)</f>
        <v>0</v>
      </c>
      <c r="S1196" s="3"/>
    </row>
    <row r="1197" spans="2:19" x14ac:dyDescent="0.5">
      <c r="B1197" s="5" t="str">
        <f t="shared" si="1358"/>
        <v>SPS1</v>
      </c>
      <c r="C1197" s="5" t="str">
        <f t="shared" si="1359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1.4325687983690548E-4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4.2844517944049128E-4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5.3504240266783463E-4</v>
      </c>
      <c r="J1197" s="1" cm="1">
        <f t="array" ref="J1197">SUMPRODUCT(("T_C-MHY-DSL-S3"=[1]OUT_TransportEnergyCons!$A$3:$A$1000)*1,("Var_Fin"=[1]OUT_TransportEnergyCons!$B$3:$B$1000)*1,ISNUMBER(SEARCH("DSL",[1]OUT_TransportEnergyCons!$C$3:$C$1000))*1,[1]OUT_TransportEnergyCons!H$3:H$1000)</f>
        <v>3.479981209357243E-4</v>
      </c>
      <c r="K1197" s="1" cm="1">
        <f t="array" ref="K1197">SUMPRODUCT(("T_C-MHY-DSL-S3"=[1]OUT_TransportEnergyCons!$A$3:$A$1000)*1,("Var_Fin"=[1]OUT_TransportEnergyCons!$B$3:$B$1000)*1,ISNUMBER(SEARCH("DSL",[1]OUT_TransportEnergyCons!$C$3:$C$1000))*1,[1]OUT_TransportEnergyCons!I$3:I$1000)</f>
        <v>1.0347116615255733E-4</v>
      </c>
      <c r="L1197" s="1" cm="1">
        <f t="array" ref="L1197">SUMPRODUCT(("T_C-MHY-DSL-S3"=[1]OUT_TransportEnergyCons!$A$3:$A$1000)*1,("Var_Fin"=[1]OUT_TransportEnergyCons!$B$3:$B$1000)*1,ISNUMBER(SEARCH("DSL",[1]OUT_TransportEnergyCons!$C$3:$C$1000))*1,[1]OUT_TransportEnergyCons!J$3:J$1000)</f>
        <v>0</v>
      </c>
      <c r="M1197" s="1" cm="1">
        <f t="array" ref="M1197">SUMPRODUCT(("T_C-MHY-DSL-S3"=[1]OUT_TransportEnergyCons!$A$3:$A$1000)*1,("Var_Fin"=[1]OUT_TransportEnergyCons!$B$3:$B$1000)*1,ISNUMBER(SEARCH("DSL",[1]OUT_TransportEnergyCons!$C$3:$C$1000))*1,[1]OUT_TransportEnergyCons!K$3:K$1000)</f>
        <v>0</v>
      </c>
      <c r="N1197" s="1" cm="1">
        <f t="array" ref="N1197">SUMPRODUCT(("T_C-MHY-DSL-S3"=[1]OUT_TransportEnergyCons!$A$3:$A$1000)*1,("Var_Fin"=[1]OUT_TransportEnergyCons!$B$3:$B$1000)*1,ISNUMBER(SEARCH("DSL",[1]OUT_TransportEnergyCons!$C$3:$C$1000))*1,[1]OUT_TransportEnergyCons!L$3:L$1000)</f>
        <v>0</v>
      </c>
      <c r="O1197" s="1" cm="1">
        <f t="array" ref="O1197">SUMPRODUCT(("T_C-MHY-DSL-S3"=[1]OUT_TransportEnergyCons!$A$3:$A$1000)*1,("Var_Fin"=[1]OUT_TransportEnergyCons!$B$3:$B$1000)*1,ISNUMBER(SEARCH("DSL",[1]OUT_TransportEnergyCons!$C$3:$C$1000))*1,[1]OUT_TransportEnergyCons!M$3:M$1000)</f>
        <v>0</v>
      </c>
      <c r="P1197" s="1" cm="1">
        <f t="array" ref="P1197">SUMPRODUCT(("T_C-MHY-DSL-S3"=[1]OUT_TransportEnergyCons!$A$3:$A$1000)*1,("Var_Fin"=[1]OUT_TransportEnergyCons!$B$3:$B$1000)*1,ISNUMBER(SEARCH("DSL",[1]OUT_TransportEnergyCons!$C$3:$C$1000))*1,[1]OUT_TransportEnergyCons!N$3:N$1000)</f>
        <v>0</v>
      </c>
      <c r="Q1197" s="1" cm="1">
        <f t="array" ref="Q1197">SUMPRODUCT(("T_C-MHY-DSL-S3"=[1]OUT_TransportEnergyCons!$A$3:$A$1000)*1,("Var_Fin"=[1]OUT_TransportEnergyCons!$B$3:$B$1000)*1,ISNUMBER(SEARCH("DSL",[1]OUT_TransportEnergyCons!$C$3:$C$1000))*1,[1]OUT_TransportEnergyCons!O$3:O$1000)</f>
        <v>0</v>
      </c>
      <c r="S1197" s="3"/>
    </row>
    <row r="1198" spans="2:19" x14ac:dyDescent="0.5">
      <c r="B1198" s="5" t="str">
        <f t="shared" si="1358"/>
        <v>SPS1</v>
      </c>
      <c r="C1198" s="5" t="str">
        <f t="shared" si="1359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9.7289390858906272E-5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2.3698779883140876E-4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3.1238533062846155E-4</v>
      </c>
      <c r="J1198" s="1" cm="1">
        <f t="array" ref="J1198">SUMPRODUCT(("T_C-MHY-DSL-S4"=[1]OUT_TransportEnergyCons!$A$3:$A$1000)*1,("Var_Fin"=[1]OUT_TransportEnergyCons!$B$3:$B$1000)*1,ISNUMBER(SEARCH("DSL",[1]OUT_TransportEnergyCons!$C$3:$C$1000))*1,[1]OUT_TransportEnergyCons!H$3:H$1000)</f>
        <v>2.0071609725946243E-4</v>
      </c>
      <c r="K1198" s="1" cm="1">
        <f t="array" ref="K1198">SUMPRODUCT(("T_C-MHY-DSL-S4"=[1]OUT_TransportEnergyCons!$A$3:$A$1000)*1,("Var_Fin"=[1]OUT_TransportEnergyCons!$B$3:$B$1000)*1,ISNUMBER(SEARCH("DSL",[1]OUT_TransportEnergyCons!$C$3:$C$1000))*1,[1]OUT_TransportEnergyCons!I$3:I$1000)</f>
        <v>6.3549500312386353E-5</v>
      </c>
      <c r="L1198" s="1" cm="1">
        <f t="array" ref="L1198">SUMPRODUCT(("T_C-MHY-DSL-S4"=[1]OUT_TransportEnergyCons!$A$3:$A$1000)*1,("Var_Fin"=[1]OUT_TransportEnergyCons!$B$3:$B$1000)*1,ISNUMBER(SEARCH("DSL",[1]OUT_TransportEnergyCons!$C$3:$C$1000))*1,[1]OUT_TransportEnergyCons!J$3:J$1000)</f>
        <v>0</v>
      </c>
      <c r="M1198" s="1" cm="1">
        <f t="array" ref="M1198">SUMPRODUCT(("T_C-MHY-DSL-S4"=[1]OUT_TransportEnergyCons!$A$3:$A$1000)*1,("Var_Fin"=[1]OUT_TransportEnergyCons!$B$3:$B$1000)*1,ISNUMBER(SEARCH("DSL",[1]OUT_TransportEnergyCons!$C$3:$C$1000))*1,[1]OUT_TransportEnergyCons!K$3:K$1000)</f>
        <v>0</v>
      </c>
      <c r="N1198" s="1" cm="1">
        <f t="array" ref="N1198">SUMPRODUCT(("T_C-MHY-DSL-S4"=[1]OUT_TransportEnergyCons!$A$3:$A$1000)*1,("Var_Fin"=[1]OUT_TransportEnergyCons!$B$3:$B$1000)*1,ISNUMBER(SEARCH("DSL",[1]OUT_TransportEnergyCons!$C$3:$C$1000))*1,[1]OUT_TransportEnergyCons!L$3:L$1000)</f>
        <v>0</v>
      </c>
      <c r="O1198" s="1" cm="1">
        <f t="array" ref="O1198">SUMPRODUCT(("T_C-MHY-DSL-S4"=[1]OUT_TransportEnergyCons!$A$3:$A$1000)*1,("Var_Fin"=[1]OUT_TransportEnergyCons!$B$3:$B$1000)*1,ISNUMBER(SEARCH("DSL",[1]OUT_TransportEnergyCons!$C$3:$C$1000))*1,[1]OUT_TransportEnergyCons!M$3:M$1000)</f>
        <v>0</v>
      </c>
      <c r="P1198" s="1" cm="1">
        <f t="array" ref="P1198">SUMPRODUCT(("T_C-MHY-DSL-S4"=[1]OUT_TransportEnergyCons!$A$3:$A$1000)*1,("Var_Fin"=[1]OUT_TransportEnergyCons!$B$3:$B$1000)*1,ISNUMBER(SEARCH("DSL",[1]OUT_TransportEnergyCons!$C$3:$C$1000))*1,[1]OUT_TransportEnergyCons!N$3:N$1000)</f>
        <v>0</v>
      </c>
      <c r="Q1198" s="1" cm="1">
        <f t="array" ref="Q1198">SUMPRODUCT(("T_C-MHY-DSL-S4"=[1]OUT_TransportEnergyCons!$A$3:$A$1000)*1,("Var_Fin"=[1]OUT_TransportEnergyCons!$B$3:$B$1000)*1,ISNUMBER(SEARCH("DSL",[1]OUT_TransportEnergyCons!$C$3:$C$1000))*1,[1]OUT_TransportEnergyCons!O$3:O$1000)</f>
        <v>0</v>
      </c>
      <c r="S1198" s="3"/>
    </row>
    <row r="1199" spans="2:19" x14ac:dyDescent="0.5">
      <c r="B1199" s="5" t="str">
        <f t="shared" si="1358"/>
        <v>SPS1</v>
      </c>
      <c r="C1199" s="5" t="str">
        <f t="shared" si="1359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1.6871651741233652E-5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2.1680210759777229E-4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2.9912803449707302E-4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4.0676398905071517E-4</v>
      </c>
      <c r="J1199" s="1" cm="1">
        <f t="array" ref="J1199">SUMPRODUCT(("T-Plg-DSL-mix_S1"=[1]OUT_TransportEnergyCons!$A$3:$A$1000)*1,("Var_Fin"=[1]OUT_TransportEnergyCons!$B$3:$B$1000)*1,ISNUMBER(SEARCH("DSL",[1]OUT_TransportEnergyCons!$C$3:$C$1000))*1,[1]OUT_TransportEnergyCons!H$3:H$1000)</f>
        <v>3.9039135695427481E-4</v>
      </c>
      <c r="K1199" s="1" cm="1">
        <f t="array" ref="K1199">SUMPRODUCT(("T-Plg-DSL-mix_S1"=[1]OUT_TransportEnergyCons!$A$3:$A$1000)*1,("Var_Fin"=[1]OUT_TransportEnergyCons!$B$3:$B$1000)*1,ISNUMBER(SEARCH("DSL",[1]OUT_TransportEnergyCons!$C$3:$C$1000))*1,[1]OUT_TransportEnergyCons!I$3:I$1000)</f>
        <v>1.8805160374559169E-4</v>
      </c>
      <c r="L1199" s="1" cm="1">
        <f t="array" ref="L1199">SUMPRODUCT(("T-Plg-DSL-mix_S1"=[1]OUT_TransportEnergyCons!$A$3:$A$1000)*1,("Var_Fin"=[1]OUT_TransportEnergyCons!$B$3:$B$1000)*1,ISNUMBER(SEARCH("DSL",[1]OUT_TransportEnergyCons!$C$3:$C$1000))*1,[1]OUT_TransportEnergyCons!J$3:J$1000)</f>
        <v>6.1244097247013156E-4</v>
      </c>
      <c r="M1199" s="1" cm="1">
        <f t="array" ref="M1199">SUMPRODUCT(("T-Plg-DSL-mix_S1"=[1]OUT_TransportEnergyCons!$A$3:$A$1000)*1,("Var_Fin"=[1]OUT_TransportEnergyCons!$B$3:$B$1000)*1,ISNUMBER(SEARCH("DSL",[1]OUT_TransportEnergyCons!$C$3:$C$1000))*1,[1]OUT_TransportEnergyCons!K$3:K$1000)</f>
        <v>3.552656621292818E-4</v>
      </c>
      <c r="N1199" s="1" cm="1">
        <f t="array" ref="N1199">SUMPRODUCT(("T-Plg-DSL-mix_S1"=[1]OUT_TransportEnergyCons!$A$3:$A$1000)*1,("Var_Fin"=[1]OUT_TransportEnergyCons!$B$3:$B$1000)*1,ISNUMBER(SEARCH("DSL",[1]OUT_TransportEnergyCons!$C$3:$C$1000))*1,[1]OUT_TransportEnergyCons!L$3:L$1000)</f>
        <v>1.5417649077018372E-3</v>
      </c>
      <c r="O1199" s="1" cm="1">
        <f t="array" ref="O1199">SUMPRODUCT(("T-Plg-DSL-mix_S1"=[1]OUT_TransportEnergyCons!$A$3:$A$1000)*1,("Var_Fin"=[1]OUT_TransportEnergyCons!$B$3:$B$1000)*1,ISNUMBER(SEARCH("DSL",[1]OUT_TransportEnergyCons!$C$3:$C$1000))*1,[1]OUT_TransportEnergyCons!M$3:M$1000)</f>
        <v>7.1515913725020229E-5</v>
      </c>
      <c r="P1199" s="1" cm="1">
        <f t="array" ref="P1199">SUMPRODUCT(("T-Plg-DSL-mix_S1"=[1]OUT_TransportEnergyCons!$A$3:$A$1000)*1,("Var_Fin"=[1]OUT_TransportEnergyCons!$B$3:$B$1000)*1,ISNUMBER(SEARCH("DSL",[1]OUT_TransportEnergyCons!$C$3:$C$1000))*1,[1]OUT_TransportEnergyCons!N$3:N$1000)</f>
        <v>4.4234965110674839E-5</v>
      </c>
      <c r="Q1199" s="1" cm="1">
        <f t="array" ref="Q1199">SUMPRODUCT(("T-Plg-DSL-mix_S1"=[1]OUT_TransportEnergyCons!$A$3:$A$1000)*1,("Var_Fin"=[1]OUT_TransportEnergyCons!$B$3:$B$1000)*1,ISNUMBER(SEARCH("DSL",[1]OUT_TransportEnergyCons!$C$3:$C$1000))*1,[1]OUT_TransportEnergyCons!O$3:O$1000)</f>
        <v>4.2364937855812138E-5</v>
      </c>
      <c r="S1199" s="3"/>
    </row>
    <row r="1200" spans="2:19" x14ac:dyDescent="0.5">
      <c r="B1200" s="5" t="str">
        <f t="shared" si="1358"/>
        <v>SPS1</v>
      </c>
      <c r="C1200" s="5" t="str">
        <f t="shared" si="1359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4.8189094040731002E-6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2.5038085624476479E-4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8.3926101058152806E-4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2.4536222353920101E-3</v>
      </c>
      <c r="J1200" s="1" cm="1">
        <f t="array" ref="J1200">SUMPRODUCT(("T-Plg-DSL-mix_S2"=[1]OUT_TransportEnergyCons!$A$3:$A$1000)*1,("Var_Fin"=[1]OUT_TransportEnergyCons!$B$3:$B$1000)*1,ISNUMBER(SEARCH("DSL",[1]OUT_TransportEnergyCons!$C$3:$C$1000))*1,[1]OUT_TransportEnergyCons!H$3:H$1000)</f>
        <v>1.9143315791464812E-3</v>
      </c>
      <c r="K1200" s="1" cm="1">
        <f t="array" ref="K1200">SUMPRODUCT(("T-Plg-DSL-mix_S2"=[1]OUT_TransportEnergyCons!$A$3:$A$1000)*1,("Var_Fin"=[1]OUT_TransportEnergyCons!$B$3:$B$1000)*1,ISNUMBER(SEARCH("DSL",[1]OUT_TransportEnergyCons!$C$3:$C$1000))*1,[1]OUT_TransportEnergyCons!I$3:I$1000)</f>
        <v>9.2733323610651403E-4</v>
      </c>
      <c r="L1200" s="1" cm="1">
        <f t="array" ref="L1200">SUMPRODUCT(("T-Plg-DSL-mix_S2"=[1]OUT_TransportEnergyCons!$A$3:$A$1000)*1,("Var_Fin"=[1]OUT_TransportEnergyCons!$B$3:$B$1000)*1,ISNUMBER(SEARCH("DSL",[1]OUT_TransportEnergyCons!$C$3:$C$1000))*1,[1]OUT_TransportEnergyCons!J$3:J$1000)</f>
        <v>3.4727270268181567E-3</v>
      </c>
      <c r="M1200" s="1" cm="1">
        <f t="array" ref="M1200">SUMPRODUCT(("T-Plg-DSL-mix_S2"=[1]OUT_TransportEnergyCons!$A$3:$A$1000)*1,("Var_Fin"=[1]OUT_TransportEnergyCons!$B$3:$B$1000)*1,ISNUMBER(SEARCH("DSL",[1]OUT_TransportEnergyCons!$C$3:$C$1000))*1,[1]OUT_TransportEnergyCons!K$3:K$1000)</f>
        <v>2.2056872328532428E-3</v>
      </c>
      <c r="N1200" s="1" cm="1">
        <f t="array" ref="N1200">SUMPRODUCT(("T-Plg-DSL-mix_S2"=[1]OUT_TransportEnergyCons!$A$3:$A$1000)*1,("Var_Fin"=[1]OUT_TransportEnergyCons!$B$3:$B$1000)*1,ISNUMBER(SEARCH("DSL",[1]OUT_TransportEnergyCons!$C$3:$C$1000))*1,[1]OUT_TransportEnergyCons!L$3:L$1000)</f>
        <v>1.5059861730906581E-3</v>
      </c>
      <c r="O1200" s="1" cm="1">
        <f t="array" ref="O1200">SUMPRODUCT(("T-Plg-DSL-mix_S2"=[1]OUT_TransportEnergyCons!$A$3:$A$1000)*1,("Var_Fin"=[1]OUT_TransportEnergyCons!$B$3:$B$1000)*1,ISNUMBER(SEARCH("DSL",[1]OUT_TransportEnergyCons!$C$3:$C$1000))*1,[1]OUT_TransportEnergyCons!M$3:M$1000)</f>
        <v>1.2851787770857829E-4</v>
      </c>
      <c r="P1200" s="1" cm="1">
        <f t="array" ref="P1200">SUMPRODUCT(("T-Plg-DSL-mix_S2"=[1]OUT_TransportEnergyCons!$A$3:$A$1000)*1,("Var_Fin"=[1]OUT_TransportEnergyCons!$B$3:$B$1000)*1,ISNUMBER(SEARCH("DSL",[1]OUT_TransportEnergyCons!$C$3:$C$1000))*1,[1]OUT_TransportEnergyCons!N$3:N$1000)</f>
        <v>1.1473831368172331E-4</v>
      </c>
      <c r="Q1200" s="1" cm="1">
        <f t="array" ref="Q1200">SUMPRODUCT(("T-Plg-DSL-mix_S2"=[1]OUT_TransportEnergyCons!$A$3:$A$1000)*1,("Var_Fin"=[1]OUT_TransportEnergyCons!$B$3:$B$1000)*1,ISNUMBER(SEARCH("DSL",[1]OUT_TransportEnergyCons!$C$3:$C$1000))*1,[1]OUT_TransportEnergyCons!O$3:O$1000)</f>
        <v>7.2279580963884805E-5</v>
      </c>
      <c r="S1200" s="3"/>
    </row>
    <row r="1201" spans="2:19" x14ac:dyDescent="0.5">
      <c r="B1201" s="5" t="str">
        <f t="shared" si="1358"/>
        <v>SPS1</v>
      </c>
      <c r="C1201" s="5" t="str">
        <f t="shared" si="1359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9.4453181741724763E-5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0.72255325364061618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1.4387489533899969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7.0308455484624242</v>
      </c>
      <c r="J1201" s="1" cm="1">
        <f t="array" ref="J1201">SUMPRODUCT(("T-Plg-DSL-mix_S3"=[1]OUT_TransportEnergyCons!$A$3:$A$1000)*1,("Var_Fin"=[1]OUT_TransportEnergyCons!$B$3:$B$1000)*1,ISNUMBER(SEARCH("DSL",[1]OUT_TransportEnergyCons!$C$3:$C$1000))*1,[1]OUT_TransportEnergyCons!H$3:H$1000)</f>
        <v>9.5183053526795263</v>
      </c>
      <c r="K1201" s="1" cm="1">
        <f t="array" ref="K1201">SUMPRODUCT(("T-Plg-DSL-mix_S3"=[1]OUT_TransportEnergyCons!$A$3:$A$1000)*1,("Var_Fin"=[1]OUT_TransportEnergyCons!$B$3:$B$1000)*1,ISNUMBER(SEARCH("DSL",[1]OUT_TransportEnergyCons!$C$3:$C$1000))*1,[1]OUT_TransportEnergyCons!I$3:I$1000)</f>
        <v>5.4298928441124357</v>
      </c>
      <c r="L1201" s="1" cm="1">
        <f t="array" ref="L1201">SUMPRODUCT(("T-Plg-DSL-mix_S3"=[1]OUT_TransportEnergyCons!$A$3:$A$1000)*1,("Var_Fin"=[1]OUT_TransportEnergyCons!$B$3:$B$1000)*1,ISNUMBER(SEARCH("DSL",[1]OUT_TransportEnergyCons!$C$3:$C$1000))*1,[1]OUT_TransportEnergyCons!J$3:J$1000)</f>
        <v>4.5121242161997719</v>
      </c>
      <c r="M1201" s="1" cm="1">
        <f t="array" ref="M1201">SUMPRODUCT(("T-Plg-DSL-mix_S3"=[1]OUT_TransportEnergyCons!$A$3:$A$1000)*1,("Var_Fin"=[1]OUT_TransportEnergyCons!$B$3:$B$1000)*1,ISNUMBER(SEARCH("DSL",[1]OUT_TransportEnergyCons!$C$3:$C$1000))*1,[1]OUT_TransportEnergyCons!K$3:K$1000)</f>
        <v>1.318264881707284</v>
      </c>
      <c r="N1201" s="1" cm="1">
        <f t="array" ref="N1201">SUMPRODUCT(("T-Plg-DSL-mix_S3"=[1]OUT_TransportEnergyCons!$A$3:$A$1000)*1,("Var_Fin"=[1]OUT_TransportEnergyCons!$B$3:$B$1000)*1,ISNUMBER(SEARCH("DSL",[1]OUT_TransportEnergyCons!$C$3:$C$1000))*1,[1]OUT_TransportEnergyCons!L$3:L$1000)</f>
        <v>0.85254500160250313</v>
      </c>
      <c r="O1201" s="1" cm="1">
        <f t="array" ref="O1201">SUMPRODUCT(("T-Plg-DSL-mix_S3"=[1]OUT_TransportEnergyCons!$A$3:$A$1000)*1,("Var_Fin"=[1]OUT_TransportEnergyCons!$B$3:$B$1000)*1,ISNUMBER(SEARCH("DSL",[1]OUT_TransportEnergyCons!$C$3:$C$1000))*1,[1]OUT_TransportEnergyCons!M$3:M$1000)</f>
        <v>1.7290735771164958E-4</v>
      </c>
      <c r="P1201" s="1" cm="1">
        <f t="array" ref="P1201">SUMPRODUCT(("T-Plg-DSL-mix_S3"=[1]OUT_TransportEnergyCons!$A$3:$A$1000)*1,("Var_Fin"=[1]OUT_TransportEnergyCons!$B$3:$B$1000)*1,ISNUMBER(SEARCH("DSL",[1]OUT_TransportEnergyCons!$C$3:$C$1000))*1,[1]OUT_TransportEnergyCons!N$3:N$1000)</f>
        <v>1.5104152314438063E-4</v>
      </c>
      <c r="Q1201" s="1" cm="1">
        <f t="array" ref="Q1201">SUMPRODUCT(("T-Plg-DSL-mix_S3"=[1]OUT_TransportEnergyCons!$A$3:$A$1000)*1,("Var_Fin"=[1]OUT_TransportEnergyCons!$B$3:$B$1000)*1,ISNUMBER(SEARCH("DSL",[1]OUT_TransportEnergyCons!$C$3:$C$1000))*1,[1]OUT_TransportEnergyCons!O$3:O$1000)</f>
        <v>8.2555216176355664E-5</v>
      </c>
      <c r="S1201" s="3"/>
    </row>
    <row r="1202" spans="2:19" x14ac:dyDescent="0.5">
      <c r="B1202" s="5" t="str">
        <f t="shared" si="1358"/>
        <v>SPS1</v>
      </c>
      <c r="C1202" s="5" t="str">
        <f t="shared" si="1359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5.9181514252705297E-3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1.7505841618331942E-2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1.7522683603496961E-2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5.6912600549575657E-2</v>
      </c>
      <c r="J1202" s="1" cm="1">
        <f t="array" ref="J1202">SUMPRODUCT(("T-Plg-DSL-mix_S4"=[1]OUT_TransportEnergyCons!$A$3:$A$1000)*1,("Var_Fin"=[1]OUT_TransportEnergyCons!$B$3:$B$1000)*1,ISNUMBER(SEARCH("DSL",[1]OUT_TransportEnergyCons!$C$3:$C$1000))*1,[1]OUT_TransportEnergyCons!H$3:H$1000)</f>
        <v>3.022692551721037E-2</v>
      </c>
      <c r="K1202" s="1" cm="1">
        <f t="array" ref="K1202">SUMPRODUCT(("T-Plg-DSL-mix_S4"=[1]OUT_TransportEnergyCons!$A$3:$A$1000)*1,("Var_Fin"=[1]OUT_TransportEnergyCons!$B$3:$B$1000)*1,ISNUMBER(SEARCH("DSL",[1]OUT_TransportEnergyCons!$C$3:$C$1000))*1,[1]OUT_TransportEnergyCons!I$3:I$1000)</f>
        <v>1.3388620178311328E-2</v>
      </c>
      <c r="L1202" s="1" cm="1">
        <f t="array" ref="L1202">SUMPRODUCT(("T-Plg-DSL-mix_S4"=[1]OUT_TransportEnergyCons!$A$3:$A$1000)*1,("Var_Fin"=[1]OUT_TransportEnergyCons!$B$3:$B$1000)*1,ISNUMBER(SEARCH("DSL",[1]OUT_TransportEnergyCons!$C$3:$C$1000))*1,[1]OUT_TransportEnergyCons!J$3:J$1000)</f>
        <v>6.9267837887225662E-3</v>
      </c>
      <c r="M1202" s="1" cm="1">
        <f t="array" ref="M1202">SUMPRODUCT(("T-Plg-DSL-mix_S4"=[1]OUT_TransportEnergyCons!$A$3:$A$1000)*1,("Var_Fin"=[1]OUT_TransportEnergyCons!$B$3:$B$1000)*1,ISNUMBER(SEARCH("DSL",[1]OUT_TransportEnergyCons!$C$3:$C$1000))*1,[1]OUT_TransportEnergyCons!K$3:K$1000)</f>
        <v>4.4240262520504441E-3</v>
      </c>
      <c r="N1202" s="1" cm="1">
        <f t="array" ref="N1202">SUMPRODUCT(("T-Plg-DSL-mix_S4"=[1]OUT_TransportEnergyCons!$A$3:$A$1000)*1,("Var_Fin"=[1]OUT_TransportEnergyCons!$B$3:$B$1000)*1,ISNUMBER(SEARCH("DSL",[1]OUT_TransportEnergyCons!$C$3:$C$1000))*1,[1]OUT_TransportEnergyCons!L$3:L$1000)</f>
        <v>0.39738288917194475</v>
      </c>
      <c r="O1202" s="1" cm="1">
        <f t="array" ref="O1202">SUMPRODUCT(("T-Plg-DSL-mix_S4"=[1]OUT_TransportEnergyCons!$A$3:$A$1000)*1,("Var_Fin"=[1]OUT_TransportEnergyCons!$B$3:$B$1000)*1,ISNUMBER(SEARCH("DSL",[1]OUT_TransportEnergyCons!$C$3:$C$1000))*1,[1]OUT_TransportEnergyCons!M$3:M$1000)</f>
        <v>1.2298529695895934</v>
      </c>
      <c r="P1202" s="1" cm="1">
        <f t="array" ref="P1202">SUMPRODUCT(("T-Plg-DSL-mix_S4"=[1]OUT_TransportEnergyCons!$A$3:$A$1000)*1,("Var_Fin"=[1]OUT_TransportEnergyCons!$B$3:$B$1000)*1,ISNUMBER(SEARCH("DSL",[1]OUT_TransportEnergyCons!$C$3:$C$1000))*1,[1]OUT_TransportEnergyCons!N$3:N$1000)</f>
        <v>1.1202419184176307</v>
      </c>
      <c r="Q1202" s="1" cm="1">
        <f t="array" ref="Q1202">SUMPRODUCT(("T-Plg-DSL-mix_S4"=[1]OUT_TransportEnergyCons!$A$3:$A$1000)*1,("Var_Fin"=[1]OUT_TransportEnergyCons!$B$3:$B$1000)*1,ISNUMBER(SEARCH("DSL",[1]OUT_TransportEnergyCons!$C$3:$C$1000))*1,[1]OUT_TransportEnergyCons!O$3:O$1000)</f>
        <v>0.94299074809094818</v>
      </c>
      <c r="S1202" s="3"/>
    </row>
    <row r="1203" spans="2:19" x14ac:dyDescent="0.5">
      <c r="B1203" s="5" t="str">
        <f t="shared" si="1358"/>
        <v>SPS1</v>
      </c>
      <c r="C1203" s="5" t="str">
        <f t="shared" si="1359"/>
        <v>CH</v>
      </c>
      <c r="D1203" t="s">
        <v>1303</v>
      </c>
      <c r="E1203" t="s">
        <v>8</v>
      </c>
      <c r="F1203" s="1">
        <f>SUM(F1208:F1212)</f>
        <v>0.11269004827557885</v>
      </c>
      <c r="G1203" s="1">
        <f t="shared" ref="G1203:K1203" si="1388">SUM(G1208:G1212)</f>
        <v>0.1067107586274916</v>
      </c>
      <c r="H1203" s="1">
        <f t="shared" si="1388"/>
        <v>0.11024551327670007</v>
      </c>
      <c r="I1203" s="1">
        <f t="shared" si="1388"/>
        <v>4.8550152275331015E-4</v>
      </c>
      <c r="J1203" s="1">
        <f t="shared" si="1388"/>
        <v>8.1988368215591347E-5</v>
      </c>
      <c r="K1203" s="1">
        <f t="shared" si="1388"/>
        <v>0</v>
      </c>
      <c r="L1203" s="1">
        <f t="shared" ref="L1203:O1203" si="1389">SUM(L1208:L1212)</f>
        <v>0</v>
      </c>
      <c r="M1203" s="1">
        <f t="shared" si="1389"/>
        <v>0</v>
      </c>
      <c r="N1203" s="1">
        <f>SUM(N1208:N1212)</f>
        <v>0</v>
      </c>
      <c r="O1203" s="1">
        <f t="shared" si="1389"/>
        <v>0</v>
      </c>
      <c r="P1203" s="1">
        <f>SUM(P1208:P1212)</f>
        <v>0</v>
      </c>
      <c r="Q1203" s="1">
        <f>SUM(Q1208:Q1212)</f>
        <v>0</v>
      </c>
      <c r="S1203" s="3"/>
    </row>
    <row r="1204" spans="2:19" x14ac:dyDescent="0.5">
      <c r="B1204" s="5" t="str">
        <f t="shared" si="1358"/>
        <v>SPS1</v>
      </c>
      <c r="C1204" s="5" t="str">
        <f t="shared" si="1359"/>
        <v>CH</v>
      </c>
      <c r="D1204" t="s">
        <v>1335</v>
      </c>
      <c r="E1204" t="s">
        <v>8</v>
      </c>
      <c r="F1204" s="1">
        <f>IF(F1203-F1205&lt;0,0,F1203-F1205)</f>
        <v>0.10412283337629692</v>
      </c>
      <c r="G1204" s="1">
        <f t="shared" ref="G1204:K1204" si="1390">IF(G1203-G1205&lt;0,0,G1203-G1205)</f>
        <v>9.343672830435476E-2</v>
      </c>
      <c r="H1204" s="1">
        <f t="shared" si="1390"/>
        <v>0.10950595051487269</v>
      </c>
      <c r="I1204" s="1">
        <f t="shared" si="1390"/>
        <v>4.8306624965778499E-4</v>
      </c>
      <c r="J1204" s="1">
        <f t="shared" si="1390"/>
        <v>0</v>
      </c>
      <c r="K1204" s="1">
        <f t="shared" si="1390"/>
        <v>0</v>
      </c>
      <c r="L1204" s="1">
        <f t="shared" ref="L1204:O1204" si="1391">IF(L1203-L1205&lt;0,0,L1203-L1205)</f>
        <v>0</v>
      </c>
      <c r="M1204" s="1">
        <f t="shared" si="1391"/>
        <v>0</v>
      </c>
      <c r="N1204" s="1">
        <f>IF(N1203-N1205&lt;0,0,N1203-N1205)</f>
        <v>0</v>
      </c>
      <c r="O1204" s="1">
        <f t="shared" si="1391"/>
        <v>0</v>
      </c>
      <c r="P1204" s="1">
        <f>IF(P1203-P1205&lt;0,0,P1203-P1205)</f>
        <v>0</v>
      </c>
      <c r="Q1204" s="1">
        <f>IF(Q1203-Q1205&lt;0,0,Q1203-Q1205)</f>
        <v>0</v>
      </c>
      <c r="S1204" s="3"/>
    </row>
    <row r="1205" spans="2:19" x14ac:dyDescent="0.5">
      <c r="B1205" s="5" t="str">
        <f t="shared" si="1358"/>
        <v>SPS1</v>
      </c>
      <c r="C1205" s="5" t="str">
        <f t="shared" si="1359"/>
        <v>CH</v>
      </c>
      <c r="D1205" t="s">
        <v>1336</v>
      </c>
      <c r="E1205" t="s">
        <v>8</v>
      </c>
      <c r="F1205" s="1">
        <f>SUM(F1206:F1207)</f>
        <v>8.567214899281932E-3</v>
      </c>
      <c r="G1205" s="1">
        <f t="shared" ref="G1205" si="1392">SUM(G1206:G1207)</f>
        <v>1.3274030323136836E-2</v>
      </c>
      <c r="H1205" s="1">
        <f t="shared" ref="H1205" si="1393">SUM(H1206:H1207)</f>
        <v>7.3956276182737845E-4</v>
      </c>
      <c r="I1205" s="1">
        <f t="shared" ref="I1205" si="1394">SUM(I1206:I1207)</f>
        <v>2.4352730955251305E-6</v>
      </c>
      <c r="J1205" s="1">
        <f t="shared" ref="J1205" si="1395">SUM(J1206:J1207)</f>
        <v>0.1166471992474359</v>
      </c>
      <c r="K1205" s="1">
        <f t="shared" ref="K1205" si="1396">SUM(K1206:K1207)</f>
        <v>0</v>
      </c>
      <c r="L1205" s="1">
        <f t="shared" ref="L1205:O1205" si="1397">SUM(L1206:L1207)</f>
        <v>0</v>
      </c>
      <c r="M1205" s="1">
        <f t="shared" si="1397"/>
        <v>0</v>
      </c>
      <c r="N1205" s="1">
        <f t="shared" si="1397"/>
        <v>0</v>
      </c>
      <c r="O1205" s="1">
        <f t="shared" si="1397"/>
        <v>0</v>
      </c>
      <c r="P1205" s="1">
        <f>SUM(P1206:P1207)</f>
        <v>0</v>
      </c>
      <c r="Q1205" s="1">
        <f>SUM(Q1206:Q1207)</f>
        <v>0</v>
      </c>
      <c r="S1205" s="3"/>
    </row>
    <row r="1206" spans="2:19" x14ac:dyDescent="0.5">
      <c r="B1206" s="5" t="str">
        <f t="shared" si="1358"/>
        <v>SPS1</v>
      </c>
      <c r="C1206" s="5" t="str">
        <f t="shared" si="1359"/>
        <v>CH</v>
      </c>
      <c r="D1206" t="s">
        <v>1337</v>
      </c>
      <c r="E1206" t="s">
        <v>8</v>
      </c>
      <c r="F1206" s="1">
        <f>IF(SUM([1]Transport!B$24,[1]Transport!B$27)=0,0,[1]Transport!B$27/SUM([1]Transport!B$24,[1]Transport!B$27)*F1203*(F$47+F$614)/(F$47+F$614+F$49))</f>
        <v>8.567214899281932E-3</v>
      </c>
      <c r="G1206" s="1">
        <f>IF(SUM([1]Transport!C$24,[1]Transport!C$27)=0,0,[1]Transport!C$27/SUM([1]Transport!C$24,[1]Transport!C$27)*G1203*(G$47+G$614)/(G$47+G$614+G$49))</f>
        <v>1.3274030323136836E-2</v>
      </c>
      <c r="H1206" s="1">
        <f>IF(SUM([1]Transport!D$24,[1]Transport!D$27)=0,0,[1]Transport!D$27/SUM([1]Transport!D$24,[1]Transport!D$27)*H1203*(H$47+H$614)/(H$47+H$614+H$49))</f>
        <v>7.3956276182737845E-4</v>
      </c>
      <c r="I1206" s="1">
        <f>IF(SUM([1]Transport!E$24,[1]Transport!E$27)=0,0,[1]Transport!E$27/SUM([1]Transport!E$24,[1]Transport!E$27)*I1203*(I$47+I$614)/(I$47+I$614+I$49))</f>
        <v>2.4352730955251305E-6</v>
      </c>
      <c r="J1206" s="1">
        <f>IF(SUM([1]Transport!F$24,[1]Transport!F$27)=0,0,[1]Transport!F$27/SUM([1]Transport!F$24,[1]Transport!F$27)*J1203*(J$47+J$614)/(J$47+J$614+J$49))</f>
        <v>3.10655174191588E-6</v>
      </c>
      <c r="K1206" s="1">
        <f>IF(SUM([1]Transport!G$24,[1]Transport!G$27)=0,0,[1]Transport!G$27/SUM([1]Transport!G$24,[1]Transport!G$27)*K1203*(K$47+K$614)/(K$47+K$614+K$49))</f>
        <v>0</v>
      </c>
      <c r="L1206" s="1">
        <f>IF(SUM([1]Transport!H$24,[1]Transport!H$27)=0,0,[1]Transport!H$27/SUM([1]Transport!H$24,[1]Transport!H$27)*L1203*(L$47+L$614)/(L$47+L$614+L$49))</f>
        <v>0</v>
      </c>
      <c r="M1206" s="1">
        <f>IF(SUM([1]Transport!I$24,[1]Transport!I$27)=0,0,[1]Transport!I$27/SUM([1]Transport!I$24,[1]Transport!I$27)*M1203*(M$47+M$614)/(M$47+M$614+M$49))</f>
        <v>0</v>
      </c>
      <c r="N1206" s="1">
        <f>IF(SUM([1]Transport!J$24,[1]Transport!J$27)=0,0,[1]Transport!J$27/SUM([1]Transport!J$24,[1]Transport!J$27)*N1203*(N$47+N$614)/(N$47+N$614+N$49))</f>
        <v>0</v>
      </c>
      <c r="O1206" s="1">
        <f>IF(SUM([1]Transport!K$24,[1]Transport!K$27)=0,0,[1]Transport!K$27/SUM([1]Transport!K$24,[1]Transport!K$27)*O1203*(O$47+O$614)/(O$47+O$614+O$49))</f>
        <v>0</v>
      </c>
      <c r="P1206" s="1">
        <f>IF(SUM([1]Transport!L$24,[1]Transport!L$27)=0,0,[1]Transport!L$27/SUM([1]Transport!L$24,[1]Transport!L$27)*P1203*(P$47+P$614)/(P$47+P$614+P$49))</f>
        <v>0</v>
      </c>
      <c r="Q1206" s="1">
        <f>IF(SUM([1]Transport!M$24,[1]Transport!M$27)=0,0,[1]Transport!M$27/SUM([1]Transport!M$24,[1]Transport!M$27)*Q1203*(Q$47+Q$614)/(Q$47+Q$614+Q$49))</f>
        <v>0</v>
      </c>
      <c r="S1206" s="3"/>
    </row>
    <row r="1207" spans="2:19" x14ac:dyDescent="0.5">
      <c r="B1207" s="5" t="str">
        <f t="shared" si="1358"/>
        <v>SPS1</v>
      </c>
      <c r="C1207" s="5" t="str">
        <f t="shared" si="1359"/>
        <v>CH</v>
      </c>
      <c r="D1207" t="s">
        <v>1338</v>
      </c>
      <c r="E1207" t="s">
        <v>8</v>
      </c>
      <c r="F1207" s="1">
        <f>IF(([1]Transport!B$24+[1]Transport!B$27)=0,0,(F$49+F$716)/([1]Transport!B$24+[1]Transport!B$27)*F1203)</f>
        <v>0</v>
      </c>
      <c r="G1207" s="1">
        <f>IF(([1]Transport!C$24+[1]Transport!C$27)=0,0,(G$49+G$716)/([1]Transport!C$24+[1]Transport!C$27)*G1203)</f>
        <v>0</v>
      </c>
      <c r="H1207" s="1">
        <f>IF(([1]Transport!D$24+[1]Transport!D$27)=0,0,(H$49+H$716)/([1]Transport!D$24+[1]Transport!D$27)*H1203)</f>
        <v>0</v>
      </c>
      <c r="I1207" s="1">
        <f>IF(([1]Transport!E$24+[1]Transport!E$27)=0,0,(I$49+I$716)/([1]Transport!E$24+[1]Transport!E$27)*I1203)</f>
        <v>0</v>
      </c>
      <c r="J1207" s="1">
        <f>IF(([1]Transport!F$24+[1]Transport!F$27)=0,0,(J$49+J$716)/([1]Transport!F$24+[1]Transport!F$27)*J1203)</f>
        <v>0.11664409269569398</v>
      </c>
      <c r="K1207" s="1">
        <f>IF(([1]Transport!G$24+[1]Transport!G$27)=0,0,(K$49+K$716)/([1]Transport!G$24+[1]Transport!G$27)*K1203)</f>
        <v>0</v>
      </c>
      <c r="L1207" s="1">
        <f>IF(([1]Transport!H$24+[1]Transport!H$27)=0,0,(L$49+L$716)/([1]Transport!H$24+[1]Transport!H$27)*L1203)</f>
        <v>0</v>
      </c>
      <c r="M1207" s="1">
        <f>IF(([1]Transport!I$24+[1]Transport!I$27)=0,0,(M$49+M$716)/([1]Transport!I$24+[1]Transport!I$27)*M1203)</f>
        <v>0</v>
      </c>
      <c r="N1207" s="1">
        <f>IF(([1]Transport!J$24+[1]Transport!J$27)=0,0,(N$49+N$716)/([1]Transport!J$24+[1]Transport!J$27)*N1203)</f>
        <v>0</v>
      </c>
      <c r="O1207" s="1">
        <f>IF(([1]Transport!K$24+[1]Transport!K$27)=0,0,(O$49+O$716)/([1]Transport!K$24+[1]Transport!K$27)*O1203)</f>
        <v>0</v>
      </c>
      <c r="P1207" s="1">
        <f>IF(([1]Transport!L$24+[1]Transport!L$27)=0,0,(P$49+P$716)/([1]Transport!L$24+[1]Transport!L$27)*P1203)</f>
        <v>0</v>
      </c>
      <c r="Q1207" s="1">
        <f>IF(([1]Transport!M$24+[1]Transport!M$27)=0,0,(Q$49+Q$716)/([1]Transport!M$24+[1]Transport!M$27)*Q1203)</f>
        <v>0</v>
      </c>
      <c r="S1207" s="3"/>
    </row>
    <row r="1208" spans="2:19" x14ac:dyDescent="0.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SUMPRODUCT(("T_C-ICENGAEXT"=[1]OUT_TransportEnergyCons!$A$3:$A$1000)*1,("Var_Fin"=[1]OUT_TransportEnergyCons!$B$3:$B$1000)*1,ISNUMBER(SEARCH("NGA",[1]OUT_TransportEnergyCons!$C$3:$C$1000))*1,[1]OUT_TransportEnergyCons!H$3:H$1000)</f>
        <v>0</v>
      </c>
      <c r="K1208" s="1" cm="1">
        <f t="array" ref="K1208">SUMPRODUCT(("T_C-ICENGAEXT"=[1]OUT_TransportEnergyCons!$A$3:$A$1000)*1,("Var_Fin"=[1]OUT_TransportEnergyCons!$B$3:$B$1000)*1,ISNUMBER(SEARCH("NGA",[1]OUT_TransportEnergyCons!$C$3:$C$1000))*1,[1]OUT_TransportEnergyCons!I$3:I$1000)</f>
        <v>0</v>
      </c>
      <c r="L1208" s="1" cm="1">
        <f t="array" ref="L1208">SUMPRODUCT(("T_C-ICENGAEXT"=[1]OUT_TransportEnergyCons!$A$3:$A$1000)*1,("Var_Fin"=[1]OUT_TransportEnergyCons!$B$3:$B$1000)*1,ISNUMBER(SEARCH("NGA",[1]OUT_TransportEnergyCons!$C$3:$C$1000))*1,[1]OUT_TransportEnergyCons!J$3:J$1000)</f>
        <v>0</v>
      </c>
      <c r="M1208" s="1" cm="1">
        <f t="array" ref="M1208">SUMPRODUCT(("T_C-ICENGAEXT"=[1]OUT_TransportEnergyCons!$A$3:$A$1000)*1,("Var_Fin"=[1]OUT_TransportEnergyCons!$B$3:$B$1000)*1,ISNUMBER(SEARCH("NGA",[1]OUT_TransportEnergyCons!$C$3:$C$1000))*1,[1]OUT_TransportEnergyCons!K$3:K$1000)</f>
        <v>0</v>
      </c>
      <c r="N1208" s="1" cm="1">
        <f t="array" ref="N1208">SUMPRODUCT(("T_C-ICENGAEXT"=[1]OUT_TransportEnergyCons!$A$3:$A$1000)*1,("Var_Fin"=[1]OUT_TransportEnergyCons!$B$3:$B$1000)*1,ISNUMBER(SEARCH("NGA",[1]OUT_TransportEnergyCons!$C$3:$C$1000))*1,[1]OUT_TransportEnergyCons!L$3:L$1000)</f>
        <v>0</v>
      </c>
      <c r="O1208" s="1" cm="1">
        <f t="array" ref="O1208">SUMPRODUCT(("T_C-ICENGAEXT"=[1]OUT_TransportEnergyCons!$A$3:$A$1000)*1,("Var_Fin"=[1]OUT_TransportEnergyCons!$B$3:$B$1000)*1,ISNUMBER(SEARCH("NGA",[1]OUT_TransportEnergyCons!$C$3:$C$1000))*1,[1]OUT_TransportEnergyCons!M$3:M$1000)</f>
        <v>0</v>
      </c>
      <c r="P1208" s="1" cm="1">
        <f t="array" ref="P1208">SUMPRODUCT(("T_C-ICENGAEXT"=[1]OUT_TransportEnergyCons!$A$3:$A$1000)*1,("Var_Fin"=[1]OUT_TransportEnergyCons!$B$3:$B$1000)*1,ISNUMBER(SEARCH("NGA",[1]OUT_TransportEnergyCons!$C$3:$C$1000))*1,[1]OUT_TransportEnergyCons!N$3:N$1000)</f>
        <v>0</v>
      </c>
      <c r="Q1208" s="1" cm="1">
        <f t="array" ref="Q1208">SUMPRODUCT(("T_C-ICENGAEXT"=[1]OUT_TransportEnergyCons!$A$3:$A$1000)*1,("Var_Fin"=[1]OUT_TransportEnergyCons!$B$3:$B$1000)*1,ISNUMBER(SEARCH("NGA",[1]OUT_TransportEnergyCons!$C$3:$C$1000))*1,[1]OUT_TransportEnergyCons!O$3:O$1000)</f>
        <v>0</v>
      </c>
      <c r="S1208" s="3"/>
    </row>
    <row r="1209" spans="2:19" x14ac:dyDescent="0.5">
      <c r="B1209" s="5" t="str">
        <f t="shared" si="1358"/>
        <v>SPS1</v>
      </c>
      <c r="C1209" s="5" t="str">
        <f t="shared" si="1359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3.7198692034102047E-3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1.7911042089976687E-3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1.7382238542873189E-3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1.1042907741982739E-4</v>
      </c>
      <c r="J1209" s="1" cm="1">
        <f t="array" ref="J1209">SUMPRODUCT(("T_C-ICE-NGA-S1"=[1]OUT_TransportEnergyCons!$A$3:$A$1000)*1,("Var_Fin"=[1]OUT_TransportEnergyCons!$B$3:$B$1000)*1,ISNUMBER(SEARCH("NGA",[1]OUT_TransportEnergyCons!$C$3:$C$1000))*1,[1]OUT_TransportEnergyCons!H$3:H$1000)</f>
        <v>2.0487536187522427E-5</v>
      </c>
      <c r="K1209" s="1" cm="1">
        <f t="array" ref="K1209">SUMPRODUCT(("T_C-ICE-NGA-S1"=[1]OUT_TransportEnergyCons!$A$3:$A$1000)*1,("Var_Fin"=[1]OUT_TransportEnergyCons!$B$3:$B$1000)*1,ISNUMBER(SEARCH("NGA",[1]OUT_TransportEnergyCons!$C$3:$C$1000))*1,[1]OUT_TransportEnergyCons!I$3:I$1000)</f>
        <v>0</v>
      </c>
      <c r="L1209" s="1" cm="1">
        <f t="array" ref="L1209">SUMPRODUCT(("T_C-ICE-NGA-S1"=[1]OUT_TransportEnergyCons!$A$3:$A$1000)*1,("Var_Fin"=[1]OUT_TransportEnergyCons!$B$3:$B$1000)*1,ISNUMBER(SEARCH("NGA",[1]OUT_TransportEnergyCons!$C$3:$C$1000))*1,[1]OUT_TransportEnergyCons!J$3:J$1000)</f>
        <v>0</v>
      </c>
      <c r="M1209" s="1" cm="1">
        <f t="array" ref="M1209">SUMPRODUCT(("T_C-ICE-NGA-S1"=[1]OUT_TransportEnergyCons!$A$3:$A$1000)*1,("Var_Fin"=[1]OUT_TransportEnergyCons!$B$3:$B$1000)*1,ISNUMBER(SEARCH("NGA",[1]OUT_TransportEnergyCons!$C$3:$C$1000))*1,[1]OUT_TransportEnergyCons!K$3:K$1000)</f>
        <v>0</v>
      </c>
      <c r="N1209" s="1" cm="1">
        <f t="array" ref="N1209">SUMPRODUCT(("T_C-ICE-NGA-S1"=[1]OUT_TransportEnergyCons!$A$3:$A$1000)*1,("Var_Fin"=[1]OUT_TransportEnergyCons!$B$3:$B$1000)*1,ISNUMBER(SEARCH("NGA",[1]OUT_TransportEnergyCons!$C$3:$C$1000))*1,[1]OUT_TransportEnergyCons!L$3:L$1000)</f>
        <v>0</v>
      </c>
      <c r="O1209" s="1" cm="1">
        <f t="array" ref="O1209">SUMPRODUCT(("T_C-ICE-NGA-S1"=[1]OUT_TransportEnergyCons!$A$3:$A$1000)*1,("Var_Fin"=[1]OUT_TransportEnergyCons!$B$3:$B$1000)*1,ISNUMBER(SEARCH("NGA",[1]OUT_TransportEnergyCons!$C$3:$C$1000))*1,[1]OUT_TransportEnergyCons!M$3:M$1000)</f>
        <v>0</v>
      </c>
      <c r="P1209" s="1" cm="1">
        <f t="array" ref="P1209">SUMPRODUCT(("T_C-ICE-NGA-S1"=[1]OUT_TransportEnergyCons!$A$3:$A$1000)*1,("Var_Fin"=[1]OUT_TransportEnergyCons!$B$3:$B$1000)*1,ISNUMBER(SEARCH("NGA",[1]OUT_TransportEnergyCons!$C$3:$C$1000))*1,[1]OUT_TransportEnergyCons!N$3:N$1000)</f>
        <v>0</v>
      </c>
      <c r="Q1209" s="1" cm="1">
        <f t="array" ref="Q1209">SUMPRODUCT(("T_C-ICE-NGA-S1"=[1]OUT_TransportEnergyCons!$A$3:$A$1000)*1,("Var_Fin"=[1]OUT_TransportEnergyCons!$B$3:$B$1000)*1,ISNUMBER(SEARCH("NGA",[1]OUT_TransportEnergyCons!$C$3:$C$1000))*1,[1]OUT_TransportEnergyCons!O$3:O$1000)</f>
        <v>0</v>
      </c>
      <c r="S1209" s="3"/>
    </row>
    <row r="1210" spans="2:19" x14ac:dyDescent="0.5">
      <c r="B1210" s="5" t="str">
        <f t="shared" si="1358"/>
        <v>SPS1</v>
      </c>
      <c r="C1210" s="5" t="str">
        <f t="shared" si="1359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5.6093659246647755E-2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5.3756735103298037E-2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5.98351696811876E-2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0</v>
      </c>
      <c r="J1210" s="1" cm="1">
        <f t="array" ref="J1210">SUMPRODUCT(("T_C-ICE-NGA-S2"=[1]OUT_TransportEnergyCons!$A$3:$A$1000)*1,("Var_Fin"=[1]OUT_TransportEnergyCons!$B$3:$B$1000)*1,ISNUMBER(SEARCH("NGA",[1]OUT_TransportEnergyCons!$C$3:$C$1000))*1,[1]OUT_TransportEnergyCons!H$3:H$1000)</f>
        <v>0</v>
      </c>
      <c r="K1210" s="1" cm="1">
        <f t="array" ref="K1210">SUMPRODUCT(("T_C-ICE-NGA-S2"=[1]OUT_TransportEnergyCons!$A$3:$A$1000)*1,("Var_Fin"=[1]OUT_TransportEnergyCons!$B$3:$B$1000)*1,ISNUMBER(SEARCH("NGA",[1]OUT_TransportEnergyCons!$C$3:$C$1000))*1,[1]OUT_TransportEnergyCons!I$3:I$1000)</f>
        <v>0</v>
      </c>
      <c r="L1210" s="1" cm="1">
        <f t="array" ref="L1210">SUMPRODUCT(("T_C-ICE-NGA-S2"=[1]OUT_TransportEnergyCons!$A$3:$A$1000)*1,("Var_Fin"=[1]OUT_TransportEnergyCons!$B$3:$B$1000)*1,ISNUMBER(SEARCH("NGA",[1]OUT_TransportEnergyCons!$C$3:$C$1000))*1,[1]OUT_TransportEnergyCons!J$3:J$1000)</f>
        <v>0</v>
      </c>
      <c r="M1210" s="1" cm="1">
        <f t="array" ref="M1210">SUMPRODUCT(("T_C-ICE-NGA-S2"=[1]OUT_TransportEnergyCons!$A$3:$A$1000)*1,("Var_Fin"=[1]OUT_TransportEnergyCons!$B$3:$B$1000)*1,ISNUMBER(SEARCH("NGA",[1]OUT_TransportEnergyCons!$C$3:$C$1000))*1,[1]OUT_TransportEnergyCons!K$3:K$1000)</f>
        <v>0</v>
      </c>
      <c r="N1210" s="1" cm="1">
        <f t="array" ref="N1210">SUMPRODUCT(("T_C-ICE-NGA-S2"=[1]OUT_TransportEnergyCons!$A$3:$A$1000)*1,("Var_Fin"=[1]OUT_TransportEnergyCons!$B$3:$B$1000)*1,ISNUMBER(SEARCH("NGA",[1]OUT_TransportEnergyCons!$C$3:$C$1000))*1,[1]OUT_TransportEnergyCons!L$3:L$1000)</f>
        <v>0</v>
      </c>
      <c r="O1210" s="1" cm="1">
        <f t="array" ref="O1210">SUMPRODUCT(("T_C-ICE-NGA-S2"=[1]OUT_TransportEnergyCons!$A$3:$A$1000)*1,("Var_Fin"=[1]OUT_TransportEnergyCons!$B$3:$B$1000)*1,ISNUMBER(SEARCH("NGA",[1]OUT_TransportEnergyCons!$C$3:$C$1000))*1,[1]OUT_TransportEnergyCons!M$3:M$1000)</f>
        <v>0</v>
      </c>
      <c r="P1210" s="1" cm="1">
        <f t="array" ref="P1210">SUMPRODUCT(("T_C-ICE-NGA-S2"=[1]OUT_TransportEnergyCons!$A$3:$A$1000)*1,("Var_Fin"=[1]OUT_TransportEnergyCons!$B$3:$B$1000)*1,ISNUMBER(SEARCH("NGA",[1]OUT_TransportEnergyCons!$C$3:$C$1000))*1,[1]OUT_TransportEnergyCons!N$3:N$1000)</f>
        <v>0</v>
      </c>
      <c r="Q1210" s="1" cm="1">
        <f t="array" ref="Q1210">SUMPRODUCT(("T_C-ICE-NGA-S2"=[1]OUT_TransportEnergyCons!$A$3:$A$1000)*1,("Var_Fin"=[1]OUT_TransportEnergyCons!$B$3:$B$1000)*1,ISNUMBER(SEARCH("NGA",[1]OUT_TransportEnergyCons!$C$3:$C$1000))*1,[1]OUT_TransportEnergyCons!O$3:O$1000)</f>
        <v>0</v>
      </c>
      <c r="S1210" s="3"/>
    </row>
    <row r="1211" spans="2:19" x14ac:dyDescent="0.5">
      <c r="B1211" s="5" t="str">
        <f t="shared" si="1358"/>
        <v>SPS1</v>
      </c>
      <c r="C1211" s="5" t="str">
        <f t="shared" si="1359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4.4612445512341734E-3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4.0216561031226868E-3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4.8106410932829344E-3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3.7507244533348277E-4</v>
      </c>
      <c r="J1211" s="1" cm="1">
        <f t="array" ref="J1211">SUMPRODUCT(("T_C-ICE-NGA-S3"=[1]OUT_TransportEnergyCons!$A$3:$A$1000)*1,("Var_Fin"=[1]OUT_TransportEnergyCons!$B$3:$B$1000)*1,ISNUMBER(SEARCH("NGA",[1]OUT_TransportEnergyCons!$C$3:$C$1000))*1,[1]OUT_TransportEnergyCons!H$3:H$1000)</f>
        <v>6.1500832028068924E-5</v>
      </c>
      <c r="K1211" s="1" cm="1">
        <f t="array" ref="K1211">SUMPRODUCT(("T_C-ICE-NGA-S3"=[1]OUT_TransportEnergyCons!$A$3:$A$1000)*1,("Var_Fin"=[1]OUT_TransportEnergyCons!$B$3:$B$1000)*1,ISNUMBER(SEARCH("NGA",[1]OUT_TransportEnergyCons!$C$3:$C$1000))*1,[1]OUT_TransportEnergyCons!I$3:I$1000)</f>
        <v>0</v>
      </c>
      <c r="L1211" s="1" cm="1">
        <f t="array" ref="L1211">SUMPRODUCT(("T_C-ICE-NGA-S3"=[1]OUT_TransportEnergyCons!$A$3:$A$1000)*1,("Var_Fin"=[1]OUT_TransportEnergyCons!$B$3:$B$1000)*1,ISNUMBER(SEARCH("NGA",[1]OUT_TransportEnergyCons!$C$3:$C$1000))*1,[1]OUT_TransportEnergyCons!J$3:J$1000)</f>
        <v>0</v>
      </c>
      <c r="M1211" s="1" cm="1">
        <f t="array" ref="M1211">SUMPRODUCT(("T_C-ICE-NGA-S3"=[1]OUT_TransportEnergyCons!$A$3:$A$1000)*1,("Var_Fin"=[1]OUT_TransportEnergyCons!$B$3:$B$1000)*1,ISNUMBER(SEARCH("NGA",[1]OUT_TransportEnergyCons!$C$3:$C$1000))*1,[1]OUT_TransportEnergyCons!K$3:K$1000)</f>
        <v>0</v>
      </c>
      <c r="N1211" s="1" cm="1">
        <f t="array" ref="N1211">SUMPRODUCT(("T_C-ICE-NGA-S3"=[1]OUT_TransportEnergyCons!$A$3:$A$1000)*1,("Var_Fin"=[1]OUT_TransportEnergyCons!$B$3:$B$1000)*1,ISNUMBER(SEARCH("NGA",[1]OUT_TransportEnergyCons!$C$3:$C$1000))*1,[1]OUT_TransportEnergyCons!L$3:L$1000)</f>
        <v>0</v>
      </c>
      <c r="O1211" s="1" cm="1">
        <f t="array" ref="O1211">SUMPRODUCT(("T_C-ICE-NGA-S3"=[1]OUT_TransportEnergyCons!$A$3:$A$1000)*1,("Var_Fin"=[1]OUT_TransportEnergyCons!$B$3:$B$1000)*1,ISNUMBER(SEARCH("NGA",[1]OUT_TransportEnergyCons!$C$3:$C$1000))*1,[1]OUT_TransportEnergyCons!M$3:M$1000)</f>
        <v>0</v>
      </c>
      <c r="P1211" s="1" cm="1">
        <f t="array" ref="P1211">SUMPRODUCT(("T_C-ICE-NGA-S3"=[1]OUT_TransportEnergyCons!$A$3:$A$1000)*1,("Var_Fin"=[1]OUT_TransportEnergyCons!$B$3:$B$1000)*1,ISNUMBER(SEARCH("NGA",[1]OUT_TransportEnergyCons!$C$3:$C$1000))*1,[1]OUT_TransportEnergyCons!N$3:N$1000)</f>
        <v>0</v>
      </c>
      <c r="Q1211" s="1" cm="1">
        <f t="array" ref="Q1211">SUMPRODUCT(("T_C-ICE-NGA-S3"=[1]OUT_TransportEnergyCons!$A$3:$A$1000)*1,("Var_Fin"=[1]OUT_TransportEnergyCons!$B$3:$B$1000)*1,ISNUMBER(SEARCH("NGA",[1]OUT_TransportEnergyCons!$C$3:$C$1000))*1,[1]OUT_TransportEnergyCons!O$3:O$1000)</f>
        <v>0</v>
      </c>
      <c r="S1211" s="3"/>
    </row>
    <row r="1212" spans="2:19" x14ac:dyDescent="0.5">
      <c r="B1212" s="5" t="str">
        <f t="shared" si="1358"/>
        <v>SPS1</v>
      </c>
      <c r="C1212" s="5" t="str">
        <f t="shared" si="1359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4.8415275274286719E-2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4.7141263212073202E-2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4.3861478647942209E-2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0</v>
      </c>
      <c r="J1212" s="1" cm="1">
        <f t="array" ref="J1212">SUMPRODUCT(("T_C-ICE-NGA-S4"=[1]OUT_TransportEnergyCons!$A$3:$A$1000)*1,("Var_Fin"=[1]OUT_TransportEnergyCons!$B$3:$B$1000)*1,ISNUMBER(SEARCH("NGA",[1]OUT_TransportEnergyCons!$C$3:$C$1000))*1,[1]OUT_TransportEnergyCons!H$3:H$1000)</f>
        <v>0</v>
      </c>
      <c r="K1212" s="1" cm="1">
        <f t="array" ref="K1212">SUMPRODUCT(("T_C-ICE-NGA-S4"=[1]OUT_TransportEnergyCons!$A$3:$A$1000)*1,("Var_Fin"=[1]OUT_TransportEnergyCons!$B$3:$B$1000)*1,ISNUMBER(SEARCH("NGA",[1]OUT_TransportEnergyCons!$C$3:$C$1000))*1,[1]OUT_TransportEnergyCons!I$3:I$1000)</f>
        <v>0</v>
      </c>
      <c r="L1212" s="1" cm="1">
        <f t="array" ref="L1212">SUMPRODUCT(("T_C-ICE-NGA-S4"=[1]OUT_TransportEnergyCons!$A$3:$A$1000)*1,("Var_Fin"=[1]OUT_TransportEnergyCons!$B$3:$B$1000)*1,ISNUMBER(SEARCH("NGA",[1]OUT_TransportEnergyCons!$C$3:$C$1000))*1,[1]OUT_TransportEnergyCons!J$3:J$1000)</f>
        <v>0</v>
      </c>
      <c r="M1212" s="1" cm="1">
        <f t="array" ref="M1212">SUMPRODUCT(("T_C-ICE-NGA-S4"=[1]OUT_TransportEnergyCons!$A$3:$A$1000)*1,("Var_Fin"=[1]OUT_TransportEnergyCons!$B$3:$B$1000)*1,ISNUMBER(SEARCH("NGA",[1]OUT_TransportEnergyCons!$C$3:$C$1000))*1,[1]OUT_TransportEnergyCons!K$3:K$1000)</f>
        <v>0</v>
      </c>
      <c r="N1212" s="1" cm="1">
        <f t="array" ref="N1212">SUMPRODUCT(("T_C-ICE-NGA-S4"=[1]OUT_TransportEnergyCons!$A$3:$A$1000)*1,("Var_Fin"=[1]OUT_TransportEnergyCons!$B$3:$B$1000)*1,ISNUMBER(SEARCH("NGA",[1]OUT_TransportEnergyCons!$C$3:$C$1000))*1,[1]OUT_TransportEnergyCons!L$3:L$1000)</f>
        <v>0</v>
      </c>
      <c r="O1212" s="1" cm="1">
        <f t="array" ref="O1212">SUMPRODUCT(("T_C-ICE-NGA-S4"=[1]OUT_TransportEnergyCons!$A$3:$A$1000)*1,("Var_Fin"=[1]OUT_TransportEnergyCons!$B$3:$B$1000)*1,ISNUMBER(SEARCH("NGA",[1]OUT_TransportEnergyCons!$C$3:$C$1000))*1,[1]OUT_TransportEnergyCons!M$3:M$1000)</f>
        <v>0</v>
      </c>
      <c r="P1212" s="1" cm="1">
        <f t="array" ref="P1212">SUMPRODUCT(("T_C-ICE-NGA-S4"=[1]OUT_TransportEnergyCons!$A$3:$A$1000)*1,("Var_Fin"=[1]OUT_TransportEnergyCons!$B$3:$B$1000)*1,ISNUMBER(SEARCH("NGA",[1]OUT_TransportEnergyCons!$C$3:$C$1000))*1,[1]OUT_TransportEnergyCons!N$3:N$1000)</f>
        <v>0</v>
      </c>
      <c r="Q1212" s="1" cm="1">
        <f t="array" ref="Q1212">SUMPRODUCT(("T_C-ICE-NGA-S4"=[1]OUT_TransportEnergyCons!$A$3:$A$1000)*1,("Var_Fin"=[1]OUT_TransportEnergyCons!$B$3:$B$1000)*1,ISNUMBER(SEARCH("NGA",[1]OUT_TransportEnergyCons!$C$3:$C$1000))*1,[1]OUT_TransportEnergyCons!O$3:O$1000)</f>
        <v>0</v>
      </c>
      <c r="S1212" s="3"/>
    </row>
    <row r="1213" spans="2:19" x14ac:dyDescent="0.5">
      <c r="B1213" s="5" t="str">
        <f t="shared" si="1358"/>
        <v>SPS1</v>
      </c>
      <c r="C1213" s="5" t="str">
        <f t="shared" si="1359"/>
        <v>CH</v>
      </c>
      <c r="D1213" s="2" t="s">
        <v>1132</v>
      </c>
      <c r="E1213" s="2" t="s">
        <v>1131</v>
      </c>
      <c r="F1213" s="3">
        <f>SUM(F1214:F1263)</f>
        <v>49.003153986518932</v>
      </c>
      <c r="G1213" s="3">
        <f t="shared" ref="G1213:K1213" si="1398">SUM(G1214:G1263)</f>
        <v>55.671137338867226</v>
      </c>
      <c r="H1213" s="3">
        <f t="shared" si="1398"/>
        <v>60.261236392149335</v>
      </c>
      <c r="I1213" s="3">
        <f t="shared" si="1398"/>
        <v>62.339267513350009</v>
      </c>
      <c r="J1213" s="3">
        <f t="shared" si="1398"/>
        <v>62.620501598803287</v>
      </c>
      <c r="K1213" s="3">
        <f t="shared" si="1398"/>
        <v>62.344570829402343</v>
      </c>
      <c r="L1213" s="3">
        <f t="shared" ref="L1213:O1213" si="1399">SUM(L1214:L1263)</f>
        <v>61.747566424241718</v>
      </c>
      <c r="M1213" s="3">
        <f t="shared" si="1399"/>
        <v>61.150555431328485</v>
      </c>
      <c r="N1213" s="3">
        <f t="shared" si="1399"/>
        <v>60.955440743421661</v>
      </c>
      <c r="O1213" s="3">
        <f t="shared" si="1399"/>
        <v>60.753150317406913</v>
      </c>
      <c r="P1213" s="3">
        <f>SUM(P1214:P1263)</f>
        <v>60.588923358202166</v>
      </c>
      <c r="Q1213" s="3">
        <f>SUM(Q1214:Q1263)</f>
        <v>60.552108786285999</v>
      </c>
      <c r="S1213" s="3"/>
    </row>
    <row r="1214" spans="2:19" x14ac:dyDescent="0.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0.4161952402410789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0.36069404078411477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0.27745852682432481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0.13873197025444498</v>
      </c>
      <c r="J1214" s="1" cm="1">
        <f t="array" ref="J1214">SUMPRODUCT(("T_C-BATELCEXT"=[1]OUT_TransportEnergyCons!$A$3:$A$1000)*1,("var_fout"=[1]OUT_TransportEnergyCons!$B$3:$B$1000)*1,ISNUMBER(SEARCH("TPCAR",[1]OUT_TransportEnergyCons!$C$3:$C$1000))*1,[1]OUT_TransportEnergyCons!H$3:H$1000)</f>
        <v>0</v>
      </c>
      <c r="K1214" s="1" cm="1">
        <f t="array" ref="K1214">SUMPRODUCT(("T_C-BATELCEXT"=[1]OUT_TransportEnergyCons!$A$3:$A$1000)*1,("var_fout"=[1]OUT_TransportEnergyCons!$B$3:$B$1000)*1,ISNUMBER(SEARCH("TPCAR",[1]OUT_TransportEnergyCons!$C$3:$C$1000))*1,[1]OUT_TransportEnergyCons!I$3:I$1000)</f>
        <v>0</v>
      </c>
      <c r="L1214" s="1" cm="1">
        <f t="array" ref="L1214">SUMPRODUCT(("T_C-BATELCEXT"=[1]OUT_TransportEnergyCons!$A$3:$A$1000)*1,("var_fout"=[1]OUT_TransportEnergyCons!$B$3:$B$1000)*1,ISNUMBER(SEARCH("TPCAR",[1]OUT_TransportEnergyCons!$C$3:$C$1000))*1,[1]OUT_TransportEnergyCons!J$3:J$1000)</f>
        <v>0</v>
      </c>
      <c r="M1214" s="1" cm="1">
        <f t="array" ref="M1214">SUMPRODUCT(("T_C-BATELCEXT"=[1]OUT_TransportEnergyCons!$A$3:$A$1000)*1,("var_fout"=[1]OUT_TransportEnergyCons!$B$3:$B$1000)*1,ISNUMBER(SEARCH("TPCAR",[1]OUT_TransportEnergyCons!$C$3:$C$1000))*1,[1]OUT_TransportEnergyCons!K$3:K$1000)</f>
        <v>0</v>
      </c>
      <c r="N1214" s="1" cm="1">
        <f t="array" ref="N1214">SUMPRODUCT(("T_C-BATELCEXT"=[1]OUT_TransportEnergyCons!$A$3:$A$1000)*1,("var_fout"=[1]OUT_TransportEnergyCons!$B$3:$B$1000)*1,ISNUMBER(SEARCH("TPCAR",[1]OUT_TransportEnergyCons!$C$3:$C$1000))*1,[1]OUT_TransportEnergyCons!L$3:L$1000)</f>
        <v>0</v>
      </c>
      <c r="O1214" s="1" cm="1">
        <f t="array" ref="O1214">SUMPRODUCT(("T_C-BATELCEXT"=[1]OUT_TransportEnergyCons!$A$3:$A$1000)*1,("var_fout"=[1]OUT_TransportEnergyCons!$B$3:$B$1000)*1,ISNUMBER(SEARCH("TPCAR",[1]OUT_TransportEnergyCons!$C$3:$C$1000))*1,[1]OUT_TransportEnergyCons!M$3:M$1000)</f>
        <v>0</v>
      </c>
      <c r="P1214" s="1" cm="1">
        <f t="array" ref="P1214">SUMPRODUCT(("T_C-BATELCEXT"=[1]OUT_TransportEnergyCons!$A$3:$A$1000)*1,("var_fout"=[1]OUT_TransportEnergyCons!$B$3:$B$1000)*1,ISNUMBER(SEARCH("TPCAR",[1]OUT_TransportEnergyCons!$C$3:$C$1000))*1,[1]OUT_TransportEnergyCons!N$3:N$1000)</f>
        <v>0</v>
      </c>
      <c r="Q1214" s="1" cm="1">
        <f t="array" ref="Q1214">SUMPRODUCT(("T_C-BATELCEXT"=[1]OUT_TransportEnergyCons!$A$3:$A$1000)*1,("var_fout"=[1]OUT_TransportEnergyCons!$B$3:$B$1000)*1,ISNUMBER(SEARCH("TPCAR",[1]OUT_TransportEnergyCons!$C$3:$C$1000))*1,[1]OUT_TransportEnergyCons!O$3:O$1000)</f>
        <v>0</v>
      </c>
      <c r="S1214" s="3"/>
    </row>
    <row r="1215" spans="2:19" x14ac:dyDescent="0.5">
      <c r="B1215" s="5" t="str">
        <f t="shared" si="1358"/>
        <v>SPS1</v>
      </c>
      <c r="C1215" s="5" t="str">
        <f t="shared" si="1359"/>
        <v>CH</v>
      </c>
      <c r="D1215" t="s">
        <v>1134</v>
      </c>
      <c r="E1215" t="str">
        <f t="shared" ref="E1215:E1263" si="1400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1.3849738971882006E-2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2.5586247627636702E-2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2.0379046430940441E-2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0.95376185799402957</v>
      </c>
      <c r="J1215" s="1" cm="1">
        <f t="array" ref="J1215">SUMPRODUCT(("T_C-BAT-ELC-S1"=[1]OUT_TransportEnergyCons!$A$3:$A$1000)*1,("var_fout"=[1]OUT_TransportEnergyCons!$B$3:$B$1000)*1,ISNUMBER(SEARCH("TPCAR",[1]OUT_TransportEnergyCons!$C$3:$C$1000))*1,[1]OUT_TransportEnergyCons!H$3:H$1000)</f>
        <v>1.8846875526189983</v>
      </c>
      <c r="K1215" s="1" cm="1">
        <f t="array" ref="K1215">SUMPRODUCT(("T_C-BAT-ELC-S1"=[1]OUT_TransportEnergyCons!$A$3:$A$1000)*1,("var_fout"=[1]OUT_TransportEnergyCons!$B$3:$B$1000)*1,ISNUMBER(SEARCH("TPCAR",[1]OUT_TransportEnergyCons!$C$3:$C$1000))*1,[1]OUT_TransportEnergyCons!I$3:I$1000)</f>
        <v>2.3102358871856876</v>
      </c>
      <c r="L1215" s="1" cm="1">
        <f t="array" ref="L1215">SUMPRODUCT(("T_C-BAT-ELC-S1"=[1]OUT_TransportEnergyCons!$A$3:$A$1000)*1,("var_fout"=[1]OUT_TransportEnergyCons!$B$3:$B$1000)*1,ISNUMBER(SEARCH("TPCAR",[1]OUT_TransportEnergyCons!$C$3:$C$1000))*1,[1]OUT_TransportEnergyCons!J$3:J$1000)</f>
        <v>2.4089048706824716</v>
      </c>
      <c r="M1215" s="1" cm="1">
        <f t="array" ref="M1215">SUMPRODUCT(("T_C-BAT-ELC-S1"=[1]OUT_TransportEnergyCons!$A$3:$A$1000)*1,("var_fout"=[1]OUT_TransportEnergyCons!$B$3:$B$1000)*1,ISNUMBER(SEARCH("TPCAR",[1]OUT_TransportEnergyCons!$C$3:$C$1000))*1,[1]OUT_TransportEnergyCons!K$3:K$1000)</f>
        <v>2.4470639763949888</v>
      </c>
      <c r="N1215" s="1" cm="1">
        <f t="array" ref="N1215">SUMPRODUCT(("T_C-BAT-ELC-S1"=[1]OUT_TransportEnergyCons!$A$3:$A$1000)*1,("var_fout"=[1]OUT_TransportEnergyCons!$B$3:$B$1000)*1,ISNUMBER(SEARCH("TPCAR",[1]OUT_TransportEnergyCons!$C$3:$C$1000))*1,[1]OUT_TransportEnergyCons!L$3:L$1000)</f>
        <v>2.4367822497655327</v>
      </c>
      <c r="O1215" s="1" cm="1">
        <f t="array" ref="O1215">SUMPRODUCT(("T_C-BAT-ELC-S1"=[1]OUT_TransportEnergyCons!$A$3:$A$1000)*1,("var_fout"=[1]OUT_TransportEnergyCons!$B$3:$B$1000)*1,ISNUMBER(SEARCH("TPCAR",[1]OUT_TransportEnergyCons!$C$3:$C$1000))*1,[1]OUT_TransportEnergyCons!M$3:M$1000)</f>
        <v>2.4305393308775827</v>
      </c>
      <c r="P1215" s="1" cm="1">
        <f t="array" ref="P1215">SUMPRODUCT(("T_C-BAT-ELC-S1"=[1]OUT_TransportEnergyCons!$A$3:$A$1000)*1,("var_fout"=[1]OUT_TransportEnergyCons!$B$3:$B$1000)*1,ISNUMBER(SEARCH("TPCAR",[1]OUT_TransportEnergyCons!$C$3:$C$1000))*1,[1]OUT_TransportEnergyCons!N$3:N$1000)</f>
        <v>2.4237315698835116</v>
      </c>
      <c r="Q1215" s="1" cm="1">
        <f t="array" ref="Q1215">SUMPRODUCT(("T_C-BAT-ELC-S1"=[1]OUT_TransportEnergyCons!$A$3:$A$1000)*1,("var_fout"=[1]OUT_TransportEnergyCons!$B$3:$B$1000)*1,ISNUMBER(SEARCH("TPCAR",[1]OUT_TransportEnergyCons!$C$3:$C$1000))*1,[1]OUT_TransportEnergyCons!O$3:O$1000)</f>
        <v>2.4218599152928513</v>
      </c>
      <c r="S1215" s="3"/>
    </row>
    <row r="1216" spans="2:19" x14ac:dyDescent="0.5">
      <c r="B1216" s="5" t="str">
        <f t="shared" si="1358"/>
        <v>SPS1</v>
      </c>
      <c r="C1216" s="5" t="str">
        <f t="shared" si="1359"/>
        <v>CH</v>
      </c>
      <c r="D1216" t="s">
        <v>1135</v>
      </c>
      <c r="E1216" t="str">
        <f t="shared" si="1400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9.6873782145014659E-2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0.14996698752410159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1.5310139630705659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8.4861887254999058</v>
      </c>
      <c r="J1216" s="1" cm="1">
        <f t="array" ref="J1216">SUMPRODUCT(("T_C-BAT-ELC-S2"=[1]OUT_TransportEnergyCons!$A$3:$A$1000)*1,("var_fout"=[1]OUT_TransportEnergyCons!$B$3:$B$1000)*1,ISNUMBER(SEARCH("TPCAR",[1]OUT_TransportEnergyCons!$C$3:$C$1000))*1,[1]OUT_TransportEnergyCons!H$3:H$1000)</f>
        <v>16.751909689793671</v>
      </c>
      <c r="K1216" s="1" cm="1">
        <f t="array" ref="K1216">SUMPRODUCT(("T_C-BAT-ELC-S2"=[1]OUT_TransportEnergyCons!$A$3:$A$1000)*1,("var_fout"=[1]OUT_TransportEnergyCons!$B$3:$B$1000)*1,ISNUMBER(SEARCH("TPCAR",[1]OUT_TransportEnergyCons!$C$3:$C$1000))*1,[1]OUT_TransportEnergyCons!I$3:I$1000)</f>
        <v>18.231573950343833</v>
      </c>
      <c r="L1216" s="1" cm="1">
        <f t="array" ref="L1216">SUMPRODUCT(("T_C-BAT-ELC-S2"=[1]OUT_TransportEnergyCons!$A$3:$A$1000)*1,("var_fout"=[1]OUT_TransportEnergyCons!$B$3:$B$1000)*1,ISNUMBER(SEARCH("TPCAR",[1]OUT_TransportEnergyCons!$C$3:$C$1000))*1,[1]OUT_TransportEnergyCons!J$3:J$1000)</f>
        <v>18.220119692038509</v>
      </c>
      <c r="M1216" s="1" cm="1">
        <f t="array" ref="M1216">SUMPRODUCT(("T_C-BAT-ELC-S2"=[1]OUT_TransportEnergyCons!$A$3:$A$1000)*1,("var_fout"=[1]OUT_TransportEnergyCons!$B$3:$B$1000)*1,ISNUMBER(SEARCH("TPCAR",[1]OUT_TransportEnergyCons!$C$3:$C$1000))*1,[1]OUT_TransportEnergyCons!K$3:K$1000)</f>
        <v>18.044762208941936</v>
      </c>
      <c r="N1216" s="1" cm="1">
        <f t="array" ref="N1216">SUMPRODUCT(("T_C-BAT-ELC-S2"=[1]OUT_TransportEnergyCons!$A$3:$A$1000)*1,("var_fout"=[1]OUT_TransportEnergyCons!$B$3:$B$1000)*1,ISNUMBER(SEARCH("TPCAR",[1]OUT_TransportEnergyCons!$C$3:$C$1000))*1,[1]OUT_TransportEnergyCons!L$3:L$1000)</f>
        <v>17.986024675047101</v>
      </c>
      <c r="O1216" s="1" cm="1">
        <f t="array" ref="O1216">SUMPRODUCT(("T_C-BAT-ELC-S2"=[1]OUT_TransportEnergyCons!$A$3:$A$1000)*1,("var_fout"=[1]OUT_TransportEnergyCons!$B$3:$B$1000)*1,ISNUMBER(SEARCH("TPCAR",[1]OUT_TransportEnergyCons!$C$3:$C$1000))*1,[1]OUT_TransportEnergyCons!M$3:M$1000)</f>
        <v>17.928127402792438</v>
      </c>
      <c r="P1216" s="1" cm="1">
        <f t="array" ref="P1216">SUMPRODUCT(("T_C-BAT-ELC-S2"=[1]OUT_TransportEnergyCons!$A$3:$A$1000)*1,("var_fout"=[1]OUT_TransportEnergyCons!$B$3:$B$1000)*1,ISNUMBER(SEARCH("TPCAR",[1]OUT_TransportEnergyCons!$C$3:$C$1000))*1,[1]OUT_TransportEnergyCons!N$3:N$1000)</f>
        <v>17.880125467668943</v>
      </c>
      <c r="Q1216" s="1" cm="1">
        <f t="array" ref="Q1216">SUMPRODUCT(("T_C-BAT-ELC-S2"=[1]OUT_TransportEnergyCons!$A$3:$A$1000)*1,("var_fout"=[1]OUT_TransportEnergyCons!$B$3:$B$1000)*1,ISNUMBER(SEARCH("TPCAR",[1]OUT_TransportEnergyCons!$C$3:$C$1000))*1,[1]OUT_TransportEnergyCons!O$3:O$1000)</f>
        <v>17.870400378374718</v>
      </c>
      <c r="S1216" s="3"/>
    </row>
    <row r="1217" spans="2:19" x14ac:dyDescent="0.5">
      <c r="B1217" s="5" t="str">
        <f t="shared" si="1358"/>
        <v>SPS1</v>
      </c>
      <c r="C1217" s="5" t="str">
        <f t="shared" si="1359"/>
        <v>CH</v>
      </c>
      <c r="D1217" t="s">
        <v>1136</v>
      </c>
      <c r="E1217" t="str">
        <f t="shared" si="1400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6.1481029964642046E-2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0.12644422081193865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0.1306217808122222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0.1077730018113611</v>
      </c>
      <c r="J1217" s="1" cm="1">
        <f t="array" ref="J1217">SUMPRODUCT(("T_C-BAT-ELC-S3"=[1]OUT_TransportEnergyCons!$A$3:$A$1000)*1,("var_fout"=[1]OUT_TransportEnergyCons!$B$3:$B$1000)*1,ISNUMBER(SEARCH("TPCAR",[1]OUT_TransportEnergyCons!$C$3:$C$1000))*1,[1]OUT_TransportEnergyCons!H$3:H$1000)</f>
        <v>0.84886740298060992</v>
      </c>
      <c r="K1217" s="1" cm="1">
        <f t="array" ref="K1217">SUMPRODUCT(("T_C-BAT-ELC-S3"=[1]OUT_TransportEnergyCons!$A$3:$A$1000)*1,("var_fout"=[1]OUT_TransportEnergyCons!$B$3:$B$1000)*1,ISNUMBER(SEARCH("TPCAR",[1]OUT_TransportEnergyCons!$C$3:$C$1000))*1,[1]OUT_TransportEnergyCons!I$3:I$1000)</f>
        <v>5.9599331196929386</v>
      </c>
      <c r="L1217" s="1" cm="1">
        <f t="array" ref="L1217">SUMPRODUCT(("T_C-BAT-ELC-S3"=[1]OUT_TransportEnergyCons!$A$3:$A$1000)*1,("var_fout"=[1]OUT_TransportEnergyCons!$B$3:$B$1000)*1,ISNUMBER(SEARCH("TPCAR",[1]OUT_TransportEnergyCons!$C$3:$C$1000))*1,[1]OUT_TransportEnergyCons!J$3:J$1000)</f>
        <v>5.3033976208909435</v>
      </c>
      <c r="M1217" s="1" cm="1">
        <f t="array" ref="M1217">SUMPRODUCT(("T_C-BAT-ELC-S3"=[1]OUT_TransportEnergyCons!$A$3:$A$1000)*1,("var_fout"=[1]OUT_TransportEnergyCons!$B$3:$B$1000)*1,ISNUMBER(SEARCH("TPCAR",[1]OUT_TransportEnergyCons!$C$3:$C$1000))*1,[1]OUT_TransportEnergyCons!K$3:K$1000)</f>
        <v>12.463133667521046</v>
      </c>
      <c r="N1217" s="1" cm="1">
        <f t="array" ref="N1217">SUMPRODUCT(("T_C-BAT-ELC-S3"=[1]OUT_TransportEnergyCons!$A$3:$A$1000)*1,("var_fout"=[1]OUT_TransportEnergyCons!$B$3:$B$1000)*1,ISNUMBER(SEARCH("TPCAR",[1]OUT_TransportEnergyCons!$C$3:$C$1000))*1,[1]OUT_TransportEnergyCons!L$3:L$1000)</f>
        <v>14.094607543938519</v>
      </c>
      <c r="O1217" s="1" cm="1">
        <f t="array" ref="O1217">SUMPRODUCT(("T_C-BAT-ELC-S3"=[1]OUT_TransportEnergyCons!$A$3:$A$1000)*1,("var_fout"=[1]OUT_TransportEnergyCons!$B$3:$B$1000)*1,ISNUMBER(SEARCH("TPCAR",[1]OUT_TransportEnergyCons!$C$3:$C$1000))*1,[1]OUT_TransportEnergyCons!M$3:M$1000)</f>
        <v>16.962771824991208</v>
      </c>
      <c r="P1217" s="1" cm="1">
        <f t="array" ref="P1217">SUMPRODUCT(("T_C-BAT-ELC-S3"=[1]OUT_TransportEnergyCons!$A$3:$A$1000)*1,("var_fout"=[1]OUT_TransportEnergyCons!$B$3:$B$1000)*1,ISNUMBER(SEARCH("TPCAR",[1]OUT_TransportEnergyCons!$C$3:$C$1000))*1,[1]OUT_TransportEnergyCons!N$3:N$1000)</f>
        <v>23.760241595445464</v>
      </c>
      <c r="Q1217" s="1" cm="1">
        <f t="array" ref="Q1217">SUMPRODUCT(("T_C-BAT-ELC-S3"=[1]OUT_TransportEnergyCons!$A$3:$A$1000)*1,("var_fout"=[1]OUT_TransportEnergyCons!$B$3:$B$1000)*1,ISNUMBER(SEARCH("TPCAR",[1]OUT_TransportEnergyCons!$C$3:$C$1000))*1,[1]OUT_TransportEnergyCons!O$3:O$1000)</f>
        <v>19.700318163682581</v>
      </c>
      <c r="S1217" s="3"/>
    </row>
    <row r="1218" spans="2:19" x14ac:dyDescent="0.5">
      <c r="B1218" s="5" t="str">
        <f t="shared" ref="B1218:B1264" si="1401">B1217</f>
        <v>SPS1</v>
      </c>
      <c r="C1218" s="5" t="str">
        <f t="shared" ref="C1218:C1264" si="1402">C1217</f>
        <v>CH</v>
      </c>
      <c r="D1218" t="s">
        <v>1137</v>
      </c>
      <c r="E1218" t="str">
        <f t="shared" si="1400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0.1935815471325632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1.2666840144249343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3.3638313600514889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12.71651186135726</v>
      </c>
      <c r="J1218" s="1" cm="1">
        <f t="array" ref="J1218">SUMPRODUCT(("T_C-BAT-ELC-S4"=[1]OUT_TransportEnergyCons!$A$3:$A$1000)*1,("var_fout"=[1]OUT_TransportEnergyCons!$B$3:$B$1000)*1,ISNUMBER(SEARCH("TPCAR",[1]OUT_TransportEnergyCons!$C$3:$C$1000))*1,[1]OUT_TransportEnergyCons!H$3:H$1000)</f>
        <v>20.544581905301129</v>
      </c>
      <c r="K1218" s="1" cm="1">
        <f t="array" ref="K1218">SUMPRODUCT(("T_C-BAT-ELC-S4"=[1]OUT_TransportEnergyCons!$A$3:$A$1000)*1,("var_fout"=[1]OUT_TransportEnergyCons!$B$3:$B$1000)*1,ISNUMBER(SEARCH("TPCAR",[1]OUT_TransportEnergyCons!$C$3:$C$1000))*1,[1]OUT_TransportEnergyCons!I$3:I$1000)</f>
        <v>22.632811688434195</v>
      </c>
      <c r="L1218" s="1" cm="1">
        <f t="array" ref="L1218">SUMPRODUCT(("T_C-BAT-ELC-S4"=[1]OUT_TransportEnergyCons!$A$3:$A$1000)*1,("var_fout"=[1]OUT_TransportEnergyCons!$B$3:$B$1000)*1,ISNUMBER(SEARCH("TPCAR",[1]OUT_TransportEnergyCons!$C$3:$C$1000))*1,[1]OUT_TransportEnergyCons!J$3:J$1000)</f>
        <v>23.203213581836405</v>
      </c>
      <c r="M1218" s="1" cm="1">
        <f t="array" ref="M1218">SUMPRODUCT(("T_C-BAT-ELC-S4"=[1]OUT_TransportEnergyCons!$A$3:$A$1000)*1,("var_fout"=[1]OUT_TransportEnergyCons!$B$3:$B$1000)*1,ISNUMBER(SEARCH("TPCAR",[1]OUT_TransportEnergyCons!$C$3:$C$1000))*1,[1]OUT_TransportEnergyCons!K$3:K$1000)</f>
        <v>23.569981084145894</v>
      </c>
      <c r="N1218" s="1" cm="1">
        <f t="array" ref="N1218">SUMPRODUCT(("T_C-BAT-ELC-S4"=[1]OUT_TransportEnergyCons!$A$3:$A$1000)*1,("var_fout"=[1]OUT_TransportEnergyCons!$B$3:$B$1000)*1,ISNUMBER(SEARCH("TPCAR",[1]OUT_TransportEnergyCons!$C$3:$C$1000))*1,[1]OUT_TransportEnergyCons!L$3:L$1000)</f>
        <v>22.00752665295477</v>
      </c>
      <c r="O1218" s="1" cm="1">
        <f t="array" ref="O1218">SUMPRODUCT(("T_C-BAT-ELC-S4"=[1]OUT_TransportEnergyCons!$A$3:$A$1000)*1,("var_fout"=[1]OUT_TransportEnergyCons!$B$3:$B$1000)*1,ISNUMBER(SEARCH("TPCAR",[1]OUT_TransportEnergyCons!$C$3:$C$1000))*1,[1]OUT_TransportEnergyCons!M$3:M$1000)</f>
        <v>19.203502685413468</v>
      </c>
      <c r="P1218" s="1" cm="1">
        <f t="array" ref="P1218">SUMPRODUCT(("T_C-BAT-ELC-S4"=[1]OUT_TransportEnergyCons!$A$3:$A$1000)*1,("var_fout"=[1]OUT_TransportEnergyCons!$B$3:$B$1000)*1,ISNUMBER(SEARCH("TPCAR",[1]OUT_TransportEnergyCons!$C$3:$C$1000))*1,[1]OUT_TransportEnergyCons!N$3:N$1000)</f>
        <v>12.460843023836933</v>
      </c>
      <c r="Q1218" s="1" cm="1">
        <f t="array" ref="Q1218">SUMPRODUCT(("T_C-BAT-ELC-S4"=[1]OUT_TransportEnergyCons!$A$3:$A$1000)*1,("var_fout"=[1]OUT_TransportEnergyCons!$B$3:$B$1000)*1,ISNUMBER(SEARCH("TPCAR",[1]OUT_TransportEnergyCons!$C$3:$C$1000))*1,[1]OUT_TransportEnergyCons!O$3:O$1000)</f>
        <v>17.100355015553781</v>
      </c>
      <c r="S1218" s="3"/>
    </row>
    <row r="1219" spans="2:19" x14ac:dyDescent="0.5">
      <c r="B1219" s="5" t="str">
        <f t="shared" si="1401"/>
        <v>SPS1</v>
      </c>
      <c r="C1219" s="5" t="str">
        <f t="shared" si="1402"/>
        <v>CH</v>
      </c>
      <c r="D1219" t="s">
        <v>1138</v>
      </c>
      <c r="E1219" t="str">
        <f t="shared" si="1400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2.1103346644594235E-4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3.6270022292752126E-4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3.8320002852604892E-4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4.0930268527846619E-4</v>
      </c>
      <c r="J1219" s="1" cm="1">
        <f t="array" ref="J1219">SUMPRODUCT(("T_C-PEV-GSL-S1"=[1]OUT_TransportEnergyCons!$A$3:$A$1000)*1,("var_fout"=[1]OUT_TransportEnergyCons!$B$3:$B$1000)*1,ISNUMBER(SEARCH("TPCAR",[1]OUT_TransportEnergyCons!$C$3:$C$1000))*1,[1]OUT_TransportEnergyCons!H$3:H$1000)</f>
        <v>3.2915139804544905E-4</v>
      </c>
      <c r="K1219" s="1" cm="1">
        <f t="array" ref="K1219">SUMPRODUCT(("T_C-PEV-GSL-S1"=[1]OUT_TransportEnergyCons!$A$3:$A$1000)*1,("var_fout"=[1]OUT_TransportEnergyCons!$B$3:$B$1000)*1,ISNUMBER(SEARCH("TPCAR",[1]OUT_TransportEnergyCons!$C$3:$C$1000))*1,[1]OUT_TransportEnergyCons!I$3:I$1000)</f>
        <v>1.8863106246170836E-4</v>
      </c>
      <c r="L1219" s="1" cm="1">
        <f t="array" ref="L1219">SUMPRODUCT(("T_C-PEV-GSL-S1"=[1]OUT_TransportEnergyCons!$A$3:$A$1000)*1,("var_fout"=[1]OUT_TransportEnergyCons!$B$3:$B$1000)*1,ISNUMBER(SEARCH("TPCAR",[1]OUT_TransportEnergyCons!$C$3:$C$1000))*1,[1]OUT_TransportEnergyCons!J$3:J$1000)</f>
        <v>1.7979966148391549E-4</v>
      </c>
      <c r="M1219" s="1" cm="1">
        <f t="array" ref="M1219">SUMPRODUCT(("T_C-PEV-GSL-S1"=[1]OUT_TransportEnergyCons!$A$3:$A$1000)*1,("var_fout"=[1]OUT_TransportEnergyCons!$B$3:$B$1000)*1,ISNUMBER(SEARCH("TPCAR",[1]OUT_TransportEnergyCons!$C$3:$C$1000))*1,[1]OUT_TransportEnergyCons!K$3:K$1000)</f>
        <v>8.5326556603526577E-5</v>
      </c>
      <c r="N1219" s="1" cm="1">
        <f t="array" ref="N1219">SUMPRODUCT(("T_C-PEV-GSL-S1"=[1]OUT_TransportEnergyCons!$A$3:$A$1000)*1,("var_fout"=[1]OUT_TransportEnergyCons!$B$3:$B$1000)*1,ISNUMBER(SEARCH("TPCAR",[1]OUT_TransportEnergyCons!$C$3:$C$1000))*1,[1]OUT_TransportEnergyCons!L$3:L$1000)</f>
        <v>6.6224625799716629E-4</v>
      </c>
      <c r="O1219" s="1" cm="1">
        <f t="array" ref="O1219">SUMPRODUCT(("T_C-PEV-GSL-S1"=[1]OUT_TransportEnergyCons!$A$3:$A$1000)*1,("var_fout"=[1]OUT_TransportEnergyCons!$B$3:$B$1000)*1,ISNUMBER(SEARCH("TPCAR",[1]OUT_TransportEnergyCons!$C$3:$C$1000))*1,[1]OUT_TransportEnergyCons!M$3:M$1000)</f>
        <v>1.1680095914067578E-3</v>
      </c>
      <c r="P1219" s="1" cm="1">
        <f t="array" ref="P1219">SUMPRODUCT(("T_C-PEV-GSL-S1"=[1]OUT_TransportEnergyCons!$A$3:$A$1000)*1,("var_fout"=[1]OUT_TransportEnergyCons!$B$3:$B$1000)*1,ISNUMBER(SEARCH("TPCAR",[1]OUT_TransportEnergyCons!$C$3:$C$1000))*1,[1]OUT_TransportEnergyCons!N$3:N$1000)</f>
        <v>1.4532084821654381E-3</v>
      </c>
      <c r="Q1219" s="1" cm="1">
        <f t="array" ref="Q1219">SUMPRODUCT(("T_C-PEV-GSL-S1"=[1]OUT_TransportEnergyCons!$A$3:$A$1000)*1,("var_fout"=[1]OUT_TransportEnergyCons!$B$3:$B$1000)*1,ISNUMBER(SEARCH("TPCAR",[1]OUT_TransportEnergyCons!$C$3:$C$1000))*1,[1]OUT_TransportEnergyCons!O$3:O$1000)</f>
        <v>1.8517389865167757E-3</v>
      </c>
      <c r="S1219" s="3"/>
    </row>
    <row r="1220" spans="2:19" x14ac:dyDescent="0.5">
      <c r="B1220" s="5" t="str">
        <f t="shared" si="1401"/>
        <v>SPS1</v>
      </c>
      <c r="C1220" s="5" t="str">
        <f t="shared" si="1402"/>
        <v>CH</v>
      </c>
      <c r="D1220" t="s">
        <v>1139</v>
      </c>
      <c r="E1220" t="str">
        <f t="shared" si="1400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4.8471457289910841E-2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9.8556055566820552E-2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6.9305216938348652E-2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7.8160965825786743E-2</v>
      </c>
      <c r="J1220" s="1" cm="1">
        <f t="array" ref="J1220">SUMPRODUCT(("T_C-PEV-GSL-S2"=[1]OUT_TransportEnergyCons!$A$3:$A$1000)*1,("var_fout"=[1]OUT_TransportEnergyCons!$B$3:$B$1000)*1,ISNUMBER(SEARCH("TPCAR",[1]OUT_TransportEnergyCons!$C$3:$C$1000))*1,[1]OUT_TransportEnergyCons!H$3:H$1000)</f>
        <v>9.7892856555138151E-3</v>
      </c>
      <c r="K1220" s="1" cm="1">
        <f t="array" ref="K1220">SUMPRODUCT(("T_C-PEV-GSL-S2"=[1]OUT_TransportEnergyCons!$A$3:$A$1000)*1,("var_fout"=[1]OUT_TransportEnergyCons!$B$3:$B$1000)*1,ISNUMBER(SEARCH("TPCAR",[1]OUT_TransportEnergyCons!$C$3:$C$1000))*1,[1]OUT_TransportEnergyCons!I$3:I$1000)</f>
        <v>6.2893381870231713E-4</v>
      </c>
      <c r="L1220" s="1" cm="1">
        <f t="array" ref="L1220">SUMPRODUCT(("T_C-PEV-GSL-S2"=[1]OUT_TransportEnergyCons!$A$3:$A$1000)*1,("var_fout"=[1]OUT_TransportEnergyCons!$B$3:$B$1000)*1,ISNUMBER(SEARCH("TPCAR",[1]OUT_TransportEnergyCons!$C$3:$C$1000))*1,[1]OUT_TransportEnergyCons!J$3:J$1000)</f>
        <v>5.7785255958376107E-4</v>
      </c>
      <c r="M1220" s="1" cm="1">
        <f t="array" ref="M1220">SUMPRODUCT(("T_C-PEV-GSL-S2"=[1]OUT_TransportEnergyCons!$A$3:$A$1000)*1,("var_fout"=[1]OUT_TransportEnergyCons!$B$3:$B$1000)*1,ISNUMBER(SEARCH("TPCAR",[1]OUT_TransportEnergyCons!$C$3:$C$1000))*1,[1]OUT_TransportEnergyCons!K$3:K$1000)</f>
        <v>4.1958849114726889E-4</v>
      </c>
      <c r="N1220" s="1" cm="1">
        <f t="array" ref="N1220">SUMPRODUCT(("T_C-PEV-GSL-S2"=[1]OUT_TransportEnergyCons!$A$3:$A$1000)*1,("var_fout"=[1]OUT_TransportEnergyCons!$B$3:$B$1000)*1,ISNUMBER(SEARCH("TPCAR",[1]OUT_TransportEnergyCons!$C$3:$C$1000))*1,[1]OUT_TransportEnergyCons!L$3:L$1000)</f>
        <v>2.5086114991876665E-3</v>
      </c>
      <c r="O1220" s="1" cm="1">
        <f t="array" ref="O1220">SUMPRODUCT(("T_C-PEV-GSL-S2"=[1]OUT_TransportEnergyCons!$A$3:$A$1000)*1,("var_fout"=[1]OUT_TransportEnergyCons!$B$3:$B$1000)*1,ISNUMBER(SEARCH("TPCAR",[1]OUT_TransportEnergyCons!$C$3:$C$1000))*1,[1]OUT_TransportEnergyCons!M$3:M$1000)</f>
        <v>2.6578295808697941E-3</v>
      </c>
      <c r="P1220" s="1" cm="1">
        <f t="array" ref="P1220">SUMPRODUCT(("T_C-PEV-GSL-S2"=[1]OUT_TransportEnergyCons!$A$3:$A$1000)*1,("var_fout"=[1]OUT_TransportEnergyCons!$B$3:$B$1000)*1,ISNUMBER(SEARCH("TPCAR",[1]OUT_TransportEnergyCons!$C$3:$C$1000))*1,[1]OUT_TransportEnergyCons!N$3:N$1000)</f>
        <v>2.2139963118176973E-3</v>
      </c>
      <c r="Q1220" s="1" cm="1">
        <f t="array" ref="Q1220">SUMPRODUCT(("T_C-PEV-GSL-S2"=[1]OUT_TransportEnergyCons!$A$3:$A$1000)*1,("var_fout"=[1]OUT_TransportEnergyCons!$B$3:$B$1000)*1,ISNUMBER(SEARCH("TPCAR",[1]OUT_TransportEnergyCons!$C$3:$C$1000))*1,[1]OUT_TransportEnergyCons!O$3:O$1000)</f>
        <v>1.1421039675365092E-3</v>
      </c>
      <c r="S1220" s="3"/>
    </row>
    <row r="1221" spans="2:19" x14ac:dyDescent="0.5">
      <c r="B1221" s="5" t="str">
        <f t="shared" si="1401"/>
        <v>SPS1</v>
      </c>
      <c r="C1221" s="5" t="str">
        <f t="shared" si="1402"/>
        <v>CH</v>
      </c>
      <c r="D1221" t="s">
        <v>1140</v>
      </c>
      <c r="E1221" t="str">
        <f t="shared" si="1400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4.7031112259458517E-2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0.15555245721830602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1.2048456564798429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3.583618333235719</v>
      </c>
      <c r="J1221" s="1" cm="1">
        <f t="array" ref="J1221">SUMPRODUCT(("T_C-PEV-GSL-S3"=[1]OUT_TransportEnergyCons!$A$3:$A$1000)*1,("var_fout"=[1]OUT_TransportEnergyCons!$B$3:$B$1000)*1,ISNUMBER(SEARCH("TPCAR",[1]OUT_TransportEnergyCons!$C$3:$C$1000))*1,[1]OUT_TransportEnergyCons!H$3:H$1000)</f>
        <v>9.570678401390623</v>
      </c>
      <c r="K1221" s="1" cm="1">
        <f t="array" ref="K1221">SUMPRODUCT(("T_C-PEV-GSL-S3"=[1]OUT_TransportEnergyCons!$A$3:$A$1000)*1,("var_fout"=[1]OUT_TransportEnergyCons!$B$3:$B$1000)*1,ISNUMBER(SEARCH("TPCAR",[1]OUT_TransportEnergyCons!$C$3:$C$1000))*1,[1]OUT_TransportEnergyCons!I$3:I$1000)</f>
        <v>7.3789774098654455</v>
      </c>
      <c r="L1221" s="1" cm="1">
        <f t="array" ref="L1221">SUMPRODUCT(("T_C-PEV-GSL-S3"=[1]OUT_TransportEnergyCons!$A$3:$A$1000)*1,("var_fout"=[1]OUT_TransportEnergyCons!$B$3:$B$1000)*1,ISNUMBER(SEARCH("TPCAR",[1]OUT_TransportEnergyCons!$C$3:$C$1000))*1,[1]OUT_TransportEnergyCons!J$3:J$1000)</f>
        <v>7.4261223712582636</v>
      </c>
      <c r="M1221" s="1" cm="1">
        <f t="array" ref="M1221">SUMPRODUCT(("T_C-PEV-GSL-S3"=[1]OUT_TransportEnergyCons!$A$3:$A$1000)*1,("var_fout"=[1]OUT_TransportEnergyCons!$B$3:$B$1000)*1,ISNUMBER(SEARCH("TPCAR",[1]OUT_TransportEnergyCons!$C$3:$C$1000))*1,[1]OUT_TransportEnergyCons!K$3:K$1000)</f>
        <v>2.723224754551441</v>
      </c>
      <c r="N1221" s="1" cm="1">
        <f t="array" ref="N1221">SUMPRODUCT(("T_C-PEV-GSL-S3"=[1]OUT_TransportEnergyCons!$A$3:$A$1000)*1,("var_fout"=[1]OUT_TransportEnergyCons!$B$3:$B$1000)*1,ISNUMBER(SEARCH("TPCAR",[1]OUT_TransportEnergyCons!$C$3:$C$1000))*1,[1]OUT_TransportEnergyCons!L$3:L$1000)</f>
        <v>1.6479095833751249</v>
      </c>
      <c r="O1221" s="1" cm="1">
        <f t="array" ref="O1221">SUMPRODUCT(("T_C-PEV-GSL-S3"=[1]OUT_TransportEnergyCons!$A$3:$A$1000)*1,("var_fout"=[1]OUT_TransportEnergyCons!$B$3:$B$1000)*1,ISNUMBER(SEARCH("TPCAR",[1]OUT_TransportEnergyCons!$C$3:$C$1000))*1,[1]OUT_TransportEnergyCons!M$3:M$1000)</f>
        <v>4.2114816095726775E-3</v>
      </c>
      <c r="P1221" s="1" cm="1">
        <f t="array" ref="P1221">SUMPRODUCT(("T_C-PEV-GSL-S3"=[1]OUT_TransportEnergyCons!$A$3:$A$1000)*1,("var_fout"=[1]OUT_TransportEnergyCons!$B$3:$B$1000)*1,ISNUMBER(SEARCH("TPCAR",[1]OUT_TransportEnergyCons!$C$3:$C$1000))*1,[1]OUT_TransportEnergyCons!N$3:N$1000)</f>
        <v>3.819499961036327E-3</v>
      </c>
      <c r="Q1221" s="1" cm="1">
        <f t="array" ref="Q1221">SUMPRODUCT(("T_C-PEV-GSL-S3"=[1]OUT_TransportEnergyCons!$A$3:$A$1000)*1,("var_fout"=[1]OUT_TransportEnergyCons!$B$3:$B$1000)*1,ISNUMBER(SEARCH("TPCAR",[1]OUT_TransportEnergyCons!$C$3:$C$1000))*1,[1]OUT_TransportEnergyCons!O$3:O$1000)</f>
        <v>2.1119416035389805E-3</v>
      </c>
      <c r="S1221" s="3"/>
    </row>
    <row r="1222" spans="2:19" x14ac:dyDescent="0.5">
      <c r="B1222" s="5" t="str">
        <f t="shared" si="1401"/>
        <v>SPS1</v>
      </c>
      <c r="C1222" s="5" t="str">
        <f t="shared" si="1402"/>
        <v>CH</v>
      </c>
      <c r="D1222" t="s">
        <v>1141</v>
      </c>
      <c r="E1222" t="str">
        <f t="shared" si="1400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9.0845524012604831E-2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0.1585899080288358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0.1522564551371178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0.12365582591266086</v>
      </c>
      <c r="J1222" s="1" cm="1">
        <f t="array" ref="J1222">SUMPRODUCT(("T_C-PEV-GSL-S4"=[1]OUT_TransportEnergyCons!$A$3:$A$1000)*1,("var_fout"=[1]OUT_TransportEnergyCons!$B$3:$B$1000)*1,ISNUMBER(SEARCH("TPCAR",[1]OUT_TransportEnergyCons!$C$3:$C$1000))*1,[1]OUT_TransportEnergyCons!H$3:H$1000)</f>
        <v>2.4503075888157817E-2</v>
      </c>
      <c r="K1222" s="1" cm="1">
        <f t="array" ref="K1222">SUMPRODUCT(("T_C-PEV-GSL-S4"=[1]OUT_TransportEnergyCons!$A$3:$A$1000)*1,("var_fout"=[1]OUT_TransportEnergyCons!$B$3:$B$1000)*1,ISNUMBER(SEARCH("TPCAR",[1]OUT_TransportEnergyCons!$C$3:$C$1000))*1,[1]OUT_TransportEnergyCons!I$3:I$1000)</f>
        <v>1.47390705825404E-3</v>
      </c>
      <c r="L1222" s="1" cm="1">
        <f t="array" ref="L1222">SUMPRODUCT(("T_C-PEV-GSL-S4"=[1]OUT_TransportEnergyCons!$A$3:$A$1000)*1,("var_fout"=[1]OUT_TransportEnergyCons!$B$3:$B$1000)*1,ISNUMBER(SEARCH("TPCAR",[1]OUT_TransportEnergyCons!$C$3:$C$1000))*1,[1]OUT_TransportEnergyCons!J$3:J$1000)</f>
        <v>9.3606316013476179E-4</v>
      </c>
      <c r="M1222" s="1" cm="1">
        <f t="array" ref="M1222">SUMPRODUCT(("T_C-PEV-GSL-S4"=[1]OUT_TransportEnergyCons!$A$3:$A$1000)*1,("var_fout"=[1]OUT_TransportEnergyCons!$B$3:$B$1000)*1,ISNUMBER(SEARCH("TPCAR",[1]OUT_TransportEnergyCons!$C$3:$C$1000))*1,[1]OUT_TransportEnergyCons!K$3:K$1000)</f>
        <v>5.3252289194278038E-4</v>
      </c>
      <c r="N1222" s="1" cm="1">
        <f t="array" ref="N1222">SUMPRODUCT(("T_C-PEV-GSL-S4"=[1]OUT_TransportEnergyCons!$A$3:$A$1000)*1,("var_fout"=[1]OUT_TransportEnergyCons!$B$3:$B$1000)*1,ISNUMBER(SEARCH("TPCAR",[1]OUT_TransportEnergyCons!$C$3:$C$1000))*1,[1]OUT_TransportEnergyCons!L$3:L$1000)</f>
        <v>0.95826875101533382</v>
      </c>
      <c r="O1222" s="1" cm="1">
        <f t="array" ref="O1222">SUMPRODUCT(("T_C-PEV-GSL-S4"=[1]OUT_TransportEnergyCons!$A$3:$A$1000)*1,("var_fout"=[1]OUT_TransportEnergyCons!$B$3:$B$1000)*1,ISNUMBER(SEARCH("TPCAR",[1]OUT_TransportEnergyCons!$C$3:$C$1000))*1,[1]OUT_TransportEnergyCons!M$3:M$1000)</f>
        <v>2.4821721835859032</v>
      </c>
      <c r="P1222" s="1" cm="1">
        <f t="array" ref="P1222">SUMPRODUCT(("T_C-PEV-GSL-S4"=[1]OUT_TransportEnergyCons!$A$3:$A$1000)*1,("var_fout"=[1]OUT_TransportEnergyCons!$B$3:$B$1000)*1,ISNUMBER(SEARCH("TPCAR",[1]OUT_TransportEnergyCons!$C$3:$C$1000))*1,[1]OUT_TransportEnergyCons!N$3:N$1000)</f>
        <v>2.3860010577828872</v>
      </c>
      <c r="Q1222" s="1" cm="1">
        <f t="array" ref="Q1222">SUMPRODUCT(("T_C-PEV-GSL-S4"=[1]OUT_TransportEnergyCons!$A$3:$A$1000)*1,("var_fout"=[1]OUT_TransportEnergyCons!$B$3:$B$1000)*1,ISNUMBER(SEARCH("TPCAR",[1]OUT_TransportEnergyCons!$C$3:$C$1000))*1,[1]OUT_TransportEnergyCons!O$3:O$1000)</f>
        <v>2.0321754467104776</v>
      </c>
      <c r="S1222" s="3"/>
    </row>
    <row r="1223" spans="2:19" x14ac:dyDescent="0.5">
      <c r="B1223" s="5" t="str">
        <f t="shared" si="1401"/>
        <v>SPS1</v>
      </c>
      <c r="C1223" s="5" t="str">
        <f t="shared" si="1402"/>
        <v>CH</v>
      </c>
      <c r="D1223" t="s">
        <v>1142</v>
      </c>
      <c r="E1223" t="str">
        <f t="shared" si="1400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1.2289407226299972E-5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1.7526522181857265E-4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2.4838394441071844E-4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3.691224032615653E-4</v>
      </c>
      <c r="J1223" s="1" cm="1">
        <f t="array" ref="J1223">SUMPRODUCT(("T_C-PEV-DSL-S1"=[1]OUT_TransportEnergyCons!$A$3:$A$1000)*1,("var_fout"=[1]OUT_TransportEnergyCons!$B$3:$B$1000)*1,ISNUMBER(SEARCH("TPCAR",[1]OUT_TransportEnergyCons!$C$3:$C$1000))*1,[1]OUT_TransportEnergyCons!H$3:H$1000)</f>
        <v>3.7587690942387841E-4</v>
      </c>
      <c r="K1223" s="1" cm="1">
        <f t="array" ref="K1223">SUMPRODUCT(("T_C-PEV-DSL-S1"=[1]OUT_TransportEnergyCons!$A$3:$A$1000)*1,("var_fout"=[1]OUT_TransportEnergyCons!$B$3:$B$1000)*1,ISNUMBER(SEARCH("TPCAR",[1]OUT_TransportEnergyCons!$C$3:$C$1000))*1,[1]OUT_TransportEnergyCons!I$3:I$1000)</f>
        <v>2.1054502899231766E-4</v>
      </c>
      <c r="L1223" s="1" cm="1">
        <f t="array" ref="L1223">SUMPRODUCT(("T_C-PEV-DSL-S1"=[1]OUT_TransportEnergyCons!$A$3:$A$1000)*1,("var_fout"=[1]OUT_TransportEnergyCons!$B$3:$B$1000)*1,ISNUMBER(SEARCH("TPCAR",[1]OUT_TransportEnergyCons!$C$3:$C$1000))*1,[1]OUT_TransportEnergyCons!J$3:J$1000)</f>
        <v>7.7060408796293645E-4</v>
      </c>
      <c r="M1223" s="1" cm="1">
        <f t="array" ref="M1223">SUMPRODUCT(("T_C-PEV-DSL-S1"=[1]OUT_TransportEnergyCons!$A$3:$A$1000)*1,("var_fout"=[1]OUT_TransportEnergyCons!$B$3:$B$1000)*1,ISNUMBER(SEARCH("TPCAR",[1]OUT_TransportEnergyCons!$C$3:$C$1000))*1,[1]OUT_TransportEnergyCons!K$3:K$1000)</f>
        <v>6.0008420551571856E-4</v>
      </c>
      <c r="N1223" s="1" cm="1">
        <f t="array" ref="N1223">SUMPRODUCT(("T_C-PEV-DSL-S1"=[1]OUT_TransportEnergyCons!$A$3:$A$1000)*1,("var_fout"=[1]OUT_TransportEnergyCons!$B$3:$B$1000)*1,ISNUMBER(SEARCH("TPCAR",[1]OUT_TransportEnergyCons!$C$3:$C$1000))*1,[1]OUT_TransportEnergyCons!L$3:L$1000)</f>
        <v>2.4948904139210737E-3</v>
      </c>
      <c r="O1223" s="1" cm="1">
        <f t="array" ref="O1223">SUMPRODUCT(("T_C-PEV-DSL-S1"=[1]OUT_TransportEnergyCons!$A$3:$A$1000)*1,("var_fout"=[1]OUT_TransportEnergyCons!$B$3:$B$1000)*1,ISNUMBER(SEARCH("TPCAR",[1]OUT_TransportEnergyCons!$C$3:$C$1000))*1,[1]OUT_TransportEnergyCons!M$3:M$1000)</f>
        <v>1.3483313489443501E-4</v>
      </c>
      <c r="P1223" s="1" cm="1">
        <f t="array" ref="P1223">SUMPRODUCT(("T_C-PEV-DSL-S1"=[1]OUT_TransportEnergyCons!$A$3:$A$1000)*1,("var_fout"=[1]OUT_TransportEnergyCons!$B$3:$B$1000)*1,ISNUMBER(SEARCH("TPCAR",[1]OUT_TransportEnergyCons!$C$3:$C$1000))*1,[1]OUT_TransportEnergyCons!N$3:N$1000)</f>
        <v>8.4022014061287931E-5</v>
      </c>
      <c r="Q1223" s="1" cm="1">
        <f t="array" ref="Q1223">SUMPRODUCT(("T_C-PEV-DSL-S1"=[1]OUT_TransportEnergyCons!$A$3:$A$1000)*1,("var_fout"=[1]OUT_TransportEnergyCons!$B$3:$B$1000)*1,ISNUMBER(SEARCH("TPCAR",[1]OUT_TransportEnergyCons!$C$3:$C$1000))*1,[1]OUT_TransportEnergyCons!O$3:O$1000)</f>
        <v>8.1627684859279093E-5</v>
      </c>
      <c r="S1223" s="3"/>
    </row>
    <row r="1224" spans="2:19" x14ac:dyDescent="0.5">
      <c r="B1224" s="5" t="str">
        <f t="shared" si="1401"/>
        <v>SPS1</v>
      </c>
      <c r="C1224" s="5" t="str">
        <f t="shared" si="1402"/>
        <v>CH</v>
      </c>
      <c r="D1224" t="s">
        <v>1143</v>
      </c>
      <c r="E1224" t="str">
        <f t="shared" si="1400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2.7085359332273112E-6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1.6755544067883452E-4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5.7791299472358289E-4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1.6361412201695528E-3</v>
      </c>
      <c r="J1224" s="1" cm="1">
        <f t="array" ref="J1224">SUMPRODUCT(("T_C-PEV-DSL-S2"=[1]OUT_TransportEnergyCons!$A$3:$A$1000)*1,("var_fout"=[1]OUT_TransportEnergyCons!$B$3:$B$1000)*1,ISNUMBER(SEARCH("TPCAR",[1]OUT_TransportEnergyCons!$C$3:$C$1000))*1,[1]OUT_TransportEnergyCons!H$3:H$1000)</f>
        <v>1.5335069647532417E-3</v>
      </c>
      <c r="K1224" s="1" cm="1">
        <f t="array" ref="K1224">SUMPRODUCT(("T_C-PEV-DSL-S2"=[1]OUT_TransportEnergyCons!$A$3:$A$1000)*1,("var_fout"=[1]OUT_TransportEnergyCons!$B$3:$B$1000)*1,ISNUMBER(SEARCH("TPCAR",[1]OUT_TransportEnergyCons!$C$3:$C$1000))*1,[1]OUT_TransportEnergyCons!I$3:I$1000)</f>
        <v>8.781055418064387E-4</v>
      </c>
      <c r="L1224" s="1" cm="1">
        <f t="array" ref="L1224">SUMPRODUCT(("T_C-PEV-DSL-S2"=[1]OUT_TransportEnergyCons!$A$3:$A$1000)*1,("var_fout"=[1]OUT_TransportEnergyCons!$B$3:$B$1000)*1,ISNUMBER(SEARCH("TPCAR",[1]OUT_TransportEnergyCons!$C$3:$C$1000))*1,[1]OUT_TransportEnergyCons!J$3:J$1000)</f>
        <v>3.8098270591151269E-3</v>
      </c>
      <c r="M1224" s="1" cm="1">
        <f t="array" ref="M1224">SUMPRODUCT(("T_C-PEV-DSL-S2"=[1]OUT_TransportEnergyCons!$A$3:$A$1000)*1,("var_fout"=[1]OUT_TransportEnergyCons!$B$3:$B$1000)*1,ISNUMBER(SEARCH("TPCAR",[1]OUT_TransportEnergyCons!$C$3:$C$1000))*1,[1]OUT_TransportEnergyCons!K$3:K$1000)</f>
        <v>3.1207312034980134E-3</v>
      </c>
      <c r="N1224" s="1" cm="1">
        <f t="array" ref="N1224">SUMPRODUCT(("T_C-PEV-DSL-S2"=[1]OUT_TransportEnergyCons!$A$3:$A$1000)*1,("var_fout"=[1]OUT_TransportEnergyCons!$B$3:$B$1000)*1,ISNUMBER(SEARCH("TPCAR",[1]OUT_TransportEnergyCons!$C$3:$C$1000))*1,[1]OUT_TransportEnergyCons!L$3:L$1000)</f>
        <v>2.1818520164781957E-3</v>
      </c>
      <c r="O1224" s="1" cm="1">
        <f t="array" ref="O1224">SUMPRODUCT(("T_C-PEV-DSL-S2"=[1]OUT_TransportEnergyCons!$A$3:$A$1000)*1,("var_fout"=[1]OUT_TransportEnergyCons!$B$3:$B$1000)*1,ISNUMBER(SEARCH("TPCAR",[1]OUT_TransportEnergyCons!$C$3:$C$1000))*1,[1]OUT_TransportEnergyCons!M$3:M$1000)</f>
        <v>2.2439017611419596E-4</v>
      </c>
      <c r="P1224" s="1" cm="1">
        <f t="array" ref="P1224">SUMPRODUCT(("T_C-PEV-DSL-S2"=[1]OUT_TransportEnergyCons!$A$3:$A$1000)*1,("var_fout"=[1]OUT_TransportEnergyCons!$B$3:$B$1000)*1,ISNUMBER(SEARCH("TPCAR",[1]OUT_TransportEnergyCons!$C$3:$C$1000))*1,[1]OUT_TransportEnergyCons!N$3:N$1000)</f>
        <v>1.9951947981589546E-4</v>
      </c>
      <c r="Q1224" s="1" cm="1">
        <f t="array" ref="Q1224">SUMPRODUCT(("T_C-PEV-DSL-S2"=[1]OUT_TransportEnergyCons!$A$3:$A$1000)*1,("var_fout"=[1]OUT_TransportEnergyCons!$B$3:$B$1000)*1,ISNUMBER(SEARCH("TPCAR",[1]OUT_TransportEnergyCons!$C$3:$C$1000))*1,[1]OUT_TransportEnergyCons!O$3:O$1000)</f>
        <v>1.2863200867266526E-4</v>
      </c>
      <c r="S1224" s="3"/>
    </row>
    <row r="1225" spans="2:19" x14ac:dyDescent="0.5">
      <c r="B1225" s="5" t="str">
        <f t="shared" si="1401"/>
        <v>SPS1</v>
      </c>
      <c r="C1225" s="5" t="str">
        <f t="shared" si="1402"/>
        <v>CH</v>
      </c>
      <c r="D1225" t="s">
        <v>1144</v>
      </c>
      <c r="E1225" t="str">
        <f t="shared" si="1400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5.1916436416787788E-5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0.47539516234263507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0.98554560940698754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5.5194206636871632</v>
      </c>
      <c r="J1225" s="1" cm="1">
        <f t="array" ref="J1225">SUMPRODUCT(("T_C-PEV-DSL-S3"=[1]OUT_TransportEnergyCons!$A$3:$A$1000)*1,("var_fout"=[1]OUT_TransportEnergyCons!$B$3:$B$1000)*1,ISNUMBER(SEARCH("TPCAR",[1]OUT_TransportEnergyCons!$C$3:$C$1000))*1,[1]OUT_TransportEnergyCons!H$3:H$1000)</f>
        <v>7.6874365418466448</v>
      </c>
      <c r="K1225" s="1" cm="1">
        <f t="array" ref="K1225">SUMPRODUCT(("T_C-PEV-DSL-S3"=[1]OUT_TransportEnergyCons!$A$3:$A$1000)*1,("var_fout"=[1]OUT_TransportEnergyCons!$B$3:$B$1000)*1,ISNUMBER(SEARCH("TPCAR",[1]OUT_TransportEnergyCons!$C$3:$C$1000))*1,[1]OUT_TransportEnergyCons!I$3:I$1000)</f>
        <v>5.3287918940871082</v>
      </c>
      <c r="L1225" s="1" cm="1">
        <f t="array" ref="L1225">SUMPRODUCT(("T_C-PEV-DSL-S3"=[1]OUT_TransportEnergyCons!$A$3:$A$1000)*1,("var_fout"=[1]OUT_TransportEnergyCons!$B$3:$B$1000)*1,ISNUMBER(SEARCH("TPCAR",[1]OUT_TransportEnergyCons!$C$3:$C$1000))*1,[1]OUT_TransportEnergyCons!J$3:J$1000)</f>
        <v>5.1723473272079215</v>
      </c>
      <c r="M1225" s="1" cm="1">
        <f t="array" ref="M1225">SUMPRODUCT(("T_C-PEV-DSL-S3"=[1]OUT_TransportEnergyCons!$A$3:$A$1000)*1,("var_fout"=[1]OUT_TransportEnergyCons!$B$3:$B$1000)*1,ISNUMBER(SEARCH("TPCAR",[1]OUT_TransportEnergyCons!$C$3:$C$1000))*1,[1]OUT_TransportEnergyCons!K$3:K$1000)</f>
        <v>1.8918214523782442</v>
      </c>
      <c r="N1225" s="1" cm="1">
        <f t="array" ref="N1225">SUMPRODUCT(("T_C-PEV-DSL-S3"=[1]OUT_TransportEnergyCons!$A$3:$A$1000)*1,("var_fout"=[1]OUT_TransportEnergyCons!$B$3:$B$1000)*1,ISNUMBER(SEARCH("TPCAR",[1]OUT_TransportEnergyCons!$C$3:$C$1000))*1,[1]OUT_TransportEnergyCons!L$3:L$1000)</f>
        <v>1.2811706247418042</v>
      </c>
      <c r="O1225" s="1" cm="1">
        <f t="array" ref="O1225">SUMPRODUCT(("T_C-PEV-DSL-S3"=[1]OUT_TransportEnergyCons!$A$3:$A$1000)*1,("var_fout"=[1]OUT_TransportEnergyCons!$B$3:$B$1000)*1,ISNUMBER(SEARCH("TPCAR",[1]OUT_TransportEnergyCons!$C$3:$C$1000))*1,[1]OUT_TransportEnergyCons!M$3:M$1000)</f>
        <v>3.3100035954655618E-4</v>
      </c>
      <c r="P1225" s="1" cm="1">
        <f t="array" ref="P1225">SUMPRODUCT(("T_C-PEV-DSL-S3"=[1]OUT_TransportEnergyCons!$A$3:$A$1000)*1,("var_fout"=[1]OUT_TransportEnergyCons!$B$3:$B$1000)*1,ISNUMBER(SEARCH("TPCAR",[1]OUT_TransportEnergyCons!$C$3:$C$1000))*1,[1]OUT_TransportEnergyCons!N$3:N$1000)</f>
        <v>2.8627382319072406E-4</v>
      </c>
      <c r="Q1225" s="1" cm="1">
        <f t="array" ref="Q1225">SUMPRODUCT(("T_C-PEV-DSL-S3"=[1]OUT_TransportEnergyCons!$A$3:$A$1000)*1,("var_fout"=[1]OUT_TransportEnergyCons!$B$3:$B$1000)*1,ISNUMBER(SEARCH("TPCAR",[1]OUT_TransportEnergyCons!$C$3:$C$1000))*1,[1]OUT_TransportEnergyCons!O$3:O$1000)</f>
        <v>1.581755477100601E-4</v>
      </c>
      <c r="S1225" s="3"/>
    </row>
    <row r="1226" spans="2:19" x14ac:dyDescent="0.5">
      <c r="B1226" s="5" t="str">
        <f t="shared" si="1401"/>
        <v>SPS1</v>
      </c>
      <c r="C1226" s="5" t="str">
        <f t="shared" si="1402"/>
        <v>CH</v>
      </c>
      <c r="D1226" t="s">
        <v>1145</v>
      </c>
      <c r="E1226" t="str">
        <f t="shared" si="1400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3.1185549048336602E-3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9.2798104960641406E-3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9.4308576761812941E-3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3.2207818991038306E-2</v>
      </c>
      <c r="J1226" s="1" cm="1">
        <f t="array" ref="J1226">SUMPRODUCT(("T_C-PEV-DSL-S4"=[1]OUT_TransportEnergyCons!$A$3:$A$1000)*1,("var_fout"=[1]OUT_TransportEnergyCons!$B$3:$B$1000)*1,ISNUMBER(SEARCH("TPCAR",[1]OUT_TransportEnergyCons!$C$3:$C$1000))*1,[1]OUT_TransportEnergyCons!H$3:H$1000)</f>
        <v>2.2570706636028445E-2</v>
      </c>
      <c r="K1226" s="1" cm="1">
        <f t="array" ref="K1226">SUMPRODUCT(("T_C-PEV-DSL-S4"=[1]OUT_TransportEnergyCons!$A$3:$A$1000)*1,("var_fout"=[1]OUT_TransportEnergyCons!$B$3:$B$1000)*1,ISNUMBER(SEARCH("TPCAR",[1]OUT_TransportEnergyCons!$C$3:$C$1000))*1,[1]OUT_TransportEnergyCons!I$3:I$1000)</f>
        <v>1.1838607282353827E-2</v>
      </c>
      <c r="L1226" s="1" cm="1">
        <f t="array" ref="L1226">SUMPRODUCT(("T_C-PEV-DSL-S4"=[1]OUT_TransportEnergyCons!$A$3:$A$1000)*1,("var_fout"=[1]OUT_TransportEnergyCons!$B$3:$B$1000)*1,ISNUMBER(SEARCH("TPCAR",[1]OUT_TransportEnergyCons!$C$3:$C$1000))*1,[1]OUT_TransportEnergyCons!J$3:J$1000)</f>
        <v>7.1847727745166972E-3</v>
      </c>
      <c r="M1226" s="1" cm="1">
        <f t="array" ref="M1226">SUMPRODUCT(("T_C-PEV-DSL-S4"=[1]OUT_TransportEnergyCons!$A$3:$A$1000)*1,("var_fout"=[1]OUT_TransportEnergyCons!$B$3:$B$1000)*1,ISNUMBER(SEARCH("TPCAR",[1]OUT_TransportEnergyCons!$C$3:$C$1000))*1,[1]OUT_TransportEnergyCons!K$3:K$1000)</f>
        <v>5.8084224919181049E-3</v>
      </c>
      <c r="N1226" s="1" cm="1">
        <f t="array" ref="N1226">SUMPRODUCT(("T_C-PEV-DSL-S4"=[1]OUT_TransportEnergyCons!$A$3:$A$1000)*1,("var_fout"=[1]OUT_TransportEnergyCons!$B$3:$B$1000)*1,ISNUMBER(SEARCH("TPCAR",[1]OUT_TransportEnergyCons!$C$3:$C$1000))*1,[1]OUT_TransportEnergyCons!L$3:L$1000)</f>
        <v>0.53530142483131016</v>
      </c>
      <c r="O1226" s="1" cm="1">
        <f t="array" ref="O1226">SUMPRODUCT(("T_C-PEV-DSL-S4"=[1]OUT_TransportEnergyCons!$A$3:$A$1000)*1,("var_fout"=[1]OUT_TransportEnergyCons!$B$3:$B$1000)*1,ISNUMBER(SEARCH("TPCAR",[1]OUT_TransportEnergyCons!$C$3:$C$1000))*1,[1]OUT_TransportEnergyCons!M$3:M$1000)</f>
        <v>1.7373069502654042</v>
      </c>
      <c r="P1226" s="1" cm="1">
        <f t="array" ref="P1226">SUMPRODUCT(("T_C-PEV-DSL-S4"=[1]OUT_TransportEnergyCons!$A$3:$A$1000)*1,("var_fout"=[1]OUT_TransportEnergyCons!$B$3:$B$1000)*1,ISNUMBER(SEARCH("TPCAR",[1]OUT_TransportEnergyCons!$C$3:$C$1000))*1,[1]OUT_TransportEnergyCons!N$3:N$1000)</f>
        <v>1.6699217901938799</v>
      </c>
      <c r="Q1226" s="1" cm="1">
        <f t="array" ref="Q1226">SUMPRODUCT(("T_C-PEV-DSL-S4"=[1]OUT_TransportEnergyCons!$A$3:$A$1000)*1,("var_fout"=[1]OUT_TransportEnergyCons!$B$3:$B$1000)*1,ISNUMBER(SEARCH("TPCAR",[1]OUT_TransportEnergyCons!$C$3:$C$1000))*1,[1]OUT_TransportEnergyCons!O$3:O$1000)</f>
        <v>1.4215156317949402</v>
      </c>
      <c r="S1226" s="3"/>
    </row>
    <row r="1227" spans="2:19" x14ac:dyDescent="0.5">
      <c r="B1227" s="5" t="str">
        <f t="shared" si="1401"/>
        <v>SPS1</v>
      </c>
      <c r="C1227" s="5" t="str">
        <f t="shared" si="1402"/>
        <v>CH</v>
      </c>
      <c r="D1227" t="s">
        <v>1146</v>
      </c>
      <c r="E1227" t="str">
        <f t="shared" si="1400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7.9017225283388721E-6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9.5832216279292805E-6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1.0247006628063801E-8</v>
      </c>
      <c r="J1227" s="1" cm="1">
        <f t="array" ref="J1227">SUMPRODUCT(("T_C-FC-H2O-S1"=[1]OUT_TransportEnergyCons!$A$3:$A$1000)*1,("var_fout"=[1]OUT_TransportEnergyCons!$B$3:$B$1000)*1,ISNUMBER(SEARCH("TPCAR",[1]OUT_TransportEnergyCons!$C$3:$C$1000))*1,[1]OUT_TransportEnergyCons!H$3:H$1000)</f>
        <v>1.3971490793675259E-7</v>
      </c>
      <c r="K1227" s="1" cm="1">
        <f t="array" ref="K1227">SUMPRODUCT(("T_C-FC-H2O-S1"=[1]OUT_TransportEnergyCons!$A$3:$A$1000)*1,("var_fout"=[1]OUT_TransportEnergyCons!$B$3:$B$1000)*1,ISNUMBER(SEARCH("TPCAR",[1]OUT_TransportEnergyCons!$C$3:$C$1000))*1,[1]OUT_TransportEnergyCons!I$3:I$1000)</f>
        <v>5.2839886026962021E-7</v>
      </c>
      <c r="L1227" s="1" cm="1">
        <f t="array" ref="L1227">SUMPRODUCT(("T_C-FC-H2O-S1"=[1]OUT_TransportEnergyCons!$A$3:$A$1000)*1,("var_fout"=[1]OUT_TransportEnergyCons!$B$3:$B$1000)*1,ISNUMBER(SEARCH("TPCAR",[1]OUT_TransportEnergyCons!$C$3:$C$1000))*1,[1]OUT_TransportEnergyCons!J$3:J$1000)</f>
        <v>1.6525869470059992E-7</v>
      </c>
      <c r="M1227" s="1" cm="1">
        <f t="array" ref="M1227">SUMPRODUCT(("T_C-FC-H2O-S1"=[1]OUT_TransportEnergyCons!$A$3:$A$1000)*1,("var_fout"=[1]OUT_TransportEnergyCons!$B$3:$B$1000)*1,ISNUMBER(SEARCH("TPCAR",[1]OUT_TransportEnergyCons!$C$3:$C$1000))*1,[1]OUT_TransportEnergyCons!K$3:K$1000)</f>
        <v>1.386142559437981E-7</v>
      </c>
      <c r="N1227" s="1" cm="1">
        <f t="array" ref="N1227">SUMPRODUCT(("T_C-FC-H2O-S1"=[1]OUT_TransportEnergyCons!$A$3:$A$1000)*1,("var_fout"=[1]OUT_TransportEnergyCons!$B$3:$B$1000)*1,ISNUMBER(SEARCH("TPCAR",[1]OUT_TransportEnergyCons!$C$3:$C$1000))*1,[1]OUT_TransportEnergyCons!L$3:L$1000)</f>
        <v>2.04458729917416E-8</v>
      </c>
      <c r="O1227" s="1" cm="1">
        <f t="array" ref="O1227">SUMPRODUCT(("T_C-FC-H2O-S1"=[1]OUT_TransportEnergyCons!$A$3:$A$1000)*1,("var_fout"=[1]OUT_TransportEnergyCons!$B$3:$B$1000)*1,ISNUMBER(SEARCH("TPCAR",[1]OUT_TransportEnergyCons!$C$3:$C$1000))*1,[1]OUT_TransportEnergyCons!M$3:M$1000)</f>
        <v>2.1524011103630899E-8</v>
      </c>
      <c r="P1227" s="1" cm="1">
        <f t="array" ref="P1227">SUMPRODUCT(("T_C-FC-H2O-S1"=[1]OUT_TransportEnergyCons!$A$3:$A$1000)*1,("var_fout"=[1]OUT_TransportEnergyCons!$B$3:$B$1000)*1,ISNUMBER(SEARCH("TPCAR",[1]OUT_TransportEnergyCons!$C$3:$C$1000))*1,[1]OUT_TransportEnergyCons!N$3:N$1000)</f>
        <v>0</v>
      </c>
      <c r="Q1227" s="1" cm="1">
        <f t="array" ref="Q1227">SUMPRODUCT(("T_C-FC-H2O-S1"=[1]OUT_TransportEnergyCons!$A$3:$A$1000)*1,("var_fout"=[1]OUT_TransportEnergyCons!$B$3:$B$1000)*1,ISNUMBER(SEARCH("TPCAR",[1]OUT_TransportEnergyCons!$C$3:$C$1000))*1,[1]OUT_TransportEnergyCons!O$3:O$1000)</f>
        <v>1.1650840094285218E-6</v>
      </c>
      <c r="S1227" s="3"/>
    </row>
    <row r="1228" spans="2:19" x14ac:dyDescent="0.5">
      <c r="B1228" s="5" t="str">
        <f t="shared" si="1401"/>
        <v>SPS1</v>
      </c>
      <c r="C1228" s="5" t="str">
        <f t="shared" si="1402"/>
        <v>CH</v>
      </c>
      <c r="D1228" t="s">
        <v>1147</v>
      </c>
      <c r="E1228" t="str">
        <f t="shared" si="1400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7.2321111837221383E-5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8.6356060264262098E-5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8.3637990733162961E-5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5.0544084158515946E-7</v>
      </c>
      <c r="J1228" s="1" cm="1">
        <f t="array" ref="J1228">SUMPRODUCT(("T_C-FC-H2O-S2"=[1]OUT_TransportEnergyCons!$A$3:$A$1000)*1,("var_fout"=[1]OUT_TransportEnergyCons!$B$3:$B$1000)*1,ISNUMBER(SEARCH("TPCAR",[1]OUT_TransportEnergyCons!$C$3:$C$1000))*1,[1]OUT_TransportEnergyCons!H$3:H$1000)</f>
        <v>6.1066765034366361E-7</v>
      </c>
      <c r="K1228" s="1" cm="1">
        <f t="array" ref="K1228">SUMPRODUCT(("T_C-FC-H2O-S2"=[1]OUT_TransportEnergyCons!$A$3:$A$1000)*1,("var_fout"=[1]OUT_TransportEnergyCons!$B$3:$B$1000)*1,ISNUMBER(SEARCH("TPCAR",[1]OUT_TransportEnergyCons!$C$3:$C$1000))*1,[1]OUT_TransportEnergyCons!I$3:I$1000)</f>
        <v>5.8125619252335419E-7</v>
      </c>
      <c r="L1228" s="1" cm="1">
        <f t="array" ref="L1228">SUMPRODUCT(("T_C-FC-H2O-S2"=[1]OUT_TransportEnergyCons!$A$3:$A$1000)*1,("var_fout"=[1]OUT_TransportEnergyCons!$B$3:$B$1000)*1,ISNUMBER(SEARCH("TPCAR",[1]OUT_TransportEnergyCons!$C$3:$C$1000))*1,[1]OUT_TransportEnergyCons!J$3:J$1000)</f>
        <v>6.3283798209152554E-7</v>
      </c>
      <c r="M1228" s="1" cm="1">
        <f t="array" ref="M1228">SUMPRODUCT(("T_C-FC-H2O-S2"=[1]OUT_TransportEnergyCons!$A$3:$A$1000)*1,("var_fout"=[1]OUT_TransportEnergyCons!$B$3:$B$1000)*1,ISNUMBER(SEARCH("TPCAR",[1]OUT_TransportEnergyCons!$C$3:$C$1000))*1,[1]OUT_TransportEnergyCons!K$3:K$1000)</f>
        <v>4.9019179447106982E-7</v>
      </c>
      <c r="N1228" s="1" cm="1">
        <f t="array" ref="N1228">SUMPRODUCT(("T_C-FC-H2O-S2"=[1]OUT_TransportEnergyCons!$A$3:$A$1000)*1,("var_fout"=[1]OUT_TransportEnergyCons!$B$3:$B$1000)*1,ISNUMBER(SEARCH("TPCAR",[1]OUT_TransportEnergyCons!$C$3:$C$1000))*1,[1]OUT_TransportEnergyCons!L$3:L$1000)</f>
        <v>4.9505115672625377E-7</v>
      </c>
      <c r="O1228" s="1" cm="1">
        <f t="array" ref="O1228">SUMPRODUCT(("T_C-FC-H2O-S2"=[1]OUT_TransportEnergyCons!$A$3:$A$1000)*1,("var_fout"=[1]OUT_TransportEnergyCons!$B$3:$B$1000)*1,ISNUMBER(SEARCH("TPCAR",[1]OUT_TransportEnergyCons!$C$3:$C$1000))*1,[1]OUT_TransportEnergyCons!M$3:M$1000)</f>
        <v>7.7334844534226796E-7</v>
      </c>
      <c r="P1228" s="1" cm="1">
        <f t="array" ref="P1228">SUMPRODUCT(("T_C-FC-H2O-S2"=[1]OUT_TransportEnergyCons!$A$3:$A$1000)*1,("var_fout"=[1]OUT_TransportEnergyCons!$B$3:$B$1000)*1,ISNUMBER(SEARCH("TPCAR",[1]OUT_TransportEnergyCons!$C$3:$C$1000))*1,[1]OUT_TransportEnergyCons!N$3:N$1000)</f>
        <v>5.1502827372308408E-7</v>
      </c>
      <c r="Q1228" s="1" cm="1">
        <f t="array" ref="Q1228">SUMPRODUCT(("T_C-FC-H2O-S2"=[1]OUT_TransportEnergyCons!$A$3:$A$1000)*1,("var_fout"=[1]OUT_TransportEnergyCons!$B$3:$B$1000)*1,ISNUMBER(SEARCH("TPCAR",[1]OUT_TransportEnergyCons!$C$3:$C$1000))*1,[1]OUT_TransportEnergyCons!O$3:O$1000)</f>
        <v>2.8390158393071483E-6</v>
      </c>
      <c r="S1228" s="3"/>
    </row>
    <row r="1229" spans="2:19" x14ac:dyDescent="0.5">
      <c r="B1229" s="5" t="str">
        <f t="shared" si="1401"/>
        <v>SPS1</v>
      </c>
      <c r="C1229" s="5" t="str">
        <f t="shared" si="1402"/>
        <v>CH</v>
      </c>
      <c r="D1229" t="s">
        <v>1148</v>
      </c>
      <c r="E1229" t="str">
        <f t="shared" si="1400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6.4614259802864456E-4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1.5589427076148357E-3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1.4785616105174215E-3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9.1281239714843071E-7</v>
      </c>
      <c r="J1229" s="1" cm="1">
        <f t="array" ref="J1229">SUMPRODUCT(("T_C-FC-H2O-S3"=[1]OUT_TransportEnergyCons!$A$3:$A$1000)*1,("var_fout"=[1]OUT_TransportEnergyCons!$B$3:$B$1000)*1,ISNUMBER(SEARCH("TPCAR",[1]OUT_TransportEnergyCons!$C$3:$C$1000))*1,[1]OUT_TransportEnergyCons!H$3:H$1000)</f>
        <v>6.2817391640205119E-7</v>
      </c>
      <c r="K1229" s="1" cm="1">
        <f t="array" ref="K1229">SUMPRODUCT(("T_C-FC-H2O-S3"=[1]OUT_TransportEnergyCons!$A$3:$A$1000)*1,("var_fout"=[1]OUT_TransportEnergyCons!$B$3:$B$1000)*1,ISNUMBER(SEARCH("TPCAR",[1]OUT_TransportEnergyCons!$C$3:$C$1000))*1,[1]OUT_TransportEnergyCons!I$3:I$1000)</f>
        <v>5.1825895801301759E-7</v>
      </c>
      <c r="L1229" s="1" cm="1">
        <f t="array" ref="L1229">SUMPRODUCT(("T_C-FC-H2O-S3"=[1]OUT_TransportEnergyCons!$A$3:$A$1000)*1,("var_fout"=[1]OUT_TransportEnergyCons!$B$3:$B$1000)*1,ISNUMBER(SEARCH("TPCAR",[1]OUT_TransportEnergyCons!$C$3:$C$1000))*1,[1]OUT_TransportEnergyCons!J$3:J$1000)</f>
        <v>6.3524089918088452E-7</v>
      </c>
      <c r="M1229" s="1" cm="1">
        <f t="array" ref="M1229">SUMPRODUCT(("T_C-FC-H2O-S3"=[1]OUT_TransportEnergyCons!$A$3:$A$1000)*1,("var_fout"=[1]OUT_TransportEnergyCons!$B$3:$B$1000)*1,ISNUMBER(SEARCH("TPCAR",[1]OUT_TransportEnergyCons!$C$3:$C$1000))*1,[1]OUT_TransportEnergyCons!K$3:K$1000)</f>
        <v>5.6975002375592853E-7</v>
      </c>
      <c r="N1229" s="1" cm="1">
        <f t="array" ref="N1229">SUMPRODUCT(("T_C-FC-H2O-S3"=[1]OUT_TransportEnergyCons!$A$3:$A$1000)*1,("var_fout"=[1]OUT_TransportEnergyCons!$B$3:$B$1000)*1,ISNUMBER(SEARCH("TPCAR",[1]OUT_TransportEnergyCons!$C$3:$C$1000))*1,[1]OUT_TransportEnergyCons!L$3:L$1000)</f>
        <v>7.2989403553769424E-7</v>
      </c>
      <c r="O1229" s="1" cm="1">
        <f t="array" ref="O1229">SUMPRODUCT(("T_C-FC-H2O-S3"=[1]OUT_TransportEnergyCons!$A$3:$A$1000)*1,("var_fout"=[1]OUT_TransportEnergyCons!$B$3:$B$1000)*1,ISNUMBER(SEARCH("TPCAR",[1]OUT_TransportEnergyCons!$C$3:$C$1000))*1,[1]OUT_TransportEnergyCons!M$3:M$1000)</f>
        <v>1.0265389454729948E-6</v>
      </c>
      <c r="P1229" s="1" cm="1">
        <f t="array" ref="P1229">SUMPRODUCT(("T_C-FC-H2O-S3"=[1]OUT_TransportEnergyCons!$A$3:$A$1000)*1,("var_fout"=[1]OUT_TransportEnergyCons!$B$3:$B$1000)*1,ISNUMBER(SEARCH("TPCAR",[1]OUT_TransportEnergyCons!$C$3:$C$1000))*1,[1]OUT_TransportEnergyCons!N$3:N$1000)</f>
        <v>1.5196302089972588E-6</v>
      </c>
      <c r="Q1229" s="1" cm="1">
        <f t="array" ref="Q1229">SUMPRODUCT(("T_C-FC-H2O-S3"=[1]OUT_TransportEnergyCons!$A$3:$A$1000)*1,("var_fout"=[1]OUT_TransportEnergyCons!$B$3:$B$1000)*1,ISNUMBER(SEARCH("TPCAR",[1]OUT_TransportEnergyCons!$C$3:$C$1000))*1,[1]OUT_TransportEnergyCons!O$3:O$1000)</f>
        <v>3.5959735812261652E-6</v>
      </c>
      <c r="S1229" s="3"/>
    </row>
    <row r="1230" spans="2:19" x14ac:dyDescent="0.5">
      <c r="B1230" s="5" t="str">
        <f t="shared" si="1401"/>
        <v>SPS1</v>
      </c>
      <c r="C1230" s="5" t="str">
        <f t="shared" si="1402"/>
        <v>CH</v>
      </c>
      <c r="D1230" t="s">
        <v>1149</v>
      </c>
      <c r="E1230" t="str">
        <f t="shared" si="1400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5.7371319704169048E-6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6.8971663992923699E-6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3.6940772739891624E-7</v>
      </c>
      <c r="J1230" s="1" cm="1">
        <f t="array" ref="J1230">SUMPRODUCT(("T_C-FC-H2O-S4"=[1]OUT_TransportEnergyCons!$A$3:$A$1000)*1,("var_fout"=[1]OUT_TransportEnergyCons!$B$3:$B$1000)*1,ISNUMBER(SEARCH("TPCAR",[1]OUT_TransportEnergyCons!$C$3:$C$1000))*1,[1]OUT_TransportEnergyCons!H$3:H$1000)</f>
        <v>5.1132160544885748E-7</v>
      </c>
      <c r="K1230" s="1" cm="1">
        <f t="array" ref="K1230">SUMPRODUCT(("T_C-FC-H2O-S4"=[1]OUT_TransportEnergyCons!$A$3:$A$1000)*1,("var_fout"=[1]OUT_TransportEnergyCons!$B$3:$B$1000)*1,ISNUMBER(SEARCH("TPCAR",[1]OUT_TransportEnergyCons!$C$3:$C$1000))*1,[1]OUT_TransportEnergyCons!I$3:I$1000)</f>
        <v>5.5022402755937607E-7</v>
      </c>
      <c r="L1230" s="1" cm="1">
        <f t="array" ref="L1230">SUMPRODUCT(("T_C-FC-H2O-S4"=[1]OUT_TransportEnergyCons!$A$3:$A$1000)*1,("var_fout"=[1]OUT_TransportEnergyCons!$B$3:$B$1000)*1,ISNUMBER(SEARCH("TPCAR",[1]OUT_TransportEnergyCons!$C$3:$C$1000))*1,[1]OUT_TransportEnergyCons!J$3:J$1000)</f>
        <v>6.0768682831939198E-7</v>
      </c>
      <c r="M1230" s="1" cm="1">
        <f t="array" ref="M1230">SUMPRODUCT(("T_C-FC-H2O-S4"=[1]OUT_TransportEnergyCons!$A$3:$A$1000)*1,("var_fout"=[1]OUT_TransportEnergyCons!$B$3:$B$1000)*1,ISNUMBER(SEARCH("TPCAR",[1]OUT_TransportEnergyCons!$C$3:$C$1000))*1,[1]OUT_TransportEnergyCons!K$3:K$1000)</f>
        <v>4.1299825032686261E-7</v>
      </c>
      <c r="N1230" s="1" cm="1">
        <f t="array" ref="N1230">SUMPRODUCT(("T_C-FC-H2O-S4"=[1]OUT_TransportEnergyCons!$A$3:$A$1000)*1,("var_fout"=[1]OUT_TransportEnergyCons!$B$3:$B$1000)*1,ISNUMBER(SEARCH("TPCAR",[1]OUT_TransportEnergyCons!$C$3:$C$1000))*1,[1]OUT_TransportEnergyCons!L$3:L$1000)</f>
        <v>3.9217352612246437E-7</v>
      </c>
      <c r="O1230" s="1" cm="1">
        <f t="array" ref="O1230">SUMPRODUCT(("T_C-FC-H2O-S4"=[1]OUT_TransportEnergyCons!$A$3:$A$1000)*1,("var_fout"=[1]OUT_TransportEnergyCons!$B$3:$B$1000)*1,ISNUMBER(SEARCH("TPCAR",[1]OUT_TransportEnergyCons!$C$3:$C$1000))*1,[1]OUT_TransportEnergyCons!M$3:M$1000)</f>
        <v>5.7361710069470973E-7</v>
      </c>
      <c r="P1230" s="1" cm="1">
        <f t="array" ref="P1230">SUMPRODUCT(("T_C-FC-H2O-S4"=[1]OUT_TransportEnergyCons!$A$3:$A$1000)*1,("var_fout"=[1]OUT_TransportEnergyCons!$B$3:$B$1000)*1,ISNUMBER(SEARCH("TPCAR",[1]OUT_TransportEnergyCons!$C$3:$C$1000))*1,[1]OUT_TransportEnergyCons!N$3:N$1000)</f>
        <v>2.9865996293934379E-7</v>
      </c>
      <c r="Q1230" s="1" cm="1">
        <f t="array" ref="Q1230">SUMPRODUCT(("T_C-FC-H2O-S4"=[1]OUT_TransportEnergyCons!$A$3:$A$1000)*1,("var_fout"=[1]OUT_TransportEnergyCons!$B$3:$B$1000)*1,ISNUMBER(SEARCH("TPCAR",[1]OUT_TransportEnergyCons!$C$3:$C$1000))*1,[1]OUT_TransportEnergyCons!O$3:O$1000)</f>
        <v>2.4150043889098201E-6</v>
      </c>
      <c r="S1230" s="3"/>
    </row>
    <row r="1231" spans="2:19" x14ac:dyDescent="0.5">
      <c r="B1231" s="5" t="str">
        <f t="shared" si="1401"/>
        <v>SPS1</v>
      </c>
      <c r="C1231" s="5" t="str">
        <f t="shared" si="1402"/>
        <v>CH</v>
      </c>
      <c r="D1231" t="s">
        <v>1233</v>
      </c>
      <c r="E1231" t="str">
        <f t="shared" si="1400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0.61924778820930126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0.6276940266347304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0.48284097538317872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0.24142062232115333</v>
      </c>
      <c r="J1231" s="1" cm="1">
        <f t="array" ref="J1231">SUMPRODUCT(("T_C-HYBGSLEXT"=[1]OUT_TransportEnergyCons!$A$3:$A$1000)*1,("var_fout"=[1]OUT_TransportEnergyCons!$B$3:$B$1000)*1,ISNUMBER(SEARCH("TPCAR",[1]OUT_TransportEnergyCons!$C$3:$C$1000))*1,[1]OUT_TransportEnergyCons!H$3:H$1000)</f>
        <v>0</v>
      </c>
      <c r="K1231" s="1" cm="1">
        <f t="array" ref="K1231">SUMPRODUCT(("T_C-HYBGSLEXT"=[1]OUT_TransportEnergyCons!$A$3:$A$1000)*1,("var_fout"=[1]OUT_TransportEnergyCons!$B$3:$B$1000)*1,ISNUMBER(SEARCH("TPCAR",[1]OUT_TransportEnergyCons!$C$3:$C$1000))*1,[1]OUT_TransportEnergyCons!I$3:I$1000)</f>
        <v>0</v>
      </c>
      <c r="L1231" s="1" cm="1">
        <f t="array" ref="L1231">SUMPRODUCT(("T_C-HYBGSLEXT"=[1]OUT_TransportEnergyCons!$A$3:$A$1000)*1,("var_fout"=[1]OUT_TransportEnergyCons!$B$3:$B$1000)*1,ISNUMBER(SEARCH("TPCAR",[1]OUT_TransportEnergyCons!$C$3:$C$1000))*1,[1]OUT_TransportEnergyCons!J$3:J$1000)</f>
        <v>0</v>
      </c>
      <c r="M1231" s="1" cm="1">
        <f t="array" ref="M1231">SUMPRODUCT(("T_C-HYBGSLEXT"=[1]OUT_TransportEnergyCons!$A$3:$A$1000)*1,("var_fout"=[1]OUT_TransportEnergyCons!$B$3:$B$1000)*1,ISNUMBER(SEARCH("TPCAR",[1]OUT_TransportEnergyCons!$C$3:$C$1000))*1,[1]OUT_TransportEnergyCons!K$3:K$1000)</f>
        <v>0</v>
      </c>
      <c r="N1231" s="1" cm="1">
        <f t="array" ref="N1231">SUMPRODUCT(("T_C-HYBGSLEXT"=[1]OUT_TransportEnergyCons!$A$3:$A$1000)*1,("var_fout"=[1]OUT_TransportEnergyCons!$B$3:$B$1000)*1,ISNUMBER(SEARCH("TPCAR",[1]OUT_TransportEnergyCons!$C$3:$C$1000))*1,[1]OUT_TransportEnergyCons!L$3:L$1000)</f>
        <v>0</v>
      </c>
      <c r="O1231" s="1" cm="1">
        <f t="array" ref="O1231">SUMPRODUCT(("T_C-HYBGSLEXT"=[1]OUT_TransportEnergyCons!$A$3:$A$1000)*1,("var_fout"=[1]OUT_TransportEnergyCons!$B$3:$B$1000)*1,ISNUMBER(SEARCH("TPCAR",[1]OUT_TransportEnergyCons!$C$3:$C$1000))*1,[1]OUT_TransportEnergyCons!M$3:M$1000)</f>
        <v>0</v>
      </c>
      <c r="P1231" s="1" cm="1">
        <f t="array" ref="P1231">SUMPRODUCT(("T_C-HYBGSLEXT"=[1]OUT_TransportEnergyCons!$A$3:$A$1000)*1,("var_fout"=[1]OUT_TransportEnergyCons!$B$3:$B$1000)*1,ISNUMBER(SEARCH("TPCAR",[1]OUT_TransportEnergyCons!$C$3:$C$1000))*1,[1]OUT_TransportEnergyCons!N$3:N$1000)</f>
        <v>0</v>
      </c>
      <c r="Q1231" s="1" cm="1">
        <f t="array" ref="Q1231">SUMPRODUCT(("T_C-HYBGSLEXT"=[1]OUT_TransportEnergyCons!$A$3:$A$1000)*1,("var_fout"=[1]OUT_TransportEnergyCons!$B$3:$B$1000)*1,ISNUMBER(SEARCH("TPCAR",[1]OUT_TransportEnergyCons!$C$3:$C$1000))*1,[1]OUT_TransportEnergyCons!O$3:O$1000)</f>
        <v>0</v>
      </c>
      <c r="S1231" s="3"/>
    </row>
    <row r="1232" spans="2:19" x14ac:dyDescent="0.5">
      <c r="B1232" s="5" t="str">
        <f t="shared" si="1401"/>
        <v>SPS1</v>
      </c>
      <c r="C1232" s="5" t="str">
        <f t="shared" si="1402"/>
        <v>CH</v>
      </c>
      <c r="D1232" t="s">
        <v>1150</v>
      </c>
      <c r="E1232" t="str">
        <f t="shared" si="1400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5.255469208053816E-2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6.1872363034159966E-2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4.345114601991297E-2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3.4733913818252839E-2</v>
      </c>
      <c r="J1232" s="1" cm="1">
        <f t="array" ref="J1232">SUMPRODUCT(("T_C-HY-GSL-S1"=[1]OUT_TransportEnergyCons!$A$3:$A$1000)*1,("var_fout"=[1]OUT_TransportEnergyCons!$B$3:$B$1000)*1,ISNUMBER(SEARCH("TPCAR",[1]OUT_TransportEnergyCons!$C$3:$C$1000))*1,[1]OUT_TransportEnergyCons!H$3:H$1000)</f>
        <v>2.8296893806689476E-3</v>
      </c>
      <c r="K1232" s="1" cm="1">
        <f t="array" ref="K1232">SUMPRODUCT(("T_C-HY-GSL-S1"=[1]OUT_TransportEnergyCons!$A$3:$A$1000)*1,("var_fout"=[1]OUT_TransportEnergyCons!$B$3:$B$1000)*1,ISNUMBER(SEARCH("TPCAR",[1]OUT_TransportEnergyCons!$C$3:$C$1000))*1,[1]OUT_TransportEnergyCons!I$3:I$1000)</f>
        <v>1.3020932355066974E-4</v>
      </c>
      <c r="L1232" s="1" cm="1">
        <f t="array" ref="L1232">SUMPRODUCT(("T_C-HY-GSL-S1"=[1]OUT_TransportEnergyCons!$A$3:$A$1000)*1,("var_fout"=[1]OUT_TransportEnergyCons!$B$3:$B$1000)*1,ISNUMBER(SEARCH("TPCAR",[1]OUT_TransportEnergyCons!$C$3:$C$1000))*1,[1]OUT_TransportEnergyCons!J$3:J$1000)</f>
        <v>0</v>
      </c>
      <c r="M1232" s="1" cm="1">
        <f t="array" ref="M1232">SUMPRODUCT(("T_C-HY-GSL-S1"=[1]OUT_TransportEnergyCons!$A$3:$A$1000)*1,("var_fout"=[1]OUT_TransportEnergyCons!$B$3:$B$1000)*1,ISNUMBER(SEARCH("TPCAR",[1]OUT_TransportEnergyCons!$C$3:$C$1000))*1,[1]OUT_TransportEnergyCons!K$3:K$1000)</f>
        <v>0</v>
      </c>
      <c r="N1232" s="1" cm="1">
        <f t="array" ref="N1232">SUMPRODUCT(("T_C-HY-GSL-S1"=[1]OUT_TransportEnergyCons!$A$3:$A$1000)*1,("var_fout"=[1]OUT_TransportEnergyCons!$B$3:$B$1000)*1,ISNUMBER(SEARCH("TPCAR",[1]OUT_TransportEnergyCons!$C$3:$C$1000))*1,[1]OUT_TransportEnergyCons!L$3:L$1000)</f>
        <v>0</v>
      </c>
      <c r="O1232" s="1" cm="1">
        <f t="array" ref="O1232">SUMPRODUCT(("T_C-HY-GSL-S1"=[1]OUT_TransportEnergyCons!$A$3:$A$1000)*1,("var_fout"=[1]OUT_TransportEnergyCons!$B$3:$B$1000)*1,ISNUMBER(SEARCH("TPCAR",[1]OUT_TransportEnergyCons!$C$3:$C$1000))*1,[1]OUT_TransportEnergyCons!M$3:M$1000)</f>
        <v>0</v>
      </c>
      <c r="P1232" s="1" cm="1">
        <f t="array" ref="P1232">SUMPRODUCT(("T_C-HY-GSL-S1"=[1]OUT_TransportEnergyCons!$A$3:$A$1000)*1,("var_fout"=[1]OUT_TransportEnergyCons!$B$3:$B$1000)*1,ISNUMBER(SEARCH("TPCAR",[1]OUT_TransportEnergyCons!$C$3:$C$1000))*1,[1]OUT_TransportEnergyCons!N$3:N$1000)</f>
        <v>0</v>
      </c>
      <c r="Q1232" s="1" cm="1">
        <f t="array" ref="Q1232">SUMPRODUCT(("T_C-HY-GSL-S1"=[1]OUT_TransportEnergyCons!$A$3:$A$1000)*1,("var_fout"=[1]OUT_TransportEnergyCons!$B$3:$B$1000)*1,ISNUMBER(SEARCH("TPCAR",[1]OUT_TransportEnergyCons!$C$3:$C$1000))*1,[1]OUT_TransportEnergyCons!O$3:O$1000)</f>
        <v>0</v>
      </c>
      <c r="S1232" s="3"/>
    </row>
    <row r="1233" spans="2:19" x14ac:dyDescent="0.5">
      <c r="B1233" s="5" t="str">
        <f t="shared" si="1401"/>
        <v>SPS1</v>
      </c>
      <c r="C1233" s="5" t="str">
        <f t="shared" si="1402"/>
        <v>CH</v>
      </c>
      <c r="D1233" t="s">
        <v>1151</v>
      </c>
      <c r="E1233" t="str">
        <f t="shared" si="1400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0.22053683180322239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0.40722602628529264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1.4800566960396226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1.2777809307064911</v>
      </c>
      <c r="J1233" s="1" cm="1">
        <f t="array" ref="J1233">SUMPRODUCT(("T_C-HY-GSL-S2"=[1]OUT_TransportEnergyCons!$A$3:$A$1000)*1,("var_fout"=[1]OUT_TransportEnergyCons!$B$3:$B$1000)*1,ISNUMBER(SEARCH("TPCAR",[1]OUT_TransportEnergyCons!$C$3:$C$1000))*1,[1]OUT_TransportEnergyCons!H$3:H$1000)</f>
        <v>0.55371675000902132</v>
      </c>
      <c r="K1233" s="1" cm="1">
        <f t="array" ref="K1233">SUMPRODUCT(("T_C-HY-GSL-S2"=[1]OUT_TransportEnergyCons!$A$3:$A$1000)*1,("var_fout"=[1]OUT_TransportEnergyCons!$B$3:$B$1000)*1,ISNUMBER(SEARCH("TPCAR",[1]OUT_TransportEnergyCons!$C$3:$C$1000))*1,[1]OUT_TransportEnergyCons!I$3:I$1000)</f>
        <v>7.9729894270051394E-2</v>
      </c>
      <c r="L1233" s="1" cm="1">
        <f t="array" ref="L1233">SUMPRODUCT(("T_C-HY-GSL-S2"=[1]OUT_TransportEnergyCons!$A$3:$A$1000)*1,("var_fout"=[1]OUT_TransportEnergyCons!$B$3:$B$1000)*1,ISNUMBER(SEARCH("TPCAR",[1]OUT_TransportEnergyCons!$C$3:$C$1000))*1,[1]OUT_TransportEnergyCons!J$3:J$1000)</f>
        <v>0</v>
      </c>
      <c r="M1233" s="1" cm="1">
        <f t="array" ref="M1233">SUMPRODUCT(("T_C-HY-GSL-S2"=[1]OUT_TransportEnergyCons!$A$3:$A$1000)*1,("var_fout"=[1]OUT_TransportEnergyCons!$B$3:$B$1000)*1,ISNUMBER(SEARCH("TPCAR",[1]OUT_TransportEnergyCons!$C$3:$C$1000))*1,[1]OUT_TransportEnergyCons!K$3:K$1000)</f>
        <v>0</v>
      </c>
      <c r="N1233" s="1" cm="1">
        <f t="array" ref="N1233">SUMPRODUCT(("T_C-HY-GSL-S2"=[1]OUT_TransportEnergyCons!$A$3:$A$1000)*1,("var_fout"=[1]OUT_TransportEnergyCons!$B$3:$B$1000)*1,ISNUMBER(SEARCH("TPCAR",[1]OUT_TransportEnergyCons!$C$3:$C$1000))*1,[1]OUT_TransportEnergyCons!L$3:L$1000)</f>
        <v>0</v>
      </c>
      <c r="O1233" s="1" cm="1">
        <f t="array" ref="O1233">SUMPRODUCT(("T_C-HY-GSL-S2"=[1]OUT_TransportEnergyCons!$A$3:$A$1000)*1,("var_fout"=[1]OUT_TransportEnergyCons!$B$3:$B$1000)*1,ISNUMBER(SEARCH("TPCAR",[1]OUT_TransportEnergyCons!$C$3:$C$1000))*1,[1]OUT_TransportEnergyCons!M$3:M$1000)</f>
        <v>0</v>
      </c>
      <c r="P1233" s="1" cm="1">
        <f t="array" ref="P1233">SUMPRODUCT(("T_C-HY-GSL-S2"=[1]OUT_TransportEnergyCons!$A$3:$A$1000)*1,("var_fout"=[1]OUT_TransportEnergyCons!$B$3:$B$1000)*1,ISNUMBER(SEARCH("TPCAR",[1]OUT_TransportEnergyCons!$C$3:$C$1000))*1,[1]OUT_TransportEnergyCons!N$3:N$1000)</f>
        <v>0</v>
      </c>
      <c r="Q1233" s="1" cm="1">
        <f t="array" ref="Q1233">SUMPRODUCT(("T_C-HY-GSL-S2"=[1]OUT_TransportEnergyCons!$A$3:$A$1000)*1,("var_fout"=[1]OUT_TransportEnergyCons!$B$3:$B$1000)*1,ISNUMBER(SEARCH("TPCAR",[1]OUT_TransportEnergyCons!$C$3:$C$1000))*1,[1]OUT_TransportEnergyCons!O$3:O$1000)</f>
        <v>0</v>
      </c>
      <c r="S1233" s="3"/>
    </row>
    <row r="1234" spans="2:19" x14ac:dyDescent="0.5">
      <c r="B1234" s="5" t="str">
        <f t="shared" si="1401"/>
        <v>SPS1</v>
      </c>
      <c r="C1234" s="5" t="str">
        <f t="shared" si="1402"/>
        <v>CH</v>
      </c>
      <c r="D1234" t="s">
        <v>1152</v>
      </c>
      <c r="E1234" t="str">
        <f t="shared" si="1400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0.20230114911530134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2.7885467753708406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2.6349021904910259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2.1217228410229625</v>
      </c>
      <c r="J1234" s="1" cm="1">
        <f t="array" ref="J1234">SUMPRODUCT(("T_C-HY-GSL-S3"=[1]OUT_TransportEnergyCons!$A$3:$A$1000)*1,("var_fout"=[1]OUT_TransportEnergyCons!$B$3:$B$1000)*1,ISNUMBER(SEARCH("TPCAR",[1]OUT_TransportEnergyCons!$C$3:$C$1000))*1,[1]OUT_TransportEnergyCons!H$3:H$1000)</f>
        <v>0.6829582078088744</v>
      </c>
      <c r="K1234" s="1" cm="1">
        <f t="array" ref="K1234">SUMPRODUCT(("T_C-HY-GSL-S3"=[1]OUT_TransportEnergyCons!$A$3:$A$1000)*1,("var_fout"=[1]OUT_TransportEnergyCons!$B$3:$B$1000)*1,ISNUMBER(SEARCH("TPCAR",[1]OUT_TransportEnergyCons!$C$3:$C$1000))*1,[1]OUT_TransportEnergyCons!I$3:I$1000)</f>
        <v>4.1568738217395334E-5</v>
      </c>
      <c r="L1234" s="1" cm="1">
        <f t="array" ref="L1234">SUMPRODUCT(("T_C-HY-GSL-S3"=[1]OUT_TransportEnergyCons!$A$3:$A$1000)*1,("var_fout"=[1]OUT_TransportEnergyCons!$B$3:$B$1000)*1,ISNUMBER(SEARCH("TPCAR",[1]OUT_TransportEnergyCons!$C$3:$C$1000))*1,[1]OUT_TransportEnergyCons!J$3:J$1000)</f>
        <v>0</v>
      </c>
      <c r="M1234" s="1" cm="1">
        <f t="array" ref="M1234">SUMPRODUCT(("T_C-HY-GSL-S3"=[1]OUT_TransportEnergyCons!$A$3:$A$1000)*1,("var_fout"=[1]OUT_TransportEnergyCons!$B$3:$B$1000)*1,ISNUMBER(SEARCH("TPCAR",[1]OUT_TransportEnergyCons!$C$3:$C$1000))*1,[1]OUT_TransportEnergyCons!K$3:K$1000)</f>
        <v>0</v>
      </c>
      <c r="N1234" s="1" cm="1">
        <f t="array" ref="N1234">SUMPRODUCT(("T_C-HY-GSL-S3"=[1]OUT_TransportEnergyCons!$A$3:$A$1000)*1,("var_fout"=[1]OUT_TransportEnergyCons!$B$3:$B$1000)*1,ISNUMBER(SEARCH("TPCAR",[1]OUT_TransportEnergyCons!$C$3:$C$1000))*1,[1]OUT_TransportEnergyCons!L$3:L$1000)</f>
        <v>0</v>
      </c>
      <c r="O1234" s="1" cm="1">
        <f t="array" ref="O1234">SUMPRODUCT(("T_C-HY-GSL-S3"=[1]OUT_TransportEnergyCons!$A$3:$A$1000)*1,("var_fout"=[1]OUT_TransportEnergyCons!$B$3:$B$1000)*1,ISNUMBER(SEARCH("TPCAR",[1]OUT_TransportEnergyCons!$C$3:$C$1000))*1,[1]OUT_TransportEnergyCons!M$3:M$1000)</f>
        <v>0</v>
      </c>
      <c r="P1234" s="1" cm="1">
        <f t="array" ref="P1234">SUMPRODUCT(("T_C-HY-GSL-S3"=[1]OUT_TransportEnergyCons!$A$3:$A$1000)*1,("var_fout"=[1]OUT_TransportEnergyCons!$B$3:$B$1000)*1,ISNUMBER(SEARCH("TPCAR",[1]OUT_TransportEnergyCons!$C$3:$C$1000))*1,[1]OUT_TransportEnergyCons!N$3:N$1000)</f>
        <v>0</v>
      </c>
      <c r="Q1234" s="1" cm="1">
        <f t="array" ref="Q1234">SUMPRODUCT(("T_C-HY-GSL-S3"=[1]OUT_TransportEnergyCons!$A$3:$A$1000)*1,("var_fout"=[1]OUT_TransportEnergyCons!$B$3:$B$1000)*1,ISNUMBER(SEARCH("TPCAR",[1]OUT_TransportEnergyCons!$C$3:$C$1000))*1,[1]OUT_TransportEnergyCons!O$3:O$1000)</f>
        <v>0</v>
      </c>
      <c r="S1234" s="3"/>
    </row>
    <row r="1235" spans="2:19" x14ac:dyDescent="0.5">
      <c r="B1235" s="5" t="str">
        <f t="shared" si="1401"/>
        <v>SPS1</v>
      </c>
      <c r="C1235" s="5" t="str">
        <f t="shared" si="1402"/>
        <v>CH</v>
      </c>
      <c r="D1235" t="s">
        <v>1153</v>
      </c>
      <c r="E1235" t="str">
        <f t="shared" si="1400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0.10430748228427131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0.17911724417429664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0.17072640538850339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0.14375747560311328</v>
      </c>
      <c r="J1235" s="1" cm="1">
        <f t="array" ref="J1235">SUMPRODUCT(("T_C-HY-GSL-S4"=[1]OUT_TransportEnergyCons!$A$3:$A$1000)*1,("var_fout"=[1]OUT_TransportEnergyCons!$B$3:$B$1000)*1,ISNUMBER(SEARCH("TPCAR",[1]OUT_TransportEnergyCons!$C$3:$C$1000))*1,[1]OUT_TransportEnergyCons!H$3:H$1000)</f>
        <v>2.5080722082841997E-2</v>
      </c>
      <c r="K1235" s="1" cm="1">
        <f t="array" ref="K1235">SUMPRODUCT(("T_C-HY-GSL-S4"=[1]OUT_TransportEnergyCons!$A$3:$A$1000)*1,("var_fout"=[1]OUT_TransportEnergyCons!$B$3:$B$1000)*1,ISNUMBER(SEARCH("TPCAR",[1]OUT_TransportEnergyCons!$C$3:$C$1000))*1,[1]OUT_TransportEnergyCons!I$3:I$1000)</f>
        <v>4.1552618016357902E-5</v>
      </c>
      <c r="L1235" s="1" cm="1">
        <f t="array" ref="L1235">SUMPRODUCT(("T_C-HY-GSL-S4"=[1]OUT_TransportEnergyCons!$A$3:$A$1000)*1,("var_fout"=[1]OUT_TransportEnergyCons!$B$3:$B$1000)*1,ISNUMBER(SEARCH("TPCAR",[1]OUT_TransportEnergyCons!$C$3:$C$1000))*1,[1]OUT_TransportEnergyCons!J$3:J$1000)</f>
        <v>0</v>
      </c>
      <c r="M1235" s="1" cm="1">
        <f t="array" ref="M1235">SUMPRODUCT(("T_C-HY-GSL-S4"=[1]OUT_TransportEnergyCons!$A$3:$A$1000)*1,("var_fout"=[1]OUT_TransportEnergyCons!$B$3:$B$1000)*1,ISNUMBER(SEARCH("TPCAR",[1]OUT_TransportEnergyCons!$C$3:$C$1000))*1,[1]OUT_TransportEnergyCons!K$3:K$1000)</f>
        <v>0</v>
      </c>
      <c r="N1235" s="1" cm="1">
        <f t="array" ref="N1235">SUMPRODUCT(("T_C-HY-GSL-S4"=[1]OUT_TransportEnergyCons!$A$3:$A$1000)*1,("var_fout"=[1]OUT_TransportEnergyCons!$B$3:$B$1000)*1,ISNUMBER(SEARCH("TPCAR",[1]OUT_TransportEnergyCons!$C$3:$C$1000))*1,[1]OUT_TransportEnergyCons!L$3:L$1000)</f>
        <v>0</v>
      </c>
      <c r="O1235" s="1" cm="1">
        <f t="array" ref="O1235">SUMPRODUCT(("T_C-HY-GSL-S4"=[1]OUT_TransportEnergyCons!$A$3:$A$1000)*1,("var_fout"=[1]OUT_TransportEnergyCons!$B$3:$B$1000)*1,ISNUMBER(SEARCH("TPCAR",[1]OUT_TransportEnergyCons!$C$3:$C$1000))*1,[1]OUT_TransportEnergyCons!M$3:M$1000)</f>
        <v>0</v>
      </c>
      <c r="P1235" s="1" cm="1">
        <f t="array" ref="P1235">SUMPRODUCT(("T_C-HY-GSL-S4"=[1]OUT_TransportEnergyCons!$A$3:$A$1000)*1,("var_fout"=[1]OUT_TransportEnergyCons!$B$3:$B$1000)*1,ISNUMBER(SEARCH("TPCAR",[1]OUT_TransportEnergyCons!$C$3:$C$1000))*1,[1]OUT_TransportEnergyCons!N$3:N$1000)</f>
        <v>0</v>
      </c>
      <c r="Q1235" s="1" cm="1">
        <f t="array" ref="Q1235">SUMPRODUCT(("T_C-HY-GSL-S4"=[1]OUT_TransportEnergyCons!$A$3:$A$1000)*1,("var_fout"=[1]OUT_TransportEnergyCons!$B$3:$B$1000)*1,ISNUMBER(SEARCH("TPCAR",[1]OUT_TransportEnergyCons!$C$3:$C$1000))*1,[1]OUT_TransportEnergyCons!O$3:O$1000)</f>
        <v>0</v>
      </c>
      <c r="S1235" s="3"/>
    </row>
    <row r="1236" spans="2:19" x14ac:dyDescent="0.5">
      <c r="B1236" s="5" t="str">
        <f t="shared" si="1401"/>
        <v>SPS1</v>
      </c>
      <c r="C1236" s="5" t="str">
        <f t="shared" si="1402"/>
        <v>CH</v>
      </c>
      <c r="D1236" t="s">
        <v>1154</v>
      </c>
      <c r="E1236" t="str">
        <f t="shared" si="1400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18.302988329634282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15.894747074416385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14.77663663456369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5.6490803227117725</v>
      </c>
      <c r="J1236" s="1" cm="1">
        <f t="array" ref="J1236">SUMPRODUCT(("T_C-ICEGSLEXT"=[1]OUT_TransportEnergyCons!$A$3:$A$1000)*1,("var_fout"=[1]OUT_TransportEnergyCons!$B$3:$B$1000)*1,ISNUMBER(SEARCH("TPCAR",[1]OUT_TransportEnergyCons!$C$3:$C$1000))*1,[1]OUT_TransportEnergyCons!H$3:H$1000)</f>
        <v>0</v>
      </c>
      <c r="K1236" s="1" cm="1">
        <f t="array" ref="K1236">SUMPRODUCT(("T_C-ICEGSLEXT"=[1]OUT_TransportEnergyCons!$A$3:$A$1000)*1,("var_fout"=[1]OUT_TransportEnergyCons!$B$3:$B$1000)*1,ISNUMBER(SEARCH("TPCAR",[1]OUT_TransportEnergyCons!$C$3:$C$1000))*1,[1]OUT_TransportEnergyCons!I$3:I$1000)</f>
        <v>0</v>
      </c>
      <c r="L1236" s="1" cm="1">
        <f t="array" ref="L1236">SUMPRODUCT(("T_C-ICEGSLEXT"=[1]OUT_TransportEnergyCons!$A$3:$A$1000)*1,("var_fout"=[1]OUT_TransportEnergyCons!$B$3:$B$1000)*1,ISNUMBER(SEARCH("TPCAR",[1]OUT_TransportEnergyCons!$C$3:$C$1000))*1,[1]OUT_TransportEnergyCons!J$3:J$1000)</f>
        <v>0</v>
      </c>
      <c r="M1236" s="1" cm="1">
        <f t="array" ref="M1236">SUMPRODUCT(("T_C-ICEGSLEXT"=[1]OUT_TransportEnergyCons!$A$3:$A$1000)*1,("var_fout"=[1]OUT_TransportEnergyCons!$B$3:$B$1000)*1,ISNUMBER(SEARCH("TPCAR",[1]OUT_TransportEnergyCons!$C$3:$C$1000))*1,[1]OUT_TransportEnergyCons!K$3:K$1000)</f>
        <v>0</v>
      </c>
      <c r="N1236" s="1" cm="1">
        <f t="array" ref="N1236">SUMPRODUCT(("T_C-ICEGSLEXT"=[1]OUT_TransportEnergyCons!$A$3:$A$1000)*1,("var_fout"=[1]OUT_TransportEnergyCons!$B$3:$B$1000)*1,ISNUMBER(SEARCH("TPCAR",[1]OUT_TransportEnergyCons!$C$3:$C$1000))*1,[1]OUT_TransportEnergyCons!L$3:L$1000)</f>
        <v>0</v>
      </c>
      <c r="O1236" s="1" cm="1">
        <f t="array" ref="O1236">SUMPRODUCT(("T_C-ICEGSLEXT"=[1]OUT_TransportEnergyCons!$A$3:$A$1000)*1,("var_fout"=[1]OUT_TransportEnergyCons!$B$3:$B$1000)*1,ISNUMBER(SEARCH("TPCAR",[1]OUT_TransportEnergyCons!$C$3:$C$1000))*1,[1]OUT_TransportEnergyCons!M$3:M$1000)</f>
        <v>0</v>
      </c>
      <c r="P1236" s="1" cm="1">
        <f t="array" ref="P1236">SUMPRODUCT(("T_C-ICEGSLEXT"=[1]OUT_TransportEnergyCons!$A$3:$A$1000)*1,("var_fout"=[1]OUT_TransportEnergyCons!$B$3:$B$1000)*1,ISNUMBER(SEARCH("TPCAR",[1]OUT_TransportEnergyCons!$C$3:$C$1000))*1,[1]OUT_TransportEnergyCons!N$3:N$1000)</f>
        <v>0</v>
      </c>
      <c r="Q1236" s="1" cm="1">
        <f t="array" ref="Q1236">SUMPRODUCT(("T_C-ICEGSLEXT"=[1]OUT_TransportEnergyCons!$A$3:$A$1000)*1,("var_fout"=[1]OUT_TransportEnergyCons!$B$3:$B$1000)*1,ISNUMBER(SEARCH("TPCAR",[1]OUT_TransportEnergyCons!$C$3:$C$1000))*1,[1]OUT_TransportEnergyCons!O$3:O$1000)</f>
        <v>0</v>
      </c>
      <c r="S1236" s="3"/>
    </row>
    <row r="1237" spans="2:19" x14ac:dyDescent="0.5">
      <c r="B1237" s="5" t="str">
        <f t="shared" si="1401"/>
        <v>SPS1</v>
      </c>
      <c r="C1237" s="5" t="str">
        <f t="shared" si="1402"/>
        <v>CH</v>
      </c>
      <c r="D1237" t="s">
        <v>1155</v>
      </c>
      <c r="E1237" t="str">
        <f t="shared" si="1400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0.33858398566874615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0.37225101609813488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0.84955576739885563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0.7177716776335451</v>
      </c>
      <c r="J1237" s="1" cm="1">
        <f t="array" ref="J1237">SUMPRODUCT(("T_C-ICE-GSL-S1"=[1]OUT_TransportEnergyCons!$A$3:$A$1000)*1,("var_fout"=[1]OUT_TransportEnergyCons!$B$3:$B$1000)*1,ISNUMBER(SEARCH("TPCAR",[1]OUT_TransportEnergyCons!$C$3:$C$1000))*1,[1]OUT_TransportEnergyCons!H$3:H$1000)</f>
        <v>0.37933621367634879</v>
      </c>
      <c r="K1237" s="1" cm="1">
        <f t="array" ref="K1237">SUMPRODUCT(("T_C-ICE-GSL-S1"=[1]OUT_TransportEnergyCons!$A$3:$A$1000)*1,("var_fout"=[1]OUT_TransportEnergyCons!$B$3:$B$1000)*1,ISNUMBER(SEARCH("TPCAR",[1]OUT_TransportEnergyCons!$C$3:$C$1000))*1,[1]OUT_TransportEnergyCons!I$3:I$1000)</f>
        <v>5.9387808570030544E-2</v>
      </c>
      <c r="L1237" s="1" cm="1">
        <f t="array" ref="L1237">SUMPRODUCT(("T_C-ICE-GSL-S1"=[1]OUT_TransportEnergyCons!$A$3:$A$1000)*1,("var_fout"=[1]OUT_TransportEnergyCons!$B$3:$B$1000)*1,ISNUMBER(SEARCH("TPCAR",[1]OUT_TransportEnergyCons!$C$3:$C$1000))*1,[1]OUT_TransportEnergyCons!J$3:J$1000)</f>
        <v>0</v>
      </c>
      <c r="M1237" s="1" cm="1">
        <f t="array" ref="M1237">SUMPRODUCT(("T_C-ICE-GSL-S1"=[1]OUT_TransportEnergyCons!$A$3:$A$1000)*1,("var_fout"=[1]OUT_TransportEnergyCons!$B$3:$B$1000)*1,ISNUMBER(SEARCH("TPCAR",[1]OUT_TransportEnergyCons!$C$3:$C$1000))*1,[1]OUT_TransportEnergyCons!K$3:K$1000)</f>
        <v>0</v>
      </c>
      <c r="N1237" s="1" cm="1">
        <f t="array" ref="N1237">SUMPRODUCT(("T_C-ICE-GSL-S1"=[1]OUT_TransportEnergyCons!$A$3:$A$1000)*1,("var_fout"=[1]OUT_TransportEnergyCons!$B$3:$B$1000)*1,ISNUMBER(SEARCH("TPCAR",[1]OUT_TransportEnergyCons!$C$3:$C$1000))*1,[1]OUT_TransportEnergyCons!L$3:L$1000)</f>
        <v>0</v>
      </c>
      <c r="O1237" s="1" cm="1">
        <f t="array" ref="O1237">SUMPRODUCT(("T_C-ICE-GSL-S1"=[1]OUT_TransportEnergyCons!$A$3:$A$1000)*1,("var_fout"=[1]OUT_TransportEnergyCons!$B$3:$B$1000)*1,ISNUMBER(SEARCH("TPCAR",[1]OUT_TransportEnergyCons!$C$3:$C$1000))*1,[1]OUT_TransportEnergyCons!M$3:M$1000)</f>
        <v>0</v>
      </c>
      <c r="P1237" s="1" cm="1">
        <f t="array" ref="P1237">SUMPRODUCT(("T_C-ICE-GSL-S1"=[1]OUT_TransportEnergyCons!$A$3:$A$1000)*1,("var_fout"=[1]OUT_TransportEnergyCons!$B$3:$B$1000)*1,ISNUMBER(SEARCH("TPCAR",[1]OUT_TransportEnergyCons!$C$3:$C$1000))*1,[1]OUT_TransportEnergyCons!N$3:N$1000)</f>
        <v>0</v>
      </c>
      <c r="Q1237" s="1" cm="1">
        <f t="array" ref="Q1237">SUMPRODUCT(("T_C-ICE-GSL-S1"=[1]OUT_TransportEnergyCons!$A$3:$A$1000)*1,("var_fout"=[1]OUT_TransportEnergyCons!$B$3:$B$1000)*1,ISNUMBER(SEARCH("TPCAR",[1]OUT_TransportEnergyCons!$C$3:$C$1000))*1,[1]OUT_TransportEnergyCons!O$3:O$1000)</f>
        <v>0</v>
      </c>
      <c r="S1237" s="3"/>
    </row>
    <row r="1238" spans="2:19" x14ac:dyDescent="0.5">
      <c r="B1238" s="5" t="str">
        <f t="shared" si="1401"/>
        <v>SPS1</v>
      </c>
      <c r="C1238" s="5" t="str">
        <f t="shared" si="1402"/>
        <v>CH</v>
      </c>
      <c r="D1238" t="s">
        <v>1156</v>
      </c>
      <c r="E1238" t="str">
        <f t="shared" si="1400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2.2833380765151952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3.2077521920703935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2.6774331250504426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2.5023917431295168</v>
      </c>
      <c r="J1238" s="1" cm="1">
        <f t="array" ref="J1238">SUMPRODUCT(("T_C-ICE-GSL-S2"=[1]OUT_TransportEnergyCons!$A$3:$A$1000)*1,("var_fout"=[1]OUT_TransportEnergyCons!$B$3:$B$1000)*1,ISNUMBER(SEARCH("TPCAR",[1]OUT_TransportEnergyCons!$C$3:$C$1000))*1,[1]OUT_TransportEnergyCons!H$3:H$1000)</f>
        <v>9.9370843646661516E-2</v>
      </c>
      <c r="K1238" s="1" cm="1">
        <f t="array" ref="K1238">SUMPRODUCT(("T_C-ICE-GSL-S2"=[1]OUT_TransportEnergyCons!$A$3:$A$1000)*1,("var_fout"=[1]OUT_TransportEnergyCons!$B$3:$B$1000)*1,ISNUMBER(SEARCH("TPCAR",[1]OUT_TransportEnergyCons!$C$3:$C$1000))*1,[1]OUT_TransportEnergyCons!I$3:I$1000)</f>
        <v>3.6412773862401244E-4</v>
      </c>
      <c r="L1238" s="1" cm="1">
        <f t="array" ref="L1238">SUMPRODUCT(("T_C-ICE-GSL-S2"=[1]OUT_TransportEnergyCons!$A$3:$A$1000)*1,("var_fout"=[1]OUT_TransportEnergyCons!$B$3:$B$1000)*1,ISNUMBER(SEARCH("TPCAR",[1]OUT_TransportEnergyCons!$C$3:$C$1000))*1,[1]OUT_TransportEnergyCons!J$3:J$1000)</f>
        <v>0</v>
      </c>
      <c r="M1238" s="1" cm="1">
        <f t="array" ref="M1238">SUMPRODUCT(("T_C-ICE-GSL-S2"=[1]OUT_TransportEnergyCons!$A$3:$A$1000)*1,("var_fout"=[1]OUT_TransportEnergyCons!$B$3:$B$1000)*1,ISNUMBER(SEARCH("TPCAR",[1]OUT_TransportEnergyCons!$C$3:$C$1000))*1,[1]OUT_TransportEnergyCons!K$3:K$1000)</f>
        <v>0</v>
      </c>
      <c r="N1238" s="1" cm="1">
        <f t="array" ref="N1238">SUMPRODUCT(("T_C-ICE-GSL-S2"=[1]OUT_TransportEnergyCons!$A$3:$A$1000)*1,("var_fout"=[1]OUT_TransportEnergyCons!$B$3:$B$1000)*1,ISNUMBER(SEARCH("TPCAR",[1]OUT_TransportEnergyCons!$C$3:$C$1000))*1,[1]OUT_TransportEnergyCons!L$3:L$1000)</f>
        <v>0</v>
      </c>
      <c r="O1238" s="1" cm="1">
        <f t="array" ref="O1238">SUMPRODUCT(("T_C-ICE-GSL-S2"=[1]OUT_TransportEnergyCons!$A$3:$A$1000)*1,("var_fout"=[1]OUT_TransportEnergyCons!$B$3:$B$1000)*1,ISNUMBER(SEARCH("TPCAR",[1]OUT_TransportEnergyCons!$C$3:$C$1000))*1,[1]OUT_TransportEnergyCons!M$3:M$1000)</f>
        <v>0</v>
      </c>
      <c r="P1238" s="1" cm="1">
        <f t="array" ref="P1238">SUMPRODUCT(("T_C-ICE-GSL-S2"=[1]OUT_TransportEnergyCons!$A$3:$A$1000)*1,("var_fout"=[1]OUT_TransportEnergyCons!$B$3:$B$1000)*1,ISNUMBER(SEARCH("TPCAR",[1]OUT_TransportEnergyCons!$C$3:$C$1000))*1,[1]OUT_TransportEnergyCons!N$3:N$1000)</f>
        <v>0</v>
      </c>
      <c r="Q1238" s="1" cm="1">
        <f t="array" ref="Q1238">SUMPRODUCT(("T_C-ICE-GSL-S2"=[1]OUT_TransportEnergyCons!$A$3:$A$1000)*1,("var_fout"=[1]OUT_TransportEnergyCons!$B$3:$B$1000)*1,ISNUMBER(SEARCH("TPCAR",[1]OUT_TransportEnergyCons!$C$3:$C$1000))*1,[1]OUT_TransportEnergyCons!O$3:O$1000)</f>
        <v>0</v>
      </c>
      <c r="S1238" s="3"/>
    </row>
    <row r="1239" spans="2:19" x14ac:dyDescent="0.5">
      <c r="B1239" s="5" t="str">
        <f t="shared" si="1401"/>
        <v>SPS1</v>
      </c>
      <c r="C1239" s="5" t="str">
        <f t="shared" si="1402"/>
        <v>CH</v>
      </c>
      <c r="D1239" t="s">
        <v>1157</v>
      </c>
      <c r="E1239" t="str">
        <f t="shared" si="1400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1.9476495604258284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2.9621708743219863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3.6177287819625894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2.9847922237963336</v>
      </c>
      <c r="J1239" s="1" cm="1">
        <f t="array" ref="J1239">SUMPRODUCT(("T_C-ICE-GSL-S3"=[1]OUT_TransportEnergyCons!$A$3:$A$1000)*1,("var_fout"=[1]OUT_TransportEnergyCons!$B$3:$B$1000)*1,ISNUMBER(SEARCH("TPCAR",[1]OUT_TransportEnergyCons!$C$3:$C$1000))*1,[1]OUT_TransportEnergyCons!H$3:H$1000)</f>
        <v>0.57300993143640044</v>
      </c>
      <c r="K1239" s="1" cm="1">
        <f t="array" ref="K1239">SUMPRODUCT(("T_C-ICE-GSL-S3"=[1]OUT_TransportEnergyCons!$A$3:$A$1000)*1,("var_fout"=[1]OUT_TransportEnergyCons!$B$3:$B$1000)*1,ISNUMBER(SEARCH("TPCAR",[1]OUT_TransportEnergyCons!$C$3:$C$1000))*1,[1]OUT_TransportEnergyCons!I$3:I$1000)</f>
        <v>7.0318830772772317E-2</v>
      </c>
      <c r="L1239" s="1" cm="1">
        <f t="array" ref="L1239">SUMPRODUCT(("T_C-ICE-GSL-S3"=[1]OUT_TransportEnergyCons!$A$3:$A$1000)*1,("var_fout"=[1]OUT_TransportEnergyCons!$B$3:$B$1000)*1,ISNUMBER(SEARCH("TPCAR",[1]OUT_TransportEnergyCons!$C$3:$C$1000))*1,[1]OUT_TransportEnergyCons!J$3:J$1000)</f>
        <v>0</v>
      </c>
      <c r="M1239" s="1" cm="1">
        <f t="array" ref="M1239">SUMPRODUCT(("T_C-ICE-GSL-S3"=[1]OUT_TransportEnergyCons!$A$3:$A$1000)*1,("var_fout"=[1]OUT_TransportEnergyCons!$B$3:$B$1000)*1,ISNUMBER(SEARCH("TPCAR",[1]OUT_TransportEnergyCons!$C$3:$C$1000))*1,[1]OUT_TransportEnergyCons!K$3:K$1000)</f>
        <v>0</v>
      </c>
      <c r="N1239" s="1" cm="1">
        <f t="array" ref="N1239">SUMPRODUCT(("T_C-ICE-GSL-S3"=[1]OUT_TransportEnergyCons!$A$3:$A$1000)*1,("var_fout"=[1]OUT_TransportEnergyCons!$B$3:$B$1000)*1,ISNUMBER(SEARCH("TPCAR",[1]OUT_TransportEnergyCons!$C$3:$C$1000))*1,[1]OUT_TransportEnergyCons!L$3:L$1000)</f>
        <v>0</v>
      </c>
      <c r="O1239" s="1" cm="1">
        <f t="array" ref="O1239">SUMPRODUCT(("T_C-ICE-GSL-S3"=[1]OUT_TransportEnergyCons!$A$3:$A$1000)*1,("var_fout"=[1]OUT_TransportEnergyCons!$B$3:$B$1000)*1,ISNUMBER(SEARCH("TPCAR",[1]OUT_TransportEnergyCons!$C$3:$C$1000))*1,[1]OUT_TransportEnergyCons!M$3:M$1000)</f>
        <v>0</v>
      </c>
      <c r="P1239" s="1" cm="1">
        <f t="array" ref="P1239">SUMPRODUCT(("T_C-ICE-GSL-S3"=[1]OUT_TransportEnergyCons!$A$3:$A$1000)*1,("var_fout"=[1]OUT_TransportEnergyCons!$B$3:$B$1000)*1,ISNUMBER(SEARCH("TPCAR",[1]OUT_TransportEnergyCons!$C$3:$C$1000))*1,[1]OUT_TransportEnergyCons!N$3:N$1000)</f>
        <v>0</v>
      </c>
      <c r="Q1239" s="1" cm="1">
        <f t="array" ref="Q1239">SUMPRODUCT(("T_C-ICE-GSL-S3"=[1]OUT_TransportEnergyCons!$A$3:$A$1000)*1,("var_fout"=[1]OUT_TransportEnergyCons!$B$3:$B$1000)*1,ISNUMBER(SEARCH("TPCAR",[1]OUT_TransportEnergyCons!$C$3:$C$1000))*1,[1]OUT_TransportEnergyCons!O$3:O$1000)</f>
        <v>0</v>
      </c>
      <c r="S1239" s="3"/>
    </row>
    <row r="1240" spans="2:19" x14ac:dyDescent="0.5">
      <c r="B1240" s="5" t="str">
        <f t="shared" si="1401"/>
        <v>SPS1</v>
      </c>
      <c r="C1240" s="5" t="str">
        <f t="shared" si="1402"/>
        <v>CH</v>
      </c>
      <c r="D1240" t="s">
        <v>1158</v>
      </c>
      <c r="E1240" t="str">
        <f t="shared" si="1400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1.7118742561433353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2.2767671227598751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4.8088929843701544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4.0597470952534556</v>
      </c>
      <c r="J1240" s="1" cm="1">
        <f t="array" ref="J1240">SUMPRODUCT(("T_C-ICE-GSL-S4"=[1]OUT_TransportEnergyCons!$A$3:$A$1000)*1,("var_fout"=[1]OUT_TransportEnergyCons!$B$3:$B$1000)*1,ISNUMBER(SEARCH("TPCAR",[1]OUT_TransportEnergyCons!$C$3:$C$1000))*1,[1]OUT_TransportEnergyCons!H$3:H$1000)</f>
        <v>1.6911419347042789</v>
      </c>
      <c r="K1240" s="1" cm="1">
        <f t="array" ref="K1240">SUMPRODUCT(("T_C-ICE-GSL-S4"=[1]OUT_TransportEnergyCons!$A$3:$A$1000)*1,("var_fout"=[1]OUT_TransportEnergyCons!$B$3:$B$1000)*1,ISNUMBER(SEARCH("TPCAR",[1]OUT_TransportEnergyCons!$C$3:$C$1000))*1,[1]OUT_TransportEnergyCons!I$3:I$1000)</f>
        <v>0.18847507485838319</v>
      </c>
      <c r="L1240" s="1" cm="1">
        <f t="array" ref="L1240">SUMPRODUCT(("T_C-ICE-GSL-S4"=[1]OUT_TransportEnergyCons!$A$3:$A$1000)*1,("var_fout"=[1]OUT_TransportEnergyCons!$B$3:$B$1000)*1,ISNUMBER(SEARCH("TPCAR",[1]OUT_TransportEnergyCons!$C$3:$C$1000))*1,[1]OUT_TransportEnergyCons!J$3:J$1000)</f>
        <v>0</v>
      </c>
      <c r="M1240" s="1" cm="1">
        <f t="array" ref="M1240">SUMPRODUCT(("T_C-ICE-GSL-S4"=[1]OUT_TransportEnergyCons!$A$3:$A$1000)*1,("var_fout"=[1]OUT_TransportEnergyCons!$B$3:$B$1000)*1,ISNUMBER(SEARCH("TPCAR",[1]OUT_TransportEnergyCons!$C$3:$C$1000))*1,[1]OUT_TransportEnergyCons!K$3:K$1000)</f>
        <v>0</v>
      </c>
      <c r="N1240" s="1" cm="1">
        <f t="array" ref="N1240">SUMPRODUCT(("T_C-ICE-GSL-S4"=[1]OUT_TransportEnergyCons!$A$3:$A$1000)*1,("var_fout"=[1]OUT_TransportEnergyCons!$B$3:$B$1000)*1,ISNUMBER(SEARCH("TPCAR",[1]OUT_TransportEnergyCons!$C$3:$C$1000))*1,[1]OUT_TransportEnergyCons!L$3:L$1000)</f>
        <v>0</v>
      </c>
      <c r="O1240" s="1" cm="1">
        <f t="array" ref="O1240">SUMPRODUCT(("T_C-ICE-GSL-S4"=[1]OUT_TransportEnergyCons!$A$3:$A$1000)*1,("var_fout"=[1]OUT_TransportEnergyCons!$B$3:$B$1000)*1,ISNUMBER(SEARCH("TPCAR",[1]OUT_TransportEnergyCons!$C$3:$C$1000))*1,[1]OUT_TransportEnergyCons!M$3:M$1000)</f>
        <v>0</v>
      </c>
      <c r="P1240" s="1" cm="1">
        <f t="array" ref="P1240">SUMPRODUCT(("T_C-ICE-GSL-S4"=[1]OUT_TransportEnergyCons!$A$3:$A$1000)*1,("var_fout"=[1]OUT_TransportEnergyCons!$B$3:$B$1000)*1,ISNUMBER(SEARCH("TPCAR",[1]OUT_TransportEnergyCons!$C$3:$C$1000))*1,[1]OUT_TransportEnergyCons!N$3:N$1000)</f>
        <v>0</v>
      </c>
      <c r="Q1240" s="1" cm="1">
        <f t="array" ref="Q1240">SUMPRODUCT(("T_C-ICE-GSL-S4"=[1]OUT_TransportEnergyCons!$A$3:$A$1000)*1,("var_fout"=[1]OUT_TransportEnergyCons!$B$3:$B$1000)*1,ISNUMBER(SEARCH("TPCAR",[1]OUT_TransportEnergyCons!$C$3:$C$1000))*1,[1]OUT_TransportEnergyCons!O$3:O$1000)</f>
        <v>0</v>
      </c>
      <c r="S1240" s="3"/>
    </row>
    <row r="1241" spans="2:19" x14ac:dyDescent="0.5">
      <c r="B1241" s="5" t="str">
        <f t="shared" si="1401"/>
        <v>SPS1</v>
      </c>
      <c r="C1241" s="5" t="str">
        <f t="shared" si="1402"/>
        <v>CH</v>
      </c>
      <c r="D1241" t="s">
        <v>1159</v>
      </c>
      <c r="E1241" t="str">
        <f t="shared" si="1400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6.4470125053477594E-5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2.5765550744000264E-4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3.2876574314513756E-4</v>
      </c>
      <c r="J1241" s="1" cm="1">
        <f t="array" ref="J1241">SUMPRODUCT(("T_C-MHY-GSL-S1"=[1]OUT_TransportEnergyCons!$A$3:$A$1000)*1,("var_fout"=[1]OUT_TransportEnergyCons!$B$3:$B$1000)*1,ISNUMBER(SEARCH("TPCAR",[1]OUT_TransportEnergyCons!$C$3:$C$1000))*1,[1]OUT_TransportEnergyCons!H$3:H$1000)</f>
        <v>2.3430838827416425E-4</v>
      </c>
      <c r="K1241" s="1" cm="1">
        <f t="array" ref="K1241">SUMPRODUCT(("T_C-MHY-GSL-S1"=[1]OUT_TransportEnergyCons!$A$3:$A$1000)*1,("var_fout"=[1]OUT_TransportEnergyCons!$B$3:$B$1000)*1,ISNUMBER(SEARCH("TPCAR",[1]OUT_TransportEnergyCons!$C$3:$C$1000))*1,[1]OUT_TransportEnergyCons!I$3:I$1000)</f>
        <v>7.5401946148293683E-5</v>
      </c>
      <c r="L1241" s="1" cm="1">
        <f t="array" ref="L1241">SUMPRODUCT(("T_C-MHY-GSL-S1"=[1]OUT_TransportEnergyCons!$A$3:$A$1000)*1,("var_fout"=[1]OUT_TransportEnergyCons!$B$3:$B$1000)*1,ISNUMBER(SEARCH("TPCAR",[1]OUT_TransportEnergyCons!$C$3:$C$1000))*1,[1]OUT_TransportEnergyCons!J$3:J$1000)</f>
        <v>0</v>
      </c>
      <c r="M1241" s="1" cm="1">
        <f t="array" ref="M1241">SUMPRODUCT(("T_C-MHY-GSL-S1"=[1]OUT_TransportEnergyCons!$A$3:$A$1000)*1,("var_fout"=[1]OUT_TransportEnergyCons!$B$3:$B$1000)*1,ISNUMBER(SEARCH("TPCAR",[1]OUT_TransportEnergyCons!$C$3:$C$1000))*1,[1]OUT_TransportEnergyCons!K$3:K$1000)</f>
        <v>0</v>
      </c>
      <c r="N1241" s="1" cm="1">
        <f t="array" ref="N1241">SUMPRODUCT(("T_C-MHY-GSL-S1"=[1]OUT_TransportEnergyCons!$A$3:$A$1000)*1,("var_fout"=[1]OUT_TransportEnergyCons!$B$3:$B$1000)*1,ISNUMBER(SEARCH("TPCAR",[1]OUT_TransportEnergyCons!$C$3:$C$1000))*1,[1]OUT_TransportEnergyCons!L$3:L$1000)</f>
        <v>0</v>
      </c>
      <c r="O1241" s="1" cm="1">
        <f t="array" ref="O1241">SUMPRODUCT(("T_C-MHY-GSL-S1"=[1]OUT_TransportEnergyCons!$A$3:$A$1000)*1,("var_fout"=[1]OUT_TransportEnergyCons!$B$3:$B$1000)*1,ISNUMBER(SEARCH("TPCAR",[1]OUT_TransportEnergyCons!$C$3:$C$1000))*1,[1]OUT_TransportEnergyCons!M$3:M$1000)</f>
        <v>0</v>
      </c>
      <c r="P1241" s="1" cm="1">
        <f t="array" ref="P1241">SUMPRODUCT(("T_C-MHY-GSL-S1"=[1]OUT_TransportEnergyCons!$A$3:$A$1000)*1,("var_fout"=[1]OUT_TransportEnergyCons!$B$3:$B$1000)*1,ISNUMBER(SEARCH("TPCAR",[1]OUT_TransportEnergyCons!$C$3:$C$1000))*1,[1]OUT_TransportEnergyCons!N$3:N$1000)</f>
        <v>0</v>
      </c>
      <c r="Q1241" s="1" cm="1">
        <f t="array" ref="Q1241">SUMPRODUCT(("T_C-MHY-GSL-S1"=[1]OUT_TransportEnergyCons!$A$3:$A$1000)*1,("var_fout"=[1]OUT_TransportEnergyCons!$B$3:$B$1000)*1,ISNUMBER(SEARCH("TPCAR",[1]OUT_TransportEnergyCons!$C$3:$C$1000))*1,[1]OUT_TransportEnergyCons!O$3:O$1000)</f>
        <v>0</v>
      </c>
      <c r="S1241" s="3"/>
    </row>
    <row r="1242" spans="2:19" x14ac:dyDescent="0.5">
      <c r="B1242" s="5" t="str">
        <f t="shared" si="1401"/>
        <v>SPS1</v>
      </c>
      <c r="C1242" s="5" t="str">
        <f t="shared" si="1402"/>
        <v>CH</v>
      </c>
      <c r="D1242" t="s">
        <v>1160</v>
      </c>
      <c r="E1242" t="str">
        <f t="shared" si="1400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4.7880170849066024E-5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2.063339513174718E-4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2.9756610269718022E-4</v>
      </c>
      <c r="J1242" s="1" cm="1">
        <f t="array" ref="J1242">SUMPRODUCT(("T_C-MHY-GSL-S2"=[1]OUT_TransportEnergyCons!$A$3:$A$1000)*1,("var_fout"=[1]OUT_TransportEnergyCons!$B$3:$B$1000)*1,ISNUMBER(SEARCH("TPCAR",[1]OUT_TransportEnergyCons!$C$3:$C$1000))*1,[1]OUT_TransportEnergyCons!H$3:H$1000)</f>
        <v>2.0441097028119608E-4</v>
      </c>
      <c r="K1242" s="1" cm="1">
        <f t="array" ref="K1242">SUMPRODUCT(("T_C-MHY-GSL-S2"=[1]OUT_TransportEnergyCons!$A$3:$A$1000)*1,("var_fout"=[1]OUT_TransportEnergyCons!$B$3:$B$1000)*1,ISNUMBER(SEARCH("TPCAR",[1]OUT_TransportEnergyCons!$C$3:$C$1000))*1,[1]OUT_TransportEnergyCons!I$3:I$1000)</f>
        <v>7.1463715741378725E-5</v>
      </c>
      <c r="L1242" s="1" cm="1">
        <f t="array" ref="L1242">SUMPRODUCT(("T_C-MHY-GSL-S2"=[1]OUT_TransportEnergyCons!$A$3:$A$1000)*1,("var_fout"=[1]OUT_TransportEnergyCons!$B$3:$B$1000)*1,ISNUMBER(SEARCH("TPCAR",[1]OUT_TransportEnergyCons!$C$3:$C$1000))*1,[1]OUT_TransportEnergyCons!J$3:J$1000)</f>
        <v>0</v>
      </c>
      <c r="M1242" s="1" cm="1">
        <f t="array" ref="M1242">SUMPRODUCT(("T_C-MHY-GSL-S2"=[1]OUT_TransportEnergyCons!$A$3:$A$1000)*1,("var_fout"=[1]OUT_TransportEnergyCons!$B$3:$B$1000)*1,ISNUMBER(SEARCH("TPCAR",[1]OUT_TransportEnergyCons!$C$3:$C$1000))*1,[1]OUT_TransportEnergyCons!K$3:K$1000)</f>
        <v>0</v>
      </c>
      <c r="N1242" s="1" cm="1">
        <f t="array" ref="N1242">SUMPRODUCT(("T_C-MHY-GSL-S2"=[1]OUT_TransportEnergyCons!$A$3:$A$1000)*1,("var_fout"=[1]OUT_TransportEnergyCons!$B$3:$B$1000)*1,ISNUMBER(SEARCH("TPCAR",[1]OUT_TransportEnergyCons!$C$3:$C$1000))*1,[1]OUT_TransportEnergyCons!L$3:L$1000)</f>
        <v>0</v>
      </c>
      <c r="O1242" s="1" cm="1">
        <f t="array" ref="O1242">SUMPRODUCT(("T_C-MHY-GSL-S2"=[1]OUT_TransportEnergyCons!$A$3:$A$1000)*1,("var_fout"=[1]OUT_TransportEnergyCons!$B$3:$B$1000)*1,ISNUMBER(SEARCH("TPCAR",[1]OUT_TransportEnergyCons!$C$3:$C$1000))*1,[1]OUT_TransportEnergyCons!M$3:M$1000)</f>
        <v>0</v>
      </c>
      <c r="P1242" s="1" cm="1">
        <f t="array" ref="P1242">SUMPRODUCT(("T_C-MHY-GSL-S2"=[1]OUT_TransportEnergyCons!$A$3:$A$1000)*1,("var_fout"=[1]OUT_TransportEnergyCons!$B$3:$B$1000)*1,ISNUMBER(SEARCH("TPCAR",[1]OUT_TransportEnergyCons!$C$3:$C$1000))*1,[1]OUT_TransportEnergyCons!N$3:N$1000)</f>
        <v>0</v>
      </c>
      <c r="Q1242" s="1" cm="1">
        <f t="array" ref="Q1242">SUMPRODUCT(("T_C-MHY-GSL-S2"=[1]OUT_TransportEnergyCons!$A$3:$A$1000)*1,("var_fout"=[1]OUT_TransportEnergyCons!$B$3:$B$1000)*1,ISNUMBER(SEARCH("TPCAR",[1]OUT_TransportEnergyCons!$C$3:$C$1000))*1,[1]OUT_TransportEnergyCons!O$3:O$1000)</f>
        <v>0</v>
      </c>
      <c r="S1242" s="3"/>
    </row>
    <row r="1243" spans="2:19" x14ac:dyDescent="0.5">
      <c r="B1243" s="5" t="str">
        <f t="shared" si="1401"/>
        <v>SPS1</v>
      </c>
      <c r="C1243" s="5" t="str">
        <f t="shared" si="1402"/>
        <v>CH</v>
      </c>
      <c r="D1243" t="s">
        <v>1161</v>
      </c>
      <c r="E1243" t="str">
        <f t="shared" si="1400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6.2926585012548197E-5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2.2647435359398146E-4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2.951024138968667E-4</v>
      </c>
      <c r="J1243" s="1" cm="1">
        <f t="array" ref="J1243">SUMPRODUCT(("T_C-MHY-GSL-S3"=[1]OUT_TransportEnergyCons!$A$3:$A$1000)*1,("var_fout"=[1]OUT_TransportEnergyCons!$B$3:$B$1000)*1,ISNUMBER(SEARCH("TPCAR",[1]OUT_TransportEnergyCons!$C$3:$C$1000))*1,[1]OUT_TransportEnergyCons!H$3:H$1000)</f>
        <v>1.9624338675851874E-4</v>
      </c>
      <c r="K1243" s="1" cm="1">
        <f t="array" ref="K1243">SUMPRODUCT(("T_C-MHY-GSL-S3"=[1]OUT_TransportEnergyCons!$A$3:$A$1000)*1,("var_fout"=[1]OUT_TransportEnergyCons!$B$3:$B$1000)*1,ISNUMBER(SEARCH("TPCAR",[1]OUT_TransportEnergyCons!$C$3:$C$1000))*1,[1]OUT_TransportEnergyCons!I$3:I$1000)</f>
        <v>6.11221280384416E-5</v>
      </c>
      <c r="L1243" s="1" cm="1">
        <f t="array" ref="L1243">SUMPRODUCT(("T_C-MHY-GSL-S3"=[1]OUT_TransportEnergyCons!$A$3:$A$1000)*1,("var_fout"=[1]OUT_TransportEnergyCons!$B$3:$B$1000)*1,ISNUMBER(SEARCH("TPCAR",[1]OUT_TransportEnergyCons!$C$3:$C$1000))*1,[1]OUT_TransportEnergyCons!J$3:J$1000)</f>
        <v>0</v>
      </c>
      <c r="M1243" s="1" cm="1">
        <f t="array" ref="M1243">SUMPRODUCT(("T_C-MHY-GSL-S3"=[1]OUT_TransportEnergyCons!$A$3:$A$1000)*1,("var_fout"=[1]OUT_TransportEnergyCons!$B$3:$B$1000)*1,ISNUMBER(SEARCH("TPCAR",[1]OUT_TransportEnergyCons!$C$3:$C$1000))*1,[1]OUT_TransportEnergyCons!K$3:K$1000)</f>
        <v>0</v>
      </c>
      <c r="N1243" s="1" cm="1">
        <f t="array" ref="N1243">SUMPRODUCT(("T_C-MHY-GSL-S3"=[1]OUT_TransportEnergyCons!$A$3:$A$1000)*1,("var_fout"=[1]OUT_TransportEnergyCons!$B$3:$B$1000)*1,ISNUMBER(SEARCH("TPCAR",[1]OUT_TransportEnergyCons!$C$3:$C$1000))*1,[1]OUT_TransportEnergyCons!L$3:L$1000)</f>
        <v>0</v>
      </c>
      <c r="O1243" s="1" cm="1">
        <f t="array" ref="O1243">SUMPRODUCT(("T_C-MHY-GSL-S3"=[1]OUT_TransportEnergyCons!$A$3:$A$1000)*1,("var_fout"=[1]OUT_TransportEnergyCons!$B$3:$B$1000)*1,ISNUMBER(SEARCH("TPCAR",[1]OUT_TransportEnergyCons!$C$3:$C$1000))*1,[1]OUT_TransportEnergyCons!M$3:M$1000)</f>
        <v>0</v>
      </c>
      <c r="P1243" s="1" cm="1">
        <f t="array" ref="P1243">SUMPRODUCT(("T_C-MHY-GSL-S3"=[1]OUT_TransportEnergyCons!$A$3:$A$1000)*1,("var_fout"=[1]OUT_TransportEnergyCons!$B$3:$B$1000)*1,ISNUMBER(SEARCH("TPCAR",[1]OUT_TransportEnergyCons!$C$3:$C$1000))*1,[1]OUT_TransportEnergyCons!N$3:N$1000)</f>
        <v>0</v>
      </c>
      <c r="Q1243" s="1" cm="1">
        <f t="array" ref="Q1243">SUMPRODUCT(("T_C-MHY-GSL-S3"=[1]OUT_TransportEnergyCons!$A$3:$A$1000)*1,("var_fout"=[1]OUT_TransportEnergyCons!$B$3:$B$1000)*1,ISNUMBER(SEARCH("TPCAR",[1]OUT_TransportEnergyCons!$C$3:$C$1000))*1,[1]OUT_TransportEnergyCons!O$3:O$1000)</f>
        <v>0</v>
      </c>
      <c r="S1243" s="3"/>
    </row>
    <row r="1244" spans="2:19" x14ac:dyDescent="0.5">
      <c r="B1244" s="5" t="str">
        <f t="shared" si="1401"/>
        <v>SPS1</v>
      </c>
      <c r="C1244" s="5" t="str">
        <f t="shared" si="1402"/>
        <v>CH</v>
      </c>
      <c r="D1244" t="s">
        <v>1162</v>
      </c>
      <c r="E1244" t="str">
        <f t="shared" si="1400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7.58614157937883E-5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2.9461122766784721E-4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4.3697617836183452E-4</v>
      </c>
      <c r="J1244" s="1" cm="1">
        <f t="array" ref="J1244">SUMPRODUCT(("T_C-MHY-GSL-S4"=[1]OUT_TransportEnergyCons!$A$3:$A$1000)*1,("var_fout"=[1]OUT_TransportEnergyCons!$B$3:$B$1000)*1,ISNUMBER(SEARCH("TPCAR",[1]OUT_TransportEnergyCons!$C$3:$C$1000))*1,[1]OUT_TransportEnergyCons!H$3:H$1000)</f>
        <v>2.8697946695206965E-4</v>
      </c>
      <c r="K1244" s="1" cm="1">
        <f t="array" ref="K1244">SUMPRODUCT(("T_C-MHY-GSL-S4"=[1]OUT_TransportEnergyCons!$A$3:$A$1000)*1,("var_fout"=[1]OUT_TransportEnergyCons!$B$3:$B$1000)*1,ISNUMBER(SEARCH("TPCAR",[1]OUT_TransportEnergyCons!$C$3:$C$1000))*1,[1]OUT_TransportEnergyCons!I$3:I$1000)</f>
        <v>9.8794509931648857E-5</v>
      </c>
      <c r="L1244" s="1" cm="1">
        <f t="array" ref="L1244">SUMPRODUCT(("T_C-MHY-GSL-S4"=[1]OUT_TransportEnergyCons!$A$3:$A$1000)*1,("var_fout"=[1]OUT_TransportEnergyCons!$B$3:$B$1000)*1,ISNUMBER(SEARCH("TPCAR",[1]OUT_TransportEnergyCons!$C$3:$C$1000))*1,[1]OUT_TransportEnergyCons!J$3:J$1000)</f>
        <v>0</v>
      </c>
      <c r="M1244" s="1" cm="1">
        <f t="array" ref="M1244">SUMPRODUCT(("T_C-MHY-GSL-S4"=[1]OUT_TransportEnergyCons!$A$3:$A$1000)*1,("var_fout"=[1]OUT_TransportEnergyCons!$B$3:$B$1000)*1,ISNUMBER(SEARCH("TPCAR",[1]OUT_TransportEnergyCons!$C$3:$C$1000))*1,[1]OUT_TransportEnergyCons!K$3:K$1000)</f>
        <v>0</v>
      </c>
      <c r="N1244" s="1" cm="1">
        <f t="array" ref="N1244">SUMPRODUCT(("T_C-MHY-GSL-S4"=[1]OUT_TransportEnergyCons!$A$3:$A$1000)*1,("var_fout"=[1]OUT_TransportEnergyCons!$B$3:$B$1000)*1,ISNUMBER(SEARCH("TPCAR",[1]OUT_TransportEnergyCons!$C$3:$C$1000))*1,[1]OUT_TransportEnergyCons!L$3:L$1000)</f>
        <v>0</v>
      </c>
      <c r="O1244" s="1" cm="1">
        <f t="array" ref="O1244">SUMPRODUCT(("T_C-MHY-GSL-S4"=[1]OUT_TransportEnergyCons!$A$3:$A$1000)*1,("var_fout"=[1]OUT_TransportEnergyCons!$B$3:$B$1000)*1,ISNUMBER(SEARCH("TPCAR",[1]OUT_TransportEnergyCons!$C$3:$C$1000))*1,[1]OUT_TransportEnergyCons!M$3:M$1000)</f>
        <v>0</v>
      </c>
      <c r="P1244" s="1" cm="1">
        <f t="array" ref="P1244">SUMPRODUCT(("T_C-MHY-GSL-S4"=[1]OUT_TransportEnergyCons!$A$3:$A$1000)*1,("var_fout"=[1]OUT_TransportEnergyCons!$B$3:$B$1000)*1,ISNUMBER(SEARCH("TPCAR",[1]OUT_TransportEnergyCons!$C$3:$C$1000))*1,[1]OUT_TransportEnergyCons!N$3:N$1000)</f>
        <v>0</v>
      </c>
      <c r="Q1244" s="1" cm="1">
        <f t="array" ref="Q1244">SUMPRODUCT(("T_C-MHY-GSL-S4"=[1]OUT_TransportEnergyCons!$A$3:$A$1000)*1,("var_fout"=[1]OUT_TransportEnergyCons!$B$3:$B$1000)*1,ISNUMBER(SEARCH("TPCAR",[1]OUT_TransportEnergyCons!$C$3:$C$1000))*1,[1]OUT_TransportEnergyCons!O$3:O$1000)</f>
        <v>0</v>
      </c>
      <c r="S1244" s="3"/>
    </row>
    <row r="1245" spans="2:19" x14ac:dyDescent="0.5">
      <c r="B1245" s="5" t="str">
        <f t="shared" si="1401"/>
        <v>SPS1</v>
      </c>
      <c r="C1245" s="5" t="str">
        <f t="shared" si="1402"/>
        <v>CH</v>
      </c>
      <c r="D1245" t="s">
        <v>1235</v>
      </c>
      <c r="E1245" t="str">
        <f t="shared" si="1400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SUMPRODUCT(("T_C-HYBDSLEXT"=[1]OUT_TransportEnergyCons!$A$3:$A$1000)*1,("var_fout"=[1]OUT_TransportEnergyCons!$B$3:$B$1000)*1,ISNUMBER(SEARCH("TPCAR",[1]OUT_TransportEnergyCons!$C$3:$C$1000))*1,[1]OUT_TransportEnergyCons!H$3:H$1000)</f>
        <v>0</v>
      </c>
      <c r="K1245" s="1" cm="1">
        <f t="array" ref="K1245">SUMPRODUCT(("T_C-HYBDSLEXT"=[1]OUT_TransportEnergyCons!$A$3:$A$1000)*1,("var_fout"=[1]OUT_TransportEnergyCons!$B$3:$B$1000)*1,ISNUMBER(SEARCH("TPCAR",[1]OUT_TransportEnergyCons!$C$3:$C$1000))*1,[1]OUT_TransportEnergyCons!I$3:I$1000)</f>
        <v>0</v>
      </c>
      <c r="L1245" s="1" cm="1">
        <f t="array" ref="L1245">SUMPRODUCT(("T_C-HYBDSLEXT"=[1]OUT_TransportEnergyCons!$A$3:$A$1000)*1,("var_fout"=[1]OUT_TransportEnergyCons!$B$3:$B$1000)*1,ISNUMBER(SEARCH("TPCAR",[1]OUT_TransportEnergyCons!$C$3:$C$1000))*1,[1]OUT_TransportEnergyCons!J$3:J$1000)</f>
        <v>0</v>
      </c>
      <c r="M1245" s="1" cm="1">
        <f t="array" ref="M1245">SUMPRODUCT(("T_C-HYBDSLEXT"=[1]OUT_TransportEnergyCons!$A$3:$A$1000)*1,("var_fout"=[1]OUT_TransportEnergyCons!$B$3:$B$1000)*1,ISNUMBER(SEARCH("TPCAR",[1]OUT_TransportEnergyCons!$C$3:$C$1000))*1,[1]OUT_TransportEnergyCons!K$3:K$1000)</f>
        <v>0</v>
      </c>
      <c r="N1245" s="1" cm="1">
        <f t="array" ref="N1245">SUMPRODUCT(("T_C-HYBDSLEXT"=[1]OUT_TransportEnergyCons!$A$3:$A$1000)*1,("var_fout"=[1]OUT_TransportEnergyCons!$B$3:$B$1000)*1,ISNUMBER(SEARCH("TPCAR",[1]OUT_TransportEnergyCons!$C$3:$C$1000))*1,[1]OUT_TransportEnergyCons!L$3:L$1000)</f>
        <v>0</v>
      </c>
      <c r="O1245" s="1" cm="1">
        <f t="array" ref="O1245">SUMPRODUCT(("T_C-HYBDSLEXT"=[1]OUT_TransportEnergyCons!$A$3:$A$1000)*1,("var_fout"=[1]OUT_TransportEnergyCons!$B$3:$B$1000)*1,ISNUMBER(SEARCH("TPCAR",[1]OUT_TransportEnergyCons!$C$3:$C$1000))*1,[1]OUT_TransportEnergyCons!M$3:M$1000)</f>
        <v>0</v>
      </c>
      <c r="P1245" s="1" cm="1">
        <f t="array" ref="P1245">SUMPRODUCT(("T_C-HYBDSLEXT"=[1]OUT_TransportEnergyCons!$A$3:$A$1000)*1,("var_fout"=[1]OUT_TransportEnergyCons!$B$3:$B$1000)*1,ISNUMBER(SEARCH("TPCAR",[1]OUT_TransportEnergyCons!$C$3:$C$1000))*1,[1]OUT_TransportEnergyCons!N$3:N$1000)</f>
        <v>0</v>
      </c>
      <c r="Q1245" s="1" cm="1">
        <f t="array" ref="Q1245">SUMPRODUCT(("T_C-HYBDSLEXT"=[1]OUT_TransportEnergyCons!$A$3:$A$1000)*1,("var_fout"=[1]OUT_TransportEnergyCons!$B$3:$B$1000)*1,ISNUMBER(SEARCH("TPCAR",[1]OUT_TransportEnergyCons!$C$3:$C$1000))*1,[1]OUT_TransportEnergyCons!O$3:O$1000)</f>
        <v>0</v>
      </c>
      <c r="S1245" s="3"/>
    </row>
    <row r="1246" spans="2:19" x14ac:dyDescent="0.5">
      <c r="B1246" s="5" t="str">
        <f t="shared" si="1401"/>
        <v>SPS1</v>
      </c>
      <c r="C1246" s="5" t="str">
        <f t="shared" si="1402"/>
        <v>CH</v>
      </c>
      <c r="D1246" t="s">
        <v>1163</v>
      </c>
      <c r="E1246" t="str">
        <f t="shared" si="1400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1.2891202763308923E-5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0.28133509231468801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0.18929688733577957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0.15239208662737674</v>
      </c>
      <c r="J1246" s="1" cm="1">
        <f t="array" ref="J1246">SUMPRODUCT(("T_C-HY-DSL-S1"=[1]OUT_TransportEnergyCons!$A$3:$A$1000)*1,("var_fout"=[1]OUT_TransportEnergyCons!$B$3:$B$1000)*1,ISNUMBER(SEARCH("TPCAR",[1]OUT_TransportEnergyCons!$C$3:$C$1000))*1,[1]OUT_TransportEnergyCons!H$3:H$1000)</f>
        <v>5.3407116996309852E-2</v>
      </c>
      <c r="K1246" s="1" cm="1">
        <f t="array" ref="K1246">SUMPRODUCT(("T_C-HY-DSL-S1"=[1]OUT_TransportEnergyCons!$A$3:$A$1000)*1,("var_fout"=[1]OUT_TransportEnergyCons!$B$3:$B$1000)*1,ISNUMBER(SEARCH("TPCAR",[1]OUT_TransportEnergyCons!$C$3:$C$1000))*1,[1]OUT_TransportEnergyCons!I$3:I$1000)</f>
        <v>3.8888923278431121E-4</v>
      </c>
      <c r="L1246" s="1" cm="1">
        <f t="array" ref="L1246">SUMPRODUCT(("T_C-HY-DSL-S1"=[1]OUT_TransportEnergyCons!$A$3:$A$1000)*1,("var_fout"=[1]OUT_TransportEnergyCons!$B$3:$B$1000)*1,ISNUMBER(SEARCH("TPCAR",[1]OUT_TransportEnergyCons!$C$3:$C$1000))*1,[1]OUT_TransportEnergyCons!J$3:J$1000)</f>
        <v>0</v>
      </c>
      <c r="M1246" s="1" cm="1">
        <f t="array" ref="M1246">SUMPRODUCT(("T_C-HY-DSL-S1"=[1]OUT_TransportEnergyCons!$A$3:$A$1000)*1,("var_fout"=[1]OUT_TransportEnergyCons!$B$3:$B$1000)*1,ISNUMBER(SEARCH("TPCAR",[1]OUT_TransportEnergyCons!$C$3:$C$1000))*1,[1]OUT_TransportEnergyCons!K$3:K$1000)</f>
        <v>0</v>
      </c>
      <c r="N1246" s="1" cm="1">
        <f t="array" ref="N1246">SUMPRODUCT(("T_C-HY-DSL-S1"=[1]OUT_TransportEnergyCons!$A$3:$A$1000)*1,("var_fout"=[1]OUT_TransportEnergyCons!$B$3:$B$1000)*1,ISNUMBER(SEARCH("TPCAR",[1]OUT_TransportEnergyCons!$C$3:$C$1000))*1,[1]OUT_TransportEnergyCons!L$3:L$1000)</f>
        <v>0</v>
      </c>
      <c r="O1246" s="1" cm="1">
        <f t="array" ref="O1246">SUMPRODUCT(("T_C-HY-DSL-S1"=[1]OUT_TransportEnergyCons!$A$3:$A$1000)*1,("var_fout"=[1]OUT_TransportEnergyCons!$B$3:$B$1000)*1,ISNUMBER(SEARCH("TPCAR",[1]OUT_TransportEnergyCons!$C$3:$C$1000))*1,[1]OUT_TransportEnergyCons!M$3:M$1000)</f>
        <v>0</v>
      </c>
      <c r="P1246" s="1" cm="1">
        <f t="array" ref="P1246">SUMPRODUCT(("T_C-HY-DSL-S1"=[1]OUT_TransportEnergyCons!$A$3:$A$1000)*1,("var_fout"=[1]OUT_TransportEnergyCons!$B$3:$B$1000)*1,ISNUMBER(SEARCH("TPCAR",[1]OUT_TransportEnergyCons!$C$3:$C$1000))*1,[1]OUT_TransportEnergyCons!N$3:N$1000)</f>
        <v>0</v>
      </c>
      <c r="Q1246" s="1" cm="1">
        <f t="array" ref="Q1246">SUMPRODUCT(("T_C-HY-DSL-S1"=[1]OUT_TransportEnergyCons!$A$3:$A$1000)*1,("var_fout"=[1]OUT_TransportEnergyCons!$B$3:$B$1000)*1,ISNUMBER(SEARCH("TPCAR",[1]OUT_TransportEnergyCons!$C$3:$C$1000))*1,[1]OUT_TransportEnergyCons!O$3:O$1000)</f>
        <v>0</v>
      </c>
      <c r="S1246" s="3"/>
    </row>
    <row r="1247" spans="2:19" x14ac:dyDescent="0.5">
      <c r="B1247" s="5" t="str">
        <f t="shared" si="1401"/>
        <v>SPS1</v>
      </c>
      <c r="C1247" s="5" t="str">
        <f t="shared" si="1402"/>
        <v>CH</v>
      </c>
      <c r="D1247" t="s">
        <v>1164</v>
      </c>
      <c r="E1247" t="str">
        <f t="shared" si="1400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3.3715449199458215E-3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1.5602760395194404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2.6742943260700272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2.2390222831536883</v>
      </c>
      <c r="J1247" s="1" cm="1">
        <f t="array" ref="J1247">SUMPRODUCT(("T_C-HY-DSL-S2"=[1]OUT_TransportEnergyCons!$A$3:$A$1000)*1,("var_fout"=[1]OUT_TransportEnergyCons!$B$3:$B$1000)*1,ISNUMBER(SEARCH("TPCAR",[1]OUT_TransportEnergyCons!$C$3:$C$1000))*1,[1]OUT_TransportEnergyCons!H$3:H$1000)</f>
        <v>1.0483073366590718</v>
      </c>
      <c r="K1247" s="1" cm="1">
        <f t="array" ref="K1247">SUMPRODUCT(("T_C-HY-DSL-S2"=[1]OUT_TransportEnergyCons!$A$3:$A$1000)*1,("var_fout"=[1]OUT_TransportEnergyCons!$B$3:$B$1000)*1,ISNUMBER(SEARCH("TPCAR",[1]OUT_TransportEnergyCons!$C$3:$C$1000))*1,[1]OUT_TransportEnergyCons!I$3:I$1000)</f>
        <v>8.7348268944549362E-2</v>
      </c>
      <c r="L1247" s="1" cm="1">
        <f t="array" ref="L1247">SUMPRODUCT(("T_C-HY-DSL-S2"=[1]OUT_TransportEnergyCons!$A$3:$A$1000)*1,("var_fout"=[1]OUT_TransportEnergyCons!$B$3:$B$1000)*1,ISNUMBER(SEARCH("TPCAR",[1]OUT_TransportEnergyCons!$C$3:$C$1000))*1,[1]OUT_TransportEnergyCons!J$3:J$1000)</f>
        <v>0</v>
      </c>
      <c r="M1247" s="1" cm="1">
        <f t="array" ref="M1247">SUMPRODUCT(("T_C-HY-DSL-S2"=[1]OUT_TransportEnergyCons!$A$3:$A$1000)*1,("var_fout"=[1]OUT_TransportEnergyCons!$B$3:$B$1000)*1,ISNUMBER(SEARCH("TPCAR",[1]OUT_TransportEnergyCons!$C$3:$C$1000))*1,[1]OUT_TransportEnergyCons!K$3:K$1000)</f>
        <v>0</v>
      </c>
      <c r="N1247" s="1" cm="1">
        <f t="array" ref="N1247">SUMPRODUCT(("T_C-HY-DSL-S2"=[1]OUT_TransportEnergyCons!$A$3:$A$1000)*1,("var_fout"=[1]OUT_TransportEnergyCons!$B$3:$B$1000)*1,ISNUMBER(SEARCH("TPCAR",[1]OUT_TransportEnergyCons!$C$3:$C$1000))*1,[1]OUT_TransportEnergyCons!L$3:L$1000)</f>
        <v>0</v>
      </c>
      <c r="O1247" s="1" cm="1">
        <f t="array" ref="O1247">SUMPRODUCT(("T_C-HY-DSL-S2"=[1]OUT_TransportEnergyCons!$A$3:$A$1000)*1,("var_fout"=[1]OUT_TransportEnergyCons!$B$3:$B$1000)*1,ISNUMBER(SEARCH("TPCAR",[1]OUT_TransportEnergyCons!$C$3:$C$1000))*1,[1]OUT_TransportEnergyCons!M$3:M$1000)</f>
        <v>0</v>
      </c>
      <c r="P1247" s="1" cm="1">
        <f t="array" ref="P1247">SUMPRODUCT(("T_C-HY-DSL-S2"=[1]OUT_TransportEnergyCons!$A$3:$A$1000)*1,("var_fout"=[1]OUT_TransportEnergyCons!$B$3:$B$1000)*1,ISNUMBER(SEARCH("TPCAR",[1]OUT_TransportEnergyCons!$C$3:$C$1000))*1,[1]OUT_TransportEnergyCons!N$3:N$1000)</f>
        <v>0</v>
      </c>
      <c r="Q1247" s="1" cm="1">
        <f t="array" ref="Q1247">SUMPRODUCT(("T_C-HY-DSL-S2"=[1]OUT_TransportEnergyCons!$A$3:$A$1000)*1,("var_fout"=[1]OUT_TransportEnergyCons!$B$3:$B$1000)*1,ISNUMBER(SEARCH("TPCAR",[1]OUT_TransportEnergyCons!$C$3:$C$1000))*1,[1]OUT_TransportEnergyCons!O$3:O$1000)</f>
        <v>0</v>
      </c>
      <c r="S1247" s="3"/>
    </row>
    <row r="1248" spans="2:19" x14ac:dyDescent="0.5">
      <c r="B1248" s="5" t="str">
        <f t="shared" si="1401"/>
        <v>SPS1</v>
      </c>
      <c r="C1248" s="5" t="str">
        <f t="shared" si="1402"/>
        <v>CH</v>
      </c>
      <c r="D1248" t="s">
        <v>1165</v>
      </c>
      <c r="E1248" t="str">
        <f t="shared" si="1400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2.6667657153202937E-2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5.3789115786383873E-2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5.1304502695572046E-2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4.0783469816874085E-2</v>
      </c>
      <c r="J1248" s="1" cm="1">
        <f t="array" ref="J1248">SUMPRODUCT(("T_C-HY-DSL-S3"=[1]OUT_TransportEnergyCons!$A$3:$A$1000)*1,("var_fout"=[1]OUT_TransportEnergyCons!$B$3:$B$1000)*1,ISNUMBER(SEARCH("TPCAR",[1]OUT_TransportEnergyCons!$C$3:$C$1000))*1,[1]OUT_TransportEnergyCons!H$3:H$1000)</f>
        <v>9.0437231198924224E-3</v>
      </c>
      <c r="K1248" s="1" cm="1">
        <f t="array" ref="K1248">SUMPRODUCT(("T_C-HY-DSL-S3"=[1]OUT_TransportEnergyCons!$A$3:$A$1000)*1,("var_fout"=[1]OUT_TransportEnergyCons!$B$3:$B$1000)*1,ISNUMBER(SEARCH("TPCAR",[1]OUT_TransportEnergyCons!$C$3:$C$1000))*1,[1]OUT_TransportEnergyCons!I$3:I$1000)</f>
        <v>3.8663512513115151E-5</v>
      </c>
      <c r="L1248" s="1" cm="1">
        <f t="array" ref="L1248">SUMPRODUCT(("T_C-HY-DSL-S3"=[1]OUT_TransportEnergyCons!$A$3:$A$1000)*1,("var_fout"=[1]OUT_TransportEnergyCons!$B$3:$B$1000)*1,ISNUMBER(SEARCH("TPCAR",[1]OUT_TransportEnergyCons!$C$3:$C$1000))*1,[1]OUT_TransportEnergyCons!J$3:J$1000)</f>
        <v>0</v>
      </c>
      <c r="M1248" s="1" cm="1">
        <f t="array" ref="M1248">SUMPRODUCT(("T_C-HY-DSL-S3"=[1]OUT_TransportEnergyCons!$A$3:$A$1000)*1,("var_fout"=[1]OUT_TransportEnergyCons!$B$3:$B$1000)*1,ISNUMBER(SEARCH("TPCAR",[1]OUT_TransportEnergyCons!$C$3:$C$1000))*1,[1]OUT_TransportEnergyCons!K$3:K$1000)</f>
        <v>0</v>
      </c>
      <c r="N1248" s="1" cm="1">
        <f t="array" ref="N1248">SUMPRODUCT(("T_C-HY-DSL-S3"=[1]OUT_TransportEnergyCons!$A$3:$A$1000)*1,("var_fout"=[1]OUT_TransportEnergyCons!$B$3:$B$1000)*1,ISNUMBER(SEARCH("TPCAR",[1]OUT_TransportEnergyCons!$C$3:$C$1000))*1,[1]OUT_TransportEnergyCons!L$3:L$1000)</f>
        <v>0</v>
      </c>
      <c r="O1248" s="1" cm="1">
        <f t="array" ref="O1248">SUMPRODUCT(("T_C-HY-DSL-S3"=[1]OUT_TransportEnergyCons!$A$3:$A$1000)*1,("var_fout"=[1]OUT_TransportEnergyCons!$B$3:$B$1000)*1,ISNUMBER(SEARCH("TPCAR",[1]OUT_TransportEnergyCons!$C$3:$C$1000))*1,[1]OUT_TransportEnergyCons!M$3:M$1000)</f>
        <v>0</v>
      </c>
      <c r="P1248" s="1" cm="1">
        <f t="array" ref="P1248">SUMPRODUCT(("T_C-HY-DSL-S3"=[1]OUT_TransportEnergyCons!$A$3:$A$1000)*1,("var_fout"=[1]OUT_TransportEnergyCons!$B$3:$B$1000)*1,ISNUMBER(SEARCH("TPCAR",[1]OUT_TransportEnergyCons!$C$3:$C$1000))*1,[1]OUT_TransportEnergyCons!N$3:N$1000)</f>
        <v>0</v>
      </c>
      <c r="Q1248" s="1" cm="1">
        <f t="array" ref="Q1248">SUMPRODUCT(("T_C-HY-DSL-S3"=[1]OUT_TransportEnergyCons!$A$3:$A$1000)*1,("var_fout"=[1]OUT_TransportEnergyCons!$B$3:$B$1000)*1,ISNUMBER(SEARCH("TPCAR",[1]OUT_TransportEnergyCons!$C$3:$C$1000))*1,[1]OUT_TransportEnergyCons!O$3:O$1000)</f>
        <v>0</v>
      </c>
      <c r="S1248" s="3"/>
    </row>
    <row r="1249" spans="2:19" x14ac:dyDescent="0.5">
      <c r="B1249" s="5" t="str">
        <f t="shared" si="1401"/>
        <v>SPS1</v>
      </c>
      <c r="C1249" s="5" t="str">
        <f t="shared" si="1402"/>
        <v>CH</v>
      </c>
      <c r="D1249" t="s">
        <v>1166</v>
      </c>
      <c r="E1249" t="str">
        <f t="shared" si="1400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4.7694856335659723E-2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0.11170734788744531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0.10654816797907475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8.9358169583157038E-2</v>
      </c>
      <c r="J1249" s="1" cm="1">
        <f t="array" ref="J1249">SUMPRODUCT(("T_C-HY-DSL-S4"=[1]OUT_TransportEnergyCons!$A$3:$A$1000)*1,("var_fout"=[1]OUT_TransportEnergyCons!$B$3:$B$1000)*1,ISNUMBER(SEARCH("TPCAR",[1]OUT_TransportEnergyCons!$C$3:$C$1000))*1,[1]OUT_TransportEnergyCons!H$3:H$1000)</f>
        <v>1.9560336550804622E-2</v>
      </c>
      <c r="K1249" s="1" cm="1">
        <f t="array" ref="K1249">SUMPRODUCT(("T_C-HY-DSL-S4"=[1]OUT_TransportEnergyCons!$A$3:$A$1000)*1,("var_fout"=[1]OUT_TransportEnergyCons!$B$3:$B$1000)*1,ISNUMBER(SEARCH("TPCAR",[1]OUT_TransportEnergyCons!$C$3:$C$1000))*1,[1]OUT_TransportEnergyCons!I$3:I$1000)</f>
        <v>4.1730441680611256E-5</v>
      </c>
      <c r="L1249" s="1" cm="1">
        <f t="array" ref="L1249">SUMPRODUCT(("T_C-HY-DSL-S4"=[1]OUT_TransportEnergyCons!$A$3:$A$1000)*1,("var_fout"=[1]OUT_TransportEnergyCons!$B$3:$B$1000)*1,ISNUMBER(SEARCH("TPCAR",[1]OUT_TransportEnergyCons!$C$3:$C$1000))*1,[1]OUT_TransportEnergyCons!J$3:J$1000)</f>
        <v>0</v>
      </c>
      <c r="M1249" s="1" cm="1">
        <f t="array" ref="M1249">SUMPRODUCT(("T_C-HY-DSL-S4"=[1]OUT_TransportEnergyCons!$A$3:$A$1000)*1,("var_fout"=[1]OUT_TransportEnergyCons!$B$3:$B$1000)*1,ISNUMBER(SEARCH("TPCAR",[1]OUT_TransportEnergyCons!$C$3:$C$1000))*1,[1]OUT_TransportEnergyCons!K$3:K$1000)</f>
        <v>0</v>
      </c>
      <c r="N1249" s="1" cm="1">
        <f t="array" ref="N1249">SUMPRODUCT(("T_C-HY-DSL-S4"=[1]OUT_TransportEnergyCons!$A$3:$A$1000)*1,("var_fout"=[1]OUT_TransportEnergyCons!$B$3:$B$1000)*1,ISNUMBER(SEARCH("TPCAR",[1]OUT_TransportEnergyCons!$C$3:$C$1000))*1,[1]OUT_TransportEnergyCons!L$3:L$1000)</f>
        <v>0</v>
      </c>
      <c r="O1249" s="1" cm="1">
        <f t="array" ref="O1249">SUMPRODUCT(("T_C-HY-DSL-S4"=[1]OUT_TransportEnergyCons!$A$3:$A$1000)*1,("var_fout"=[1]OUT_TransportEnergyCons!$B$3:$B$1000)*1,ISNUMBER(SEARCH("TPCAR",[1]OUT_TransportEnergyCons!$C$3:$C$1000))*1,[1]OUT_TransportEnergyCons!M$3:M$1000)</f>
        <v>0</v>
      </c>
      <c r="P1249" s="1" cm="1">
        <f t="array" ref="P1249">SUMPRODUCT(("T_C-HY-DSL-S4"=[1]OUT_TransportEnergyCons!$A$3:$A$1000)*1,("var_fout"=[1]OUT_TransportEnergyCons!$B$3:$B$1000)*1,ISNUMBER(SEARCH("TPCAR",[1]OUT_TransportEnergyCons!$C$3:$C$1000))*1,[1]OUT_TransportEnergyCons!N$3:N$1000)</f>
        <v>0</v>
      </c>
      <c r="Q1249" s="1" cm="1">
        <f t="array" ref="Q1249">SUMPRODUCT(("T_C-HY-DSL-S4"=[1]OUT_TransportEnergyCons!$A$3:$A$1000)*1,("var_fout"=[1]OUT_TransportEnergyCons!$B$3:$B$1000)*1,ISNUMBER(SEARCH("TPCAR",[1]OUT_TransportEnergyCons!$C$3:$C$1000))*1,[1]OUT_TransportEnergyCons!O$3:O$1000)</f>
        <v>0</v>
      </c>
      <c r="S1249" s="3"/>
    </row>
    <row r="1250" spans="2:19" x14ac:dyDescent="0.5">
      <c r="B1250" s="5" t="str">
        <f t="shared" si="1401"/>
        <v>SPS1</v>
      </c>
      <c r="C1250" s="5" t="str">
        <f t="shared" si="1402"/>
        <v>CH</v>
      </c>
      <c r="D1250" t="s">
        <v>1167</v>
      </c>
      <c r="E1250" t="str">
        <f t="shared" si="1400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17.67378977894078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17.235951227677273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13.258423591020609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4.7490511780177389</v>
      </c>
      <c r="J1250" s="1" cm="1">
        <f t="array" ref="J1250">SUMPRODUCT(("T_C-ICEDSLEXT"=[1]OUT_TransportEnergyCons!$A$3:$A$1000)*1,("var_fout"=[1]OUT_TransportEnergyCons!$B$3:$B$1000)*1,ISNUMBER(SEARCH("TPCAR",[1]OUT_TransportEnergyCons!$C$3:$C$1000))*1,[1]OUT_TransportEnergyCons!H$3:H$1000)</f>
        <v>0</v>
      </c>
      <c r="K1250" s="1" cm="1">
        <f t="array" ref="K1250">SUMPRODUCT(("T_C-ICEDSLEXT"=[1]OUT_TransportEnergyCons!$A$3:$A$1000)*1,("var_fout"=[1]OUT_TransportEnergyCons!$B$3:$B$1000)*1,ISNUMBER(SEARCH("TPCAR",[1]OUT_TransportEnergyCons!$C$3:$C$1000))*1,[1]OUT_TransportEnergyCons!I$3:I$1000)</f>
        <v>0</v>
      </c>
      <c r="L1250" s="1" cm="1">
        <f t="array" ref="L1250">SUMPRODUCT(("T_C-ICEDSLEXT"=[1]OUT_TransportEnergyCons!$A$3:$A$1000)*1,("var_fout"=[1]OUT_TransportEnergyCons!$B$3:$B$1000)*1,ISNUMBER(SEARCH("TPCAR",[1]OUT_TransportEnergyCons!$C$3:$C$1000))*1,[1]OUT_TransportEnergyCons!J$3:J$1000)</f>
        <v>0</v>
      </c>
      <c r="M1250" s="1" cm="1">
        <f t="array" ref="M1250">SUMPRODUCT(("T_C-ICEDSLEXT"=[1]OUT_TransportEnergyCons!$A$3:$A$1000)*1,("var_fout"=[1]OUT_TransportEnergyCons!$B$3:$B$1000)*1,ISNUMBER(SEARCH("TPCAR",[1]OUT_TransportEnergyCons!$C$3:$C$1000))*1,[1]OUT_TransportEnergyCons!K$3:K$1000)</f>
        <v>0</v>
      </c>
      <c r="N1250" s="1" cm="1">
        <f t="array" ref="N1250">SUMPRODUCT(("T_C-ICEDSLEXT"=[1]OUT_TransportEnergyCons!$A$3:$A$1000)*1,("var_fout"=[1]OUT_TransportEnergyCons!$B$3:$B$1000)*1,ISNUMBER(SEARCH("TPCAR",[1]OUT_TransportEnergyCons!$C$3:$C$1000))*1,[1]OUT_TransportEnergyCons!L$3:L$1000)</f>
        <v>0</v>
      </c>
      <c r="O1250" s="1" cm="1">
        <f t="array" ref="O1250">SUMPRODUCT(("T_C-ICEDSLEXT"=[1]OUT_TransportEnergyCons!$A$3:$A$1000)*1,("var_fout"=[1]OUT_TransportEnergyCons!$B$3:$B$1000)*1,ISNUMBER(SEARCH("TPCAR",[1]OUT_TransportEnergyCons!$C$3:$C$1000))*1,[1]OUT_TransportEnergyCons!M$3:M$1000)</f>
        <v>0</v>
      </c>
      <c r="P1250" s="1" cm="1">
        <f t="array" ref="P1250">SUMPRODUCT(("T_C-ICEDSLEXT"=[1]OUT_TransportEnergyCons!$A$3:$A$1000)*1,("var_fout"=[1]OUT_TransportEnergyCons!$B$3:$B$1000)*1,ISNUMBER(SEARCH("TPCAR",[1]OUT_TransportEnergyCons!$C$3:$C$1000))*1,[1]OUT_TransportEnergyCons!N$3:N$1000)</f>
        <v>0</v>
      </c>
      <c r="Q1250" s="1" cm="1">
        <f t="array" ref="Q1250">SUMPRODUCT(("T_C-ICEDSLEXT"=[1]OUT_TransportEnergyCons!$A$3:$A$1000)*1,("var_fout"=[1]OUT_TransportEnergyCons!$B$3:$B$1000)*1,ISNUMBER(SEARCH("TPCAR",[1]OUT_TransportEnergyCons!$C$3:$C$1000))*1,[1]OUT_TransportEnergyCons!O$3:O$1000)</f>
        <v>0</v>
      </c>
      <c r="S1250" s="3"/>
    </row>
    <row r="1251" spans="2:19" x14ac:dyDescent="0.5">
      <c r="B1251" s="5" t="str">
        <f t="shared" si="1401"/>
        <v>SPS1</v>
      </c>
      <c r="C1251" s="5" t="str">
        <f t="shared" si="1402"/>
        <v>CH</v>
      </c>
      <c r="D1251" t="s">
        <v>1168</v>
      </c>
      <c r="E1251" t="str">
        <f t="shared" si="1400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3.9872588290008129E-3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4.5560422258234048E-3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3.3761557404278853E-3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2.5172491633782359E-3</v>
      </c>
      <c r="J1251" s="1" cm="1">
        <f t="array" ref="J1251">SUMPRODUCT(("T_C-ICE-DSL-S1"=[1]OUT_TransportEnergyCons!$A$3:$A$1000)*1,("var_fout"=[1]OUT_TransportEnergyCons!$B$3:$B$1000)*1,ISNUMBER(SEARCH("TPCAR",[1]OUT_TransportEnergyCons!$C$3:$C$1000))*1,[1]OUT_TransportEnergyCons!H$3:H$1000)</f>
        <v>2.8871365342947319E-4</v>
      </c>
      <c r="K1251" s="1" cm="1">
        <f t="array" ref="K1251">SUMPRODUCT(("T_C-ICE-DSL-S1"=[1]OUT_TransportEnergyCons!$A$3:$A$1000)*1,("var_fout"=[1]OUT_TransportEnergyCons!$B$3:$B$1000)*1,ISNUMBER(SEARCH("TPCAR",[1]OUT_TransportEnergyCons!$C$3:$C$1000))*1,[1]OUT_TransportEnergyCons!I$3:I$1000)</f>
        <v>6.8350425654391652E-5</v>
      </c>
      <c r="L1251" s="1" cm="1">
        <f t="array" ref="L1251">SUMPRODUCT(("T_C-ICE-DSL-S1"=[1]OUT_TransportEnergyCons!$A$3:$A$1000)*1,("var_fout"=[1]OUT_TransportEnergyCons!$B$3:$B$1000)*1,ISNUMBER(SEARCH("TPCAR",[1]OUT_TransportEnergyCons!$C$3:$C$1000))*1,[1]OUT_TransportEnergyCons!J$3:J$1000)</f>
        <v>0</v>
      </c>
      <c r="M1251" s="1" cm="1">
        <f t="array" ref="M1251">SUMPRODUCT(("T_C-ICE-DSL-S1"=[1]OUT_TransportEnergyCons!$A$3:$A$1000)*1,("var_fout"=[1]OUT_TransportEnergyCons!$B$3:$B$1000)*1,ISNUMBER(SEARCH("TPCAR",[1]OUT_TransportEnergyCons!$C$3:$C$1000))*1,[1]OUT_TransportEnergyCons!K$3:K$1000)</f>
        <v>0</v>
      </c>
      <c r="N1251" s="1" cm="1">
        <f t="array" ref="N1251">SUMPRODUCT(("T_C-ICE-DSL-S1"=[1]OUT_TransportEnergyCons!$A$3:$A$1000)*1,("var_fout"=[1]OUT_TransportEnergyCons!$B$3:$B$1000)*1,ISNUMBER(SEARCH("TPCAR",[1]OUT_TransportEnergyCons!$C$3:$C$1000))*1,[1]OUT_TransportEnergyCons!L$3:L$1000)</f>
        <v>0</v>
      </c>
      <c r="O1251" s="1" cm="1">
        <f t="array" ref="O1251">SUMPRODUCT(("T_C-ICE-DSL-S1"=[1]OUT_TransportEnergyCons!$A$3:$A$1000)*1,("var_fout"=[1]OUT_TransportEnergyCons!$B$3:$B$1000)*1,ISNUMBER(SEARCH("TPCAR",[1]OUT_TransportEnergyCons!$C$3:$C$1000))*1,[1]OUT_TransportEnergyCons!M$3:M$1000)</f>
        <v>0</v>
      </c>
      <c r="P1251" s="1" cm="1">
        <f t="array" ref="P1251">SUMPRODUCT(("T_C-ICE-DSL-S1"=[1]OUT_TransportEnergyCons!$A$3:$A$1000)*1,("var_fout"=[1]OUT_TransportEnergyCons!$B$3:$B$1000)*1,ISNUMBER(SEARCH("TPCAR",[1]OUT_TransportEnergyCons!$C$3:$C$1000))*1,[1]OUT_TransportEnergyCons!N$3:N$1000)</f>
        <v>0</v>
      </c>
      <c r="Q1251" s="1" cm="1">
        <f t="array" ref="Q1251">SUMPRODUCT(("T_C-ICE-DSL-S1"=[1]OUT_TransportEnergyCons!$A$3:$A$1000)*1,("var_fout"=[1]OUT_TransportEnergyCons!$B$3:$B$1000)*1,ISNUMBER(SEARCH("TPCAR",[1]OUT_TransportEnergyCons!$C$3:$C$1000))*1,[1]OUT_TransportEnergyCons!O$3:O$1000)</f>
        <v>0</v>
      </c>
      <c r="S1251" s="3"/>
    </row>
    <row r="1252" spans="2:19" x14ac:dyDescent="0.5">
      <c r="B1252" s="5" t="str">
        <f t="shared" si="1401"/>
        <v>SPS1</v>
      </c>
      <c r="C1252" s="5" t="str">
        <f t="shared" si="1402"/>
        <v>CH</v>
      </c>
      <c r="D1252" t="s">
        <v>1169</v>
      </c>
      <c r="E1252" t="str">
        <f t="shared" si="1400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0.85098284131824475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0.90298592940032474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0.81689729029355862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0.63224147495696581</v>
      </c>
      <c r="J1252" s="1" cm="1">
        <f t="array" ref="J1252">SUMPRODUCT(("T_C-ICE-DSL-S2"=[1]OUT_TransportEnergyCons!$A$3:$A$1000)*1,("var_fout"=[1]OUT_TransportEnergyCons!$B$3:$B$1000)*1,ISNUMBER(SEARCH("TPCAR",[1]OUT_TransportEnergyCons!$C$3:$C$1000))*1,[1]OUT_TransportEnergyCons!H$3:H$1000)</f>
        <v>1.7144217947767798E-2</v>
      </c>
      <c r="K1252" s="1" cm="1">
        <f t="array" ref="K1252">SUMPRODUCT(("T_C-ICE-DSL-S2"=[1]OUT_TransportEnergyCons!$A$3:$A$1000)*1,("var_fout"=[1]OUT_TransportEnergyCons!$B$3:$B$1000)*1,ISNUMBER(SEARCH("TPCAR",[1]OUT_TransportEnergyCons!$C$3:$C$1000))*1,[1]OUT_TransportEnergyCons!I$3:I$1000)</f>
        <v>5.6322243762505685E-5</v>
      </c>
      <c r="L1252" s="1" cm="1">
        <f t="array" ref="L1252">SUMPRODUCT(("T_C-ICE-DSL-S2"=[1]OUT_TransportEnergyCons!$A$3:$A$1000)*1,("var_fout"=[1]OUT_TransportEnergyCons!$B$3:$B$1000)*1,ISNUMBER(SEARCH("TPCAR",[1]OUT_TransportEnergyCons!$C$3:$C$1000))*1,[1]OUT_TransportEnergyCons!J$3:J$1000)</f>
        <v>0</v>
      </c>
      <c r="M1252" s="1" cm="1">
        <f t="array" ref="M1252">SUMPRODUCT(("T_C-ICE-DSL-S2"=[1]OUT_TransportEnergyCons!$A$3:$A$1000)*1,("var_fout"=[1]OUT_TransportEnergyCons!$B$3:$B$1000)*1,ISNUMBER(SEARCH("TPCAR",[1]OUT_TransportEnergyCons!$C$3:$C$1000))*1,[1]OUT_TransportEnergyCons!K$3:K$1000)</f>
        <v>0</v>
      </c>
      <c r="N1252" s="1" cm="1">
        <f t="array" ref="N1252">SUMPRODUCT(("T_C-ICE-DSL-S2"=[1]OUT_TransportEnergyCons!$A$3:$A$1000)*1,("var_fout"=[1]OUT_TransportEnergyCons!$B$3:$B$1000)*1,ISNUMBER(SEARCH("TPCAR",[1]OUT_TransportEnergyCons!$C$3:$C$1000))*1,[1]OUT_TransportEnergyCons!L$3:L$1000)</f>
        <v>0</v>
      </c>
      <c r="O1252" s="1" cm="1">
        <f t="array" ref="O1252">SUMPRODUCT(("T_C-ICE-DSL-S2"=[1]OUT_TransportEnergyCons!$A$3:$A$1000)*1,("var_fout"=[1]OUT_TransportEnergyCons!$B$3:$B$1000)*1,ISNUMBER(SEARCH("TPCAR",[1]OUT_TransportEnergyCons!$C$3:$C$1000))*1,[1]OUT_TransportEnergyCons!M$3:M$1000)</f>
        <v>0</v>
      </c>
      <c r="P1252" s="1" cm="1">
        <f t="array" ref="P1252">SUMPRODUCT(("T_C-ICE-DSL-S2"=[1]OUT_TransportEnergyCons!$A$3:$A$1000)*1,("var_fout"=[1]OUT_TransportEnergyCons!$B$3:$B$1000)*1,ISNUMBER(SEARCH("TPCAR",[1]OUT_TransportEnergyCons!$C$3:$C$1000))*1,[1]OUT_TransportEnergyCons!N$3:N$1000)</f>
        <v>0</v>
      </c>
      <c r="Q1252" s="1" cm="1">
        <f t="array" ref="Q1252">SUMPRODUCT(("T_C-ICE-DSL-S2"=[1]OUT_TransportEnergyCons!$A$3:$A$1000)*1,("var_fout"=[1]OUT_TransportEnergyCons!$B$3:$B$1000)*1,ISNUMBER(SEARCH("TPCAR",[1]OUT_TransportEnergyCons!$C$3:$C$1000))*1,[1]OUT_TransportEnergyCons!O$3:O$1000)</f>
        <v>0</v>
      </c>
      <c r="S1252" s="3"/>
    </row>
    <row r="1253" spans="2:19" x14ac:dyDescent="0.5">
      <c r="B1253" s="5" t="str">
        <f t="shared" si="1401"/>
        <v>SPS1</v>
      </c>
      <c r="C1253" s="5" t="str">
        <f t="shared" si="1402"/>
        <v>CH</v>
      </c>
      <c r="D1253" t="s">
        <v>1170</v>
      </c>
      <c r="E1253" t="str">
        <f t="shared" si="1400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2.6637784419309347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2.836112312770191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2.8065998136943806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2.1806097242582174</v>
      </c>
      <c r="J1253" s="1" cm="1">
        <f t="array" ref="J1253">SUMPRODUCT(("T_C-ICE-DSL-S3"=[1]OUT_TransportEnergyCons!$A$3:$A$1000)*1,("var_fout"=[1]OUT_TransportEnergyCons!$B$3:$B$1000)*1,ISNUMBER(SEARCH("TPCAR",[1]OUT_TransportEnergyCons!$C$3:$C$1000))*1,[1]OUT_TransportEnergyCons!H$3:H$1000)</f>
        <v>8.1740702314355845E-2</v>
      </c>
      <c r="K1253" s="1" cm="1">
        <f t="array" ref="K1253">SUMPRODUCT(("T_C-ICE-DSL-S3"=[1]OUT_TransportEnergyCons!$A$3:$A$1000)*1,("var_fout"=[1]OUT_TransportEnergyCons!$B$3:$B$1000)*1,ISNUMBER(SEARCH("TPCAR",[1]OUT_TransportEnergyCons!$C$3:$C$1000))*1,[1]OUT_TransportEnergyCons!I$3:I$1000)</f>
        <v>4.5203574078680305E-5</v>
      </c>
      <c r="L1253" s="1" cm="1">
        <f t="array" ref="L1253">SUMPRODUCT(("T_C-ICE-DSL-S3"=[1]OUT_TransportEnergyCons!$A$3:$A$1000)*1,("var_fout"=[1]OUT_TransportEnergyCons!$B$3:$B$1000)*1,ISNUMBER(SEARCH("TPCAR",[1]OUT_TransportEnergyCons!$C$3:$C$1000))*1,[1]OUT_TransportEnergyCons!J$3:J$1000)</f>
        <v>0</v>
      </c>
      <c r="M1253" s="1" cm="1">
        <f t="array" ref="M1253">SUMPRODUCT(("T_C-ICE-DSL-S3"=[1]OUT_TransportEnergyCons!$A$3:$A$1000)*1,("var_fout"=[1]OUT_TransportEnergyCons!$B$3:$B$1000)*1,ISNUMBER(SEARCH("TPCAR",[1]OUT_TransportEnergyCons!$C$3:$C$1000))*1,[1]OUT_TransportEnergyCons!K$3:K$1000)</f>
        <v>0</v>
      </c>
      <c r="N1253" s="1" cm="1">
        <f t="array" ref="N1253">SUMPRODUCT(("T_C-ICE-DSL-S3"=[1]OUT_TransportEnergyCons!$A$3:$A$1000)*1,("var_fout"=[1]OUT_TransportEnergyCons!$B$3:$B$1000)*1,ISNUMBER(SEARCH("TPCAR",[1]OUT_TransportEnergyCons!$C$3:$C$1000))*1,[1]OUT_TransportEnergyCons!L$3:L$1000)</f>
        <v>0</v>
      </c>
      <c r="O1253" s="1" cm="1">
        <f t="array" ref="O1253">SUMPRODUCT(("T_C-ICE-DSL-S3"=[1]OUT_TransportEnergyCons!$A$3:$A$1000)*1,("var_fout"=[1]OUT_TransportEnergyCons!$B$3:$B$1000)*1,ISNUMBER(SEARCH("TPCAR",[1]OUT_TransportEnergyCons!$C$3:$C$1000))*1,[1]OUT_TransportEnergyCons!M$3:M$1000)</f>
        <v>0</v>
      </c>
      <c r="P1253" s="1" cm="1">
        <f t="array" ref="P1253">SUMPRODUCT(("T_C-ICE-DSL-S3"=[1]OUT_TransportEnergyCons!$A$3:$A$1000)*1,("var_fout"=[1]OUT_TransportEnergyCons!$B$3:$B$1000)*1,ISNUMBER(SEARCH("TPCAR",[1]OUT_TransportEnergyCons!$C$3:$C$1000))*1,[1]OUT_TransportEnergyCons!N$3:N$1000)</f>
        <v>0</v>
      </c>
      <c r="Q1253" s="1" cm="1">
        <f t="array" ref="Q1253">SUMPRODUCT(("T_C-ICE-DSL-S3"=[1]OUT_TransportEnergyCons!$A$3:$A$1000)*1,("var_fout"=[1]OUT_TransportEnergyCons!$B$3:$B$1000)*1,ISNUMBER(SEARCH("TPCAR",[1]OUT_TransportEnergyCons!$C$3:$C$1000))*1,[1]OUT_TransportEnergyCons!O$3:O$1000)</f>
        <v>0</v>
      </c>
      <c r="S1253" s="3"/>
    </row>
    <row r="1254" spans="2:19" x14ac:dyDescent="0.5">
      <c r="B1254" s="5" t="str">
        <f t="shared" si="1401"/>
        <v>SPS1</v>
      </c>
      <c r="C1254" s="5" t="str">
        <f t="shared" si="1402"/>
        <v>CH</v>
      </c>
      <c r="D1254" t="s">
        <v>1171</v>
      </c>
      <c r="E1254" t="str">
        <f t="shared" si="1400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0.90419594316051066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1.0075862446505011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0.99284275559868962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0.7750863125997699</v>
      </c>
      <c r="J1254" s="1" cm="1">
        <f t="array" ref="J1254">SUMPRODUCT(("T_C-ICE-DSL-S4"=[1]OUT_TransportEnergyCons!$A$3:$A$1000)*1,("var_fout"=[1]OUT_TransportEnergyCons!$B$3:$B$1000)*1,ISNUMBER(SEARCH("TPCAR",[1]OUT_TransportEnergyCons!$C$3:$C$1000))*1,[1]OUT_TransportEnergyCons!H$3:H$1000)</f>
        <v>3.4691428022434335E-2</v>
      </c>
      <c r="K1254" s="1" cm="1">
        <f t="array" ref="K1254">SUMPRODUCT(("T_C-ICE-DSL-S4"=[1]OUT_TransportEnergyCons!$A$3:$A$1000)*1,("var_fout"=[1]OUT_TransportEnergyCons!$B$3:$B$1000)*1,ISNUMBER(SEARCH("TPCAR",[1]OUT_TransportEnergyCons!$C$3:$C$1000))*1,[1]OUT_TransportEnergyCons!I$3:I$1000)</f>
        <v>2.6429653123195565E-5</v>
      </c>
      <c r="L1254" s="1" cm="1">
        <f t="array" ref="L1254">SUMPRODUCT(("T_C-ICE-DSL-S4"=[1]OUT_TransportEnergyCons!$A$3:$A$1000)*1,("var_fout"=[1]OUT_TransportEnergyCons!$B$3:$B$1000)*1,ISNUMBER(SEARCH("TPCAR",[1]OUT_TransportEnergyCons!$C$3:$C$1000))*1,[1]OUT_TransportEnergyCons!J$3:J$1000)</f>
        <v>0</v>
      </c>
      <c r="M1254" s="1" cm="1">
        <f t="array" ref="M1254">SUMPRODUCT(("T_C-ICE-DSL-S4"=[1]OUT_TransportEnergyCons!$A$3:$A$1000)*1,("var_fout"=[1]OUT_TransportEnergyCons!$B$3:$B$1000)*1,ISNUMBER(SEARCH("TPCAR",[1]OUT_TransportEnergyCons!$C$3:$C$1000))*1,[1]OUT_TransportEnergyCons!K$3:K$1000)</f>
        <v>0</v>
      </c>
      <c r="N1254" s="1" cm="1">
        <f t="array" ref="N1254">SUMPRODUCT(("T_C-ICE-DSL-S4"=[1]OUT_TransportEnergyCons!$A$3:$A$1000)*1,("var_fout"=[1]OUT_TransportEnergyCons!$B$3:$B$1000)*1,ISNUMBER(SEARCH("TPCAR",[1]OUT_TransportEnergyCons!$C$3:$C$1000))*1,[1]OUT_TransportEnergyCons!L$3:L$1000)</f>
        <v>0</v>
      </c>
      <c r="O1254" s="1" cm="1">
        <f t="array" ref="O1254">SUMPRODUCT(("T_C-ICE-DSL-S4"=[1]OUT_TransportEnergyCons!$A$3:$A$1000)*1,("var_fout"=[1]OUT_TransportEnergyCons!$B$3:$B$1000)*1,ISNUMBER(SEARCH("TPCAR",[1]OUT_TransportEnergyCons!$C$3:$C$1000))*1,[1]OUT_TransportEnergyCons!M$3:M$1000)</f>
        <v>0</v>
      </c>
      <c r="P1254" s="1" cm="1">
        <f t="array" ref="P1254">SUMPRODUCT(("T_C-ICE-DSL-S4"=[1]OUT_TransportEnergyCons!$A$3:$A$1000)*1,("var_fout"=[1]OUT_TransportEnergyCons!$B$3:$B$1000)*1,ISNUMBER(SEARCH("TPCAR",[1]OUT_TransportEnergyCons!$C$3:$C$1000))*1,[1]OUT_TransportEnergyCons!N$3:N$1000)</f>
        <v>0</v>
      </c>
      <c r="Q1254" s="1" cm="1">
        <f t="array" ref="Q1254">SUMPRODUCT(("T_C-ICE-DSL-S4"=[1]OUT_TransportEnergyCons!$A$3:$A$1000)*1,("var_fout"=[1]OUT_TransportEnergyCons!$B$3:$B$1000)*1,ISNUMBER(SEARCH("TPCAR",[1]OUT_TransportEnergyCons!$C$3:$C$1000))*1,[1]OUT_TransportEnergyCons!O$3:O$1000)</f>
        <v>0</v>
      </c>
      <c r="S1254" s="3"/>
    </row>
    <row r="1255" spans="2:19" x14ac:dyDescent="0.5">
      <c r="B1255" s="5" t="str">
        <f t="shared" si="1401"/>
        <v>SPS1</v>
      </c>
      <c r="C1255" s="5" t="str">
        <f t="shared" si="1402"/>
        <v>CH</v>
      </c>
      <c r="D1255" t="s">
        <v>1172</v>
      </c>
      <c r="E1255" t="str">
        <f t="shared" si="1400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6.4525663867197891E-5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2.1867269481733504E-4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3.0909183079296106E-4</v>
      </c>
      <c r="J1255" s="1" cm="1">
        <f t="array" ref="J1255">SUMPRODUCT(("T_C-MHY-DSL-S1"=[1]OUT_TransportEnergyCons!$A$3:$A$1000)*1,("var_fout"=[1]OUT_TransportEnergyCons!$B$3:$B$1000)*1,ISNUMBER(SEARCH("TPCAR",[1]OUT_TransportEnergyCons!$C$3:$C$1000))*1,[1]OUT_TransportEnergyCons!H$3:H$1000)</f>
        <v>2.2220920669204294E-4</v>
      </c>
      <c r="K1255" s="1" cm="1">
        <f t="array" ref="K1255">SUMPRODUCT(("T_C-MHY-DSL-S1"=[1]OUT_TransportEnergyCons!$A$3:$A$1000)*1,("var_fout"=[1]OUT_TransportEnergyCons!$B$3:$B$1000)*1,ISNUMBER(SEARCH("TPCAR",[1]OUT_TransportEnergyCons!$C$3:$C$1000))*1,[1]OUT_TransportEnergyCons!I$3:I$1000)</f>
        <v>7.844715818312223E-5</v>
      </c>
      <c r="L1255" s="1" cm="1">
        <f t="array" ref="L1255">SUMPRODUCT(("T_C-MHY-DSL-S1"=[1]OUT_TransportEnergyCons!$A$3:$A$1000)*1,("var_fout"=[1]OUT_TransportEnergyCons!$B$3:$B$1000)*1,ISNUMBER(SEARCH("TPCAR",[1]OUT_TransportEnergyCons!$C$3:$C$1000))*1,[1]OUT_TransportEnergyCons!J$3:J$1000)</f>
        <v>0</v>
      </c>
      <c r="M1255" s="1" cm="1">
        <f t="array" ref="M1255">SUMPRODUCT(("T_C-MHY-DSL-S1"=[1]OUT_TransportEnergyCons!$A$3:$A$1000)*1,("var_fout"=[1]OUT_TransportEnergyCons!$B$3:$B$1000)*1,ISNUMBER(SEARCH("TPCAR",[1]OUT_TransportEnergyCons!$C$3:$C$1000))*1,[1]OUT_TransportEnergyCons!K$3:K$1000)</f>
        <v>0</v>
      </c>
      <c r="N1255" s="1" cm="1">
        <f t="array" ref="N1255">SUMPRODUCT(("T_C-MHY-DSL-S1"=[1]OUT_TransportEnergyCons!$A$3:$A$1000)*1,("var_fout"=[1]OUT_TransportEnergyCons!$B$3:$B$1000)*1,ISNUMBER(SEARCH("TPCAR",[1]OUT_TransportEnergyCons!$C$3:$C$1000))*1,[1]OUT_TransportEnergyCons!L$3:L$1000)</f>
        <v>0</v>
      </c>
      <c r="O1255" s="1" cm="1">
        <f t="array" ref="O1255">SUMPRODUCT(("T_C-MHY-DSL-S1"=[1]OUT_TransportEnergyCons!$A$3:$A$1000)*1,("var_fout"=[1]OUT_TransportEnergyCons!$B$3:$B$1000)*1,ISNUMBER(SEARCH("TPCAR",[1]OUT_TransportEnergyCons!$C$3:$C$1000))*1,[1]OUT_TransportEnergyCons!M$3:M$1000)</f>
        <v>0</v>
      </c>
      <c r="P1255" s="1" cm="1">
        <f t="array" ref="P1255">SUMPRODUCT(("T_C-MHY-DSL-S1"=[1]OUT_TransportEnergyCons!$A$3:$A$1000)*1,("var_fout"=[1]OUT_TransportEnergyCons!$B$3:$B$1000)*1,ISNUMBER(SEARCH("TPCAR",[1]OUT_TransportEnergyCons!$C$3:$C$1000))*1,[1]OUT_TransportEnergyCons!N$3:N$1000)</f>
        <v>0</v>
      </c>
      <c r="Q1255" s="1" cm="1">
        <f t="array" ref="Q1255">SUMPRODUCT(("T_C-MHY-DSL-S1"=[1]OUT_TransportEnergyCons!$A$3:$A$1000)*1,("var_fout"=[1]OUT_TransportEnergyCons!$B$3:$B$1000)*1,ISNUMBER(SEARCH("TPCAR",[1]OUT_TransportEnergyCons!$C$3:$C$1000))*1,[1]OUT_TransportEnergyCons!O$3:O$1000)</f>
        <v>0</v>
      </c>
      <c r="S1255" s="3"/>
    </row>
    <row r="1256" spans="2:19" x14ac:dyDescent="0.5">
      <c r="B1256" s="5" t="str">
        <f t="shared" si="1401"/>
        <v>SPS1</v>
      </c>
      <c r="C1256" s="5" t="str">
        <f t="shared" si="1402"/>
        <v>CH</v>
      </c>
      <c r="D1256" t="s">
        <v>1173</v>
      </c>
      <c r="E1256" t="str">
        <f t="shared" si="1400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4.7660268997663622E-5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1.8404936249298933E-4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2.6252750308046366E-4</v>
      </c>
      <c r="J1256" s="1" cm="1">
        <f t="array" ref="J1256">SUMPRODUCT(("T_C-MHY-DSL-S2"=[1]OUT_TransportEnergyCons!$A$3:$A$1000)*1,("var_fout"=[1]OUT_TransportEnergyCons!$B$3:$B$1000)*1,ISNUMBER(SEARCH("TPCAR",[1]OUT_TransportEnergyCons!$C$3:$C$1000))*1,[1]OUT_TransportEnergyCons!H$3:H$1000)</f>
        <v>1.7478679196284989E-4</v>
      </c>
      <c r="K1256" s="1" cm="1">
        <f t="array" ref="K1256">SUMPRODUCT(("T_C-MHY-DSL-S2"=[1]OUT_TransportEnergyCons!$A$3:$A$1000)*1,("var_fout"=[1]OUT_TransportEnergyCons!$B$3:$B$1000)*1,ISNUMBER(SEARCH("TPCAR",[1]OUT_TransportEnergyCons!$C$3:$C$1000))*1,[1]OUT_TransportEnergyCons!I$3:I$1000)</f>
        <v>5.997186641631206E-5</v>
      </c>
      <c r="L1256" s="1" cm="1">
        <f t="array" ref="L1256">SUMPRODUCT(("T_C-MHY-DSL-S2"=[1]OUT_TransportEnergyCons!$A$3:$A$1000)*1,("var_fout"=[1]OUT_TransportEnergyCons!$B$3:$B$1000)*1,ISNUMBER(SEARCH("TPCAR",[1]OUT_TransportEnergyCons!$C$3:$C$1000))*1,[1]OUT_TransportEnergyCons!J$3:J$1000)</f>
        <v>0</v>
      </c>
      <c r="M1256" s="1" cm="1">
        <f t="array" ref="M1256">SUMPRODUCT(("T_C-MHY-DSL-S2"=[1]OUT_TransportEnergyCons!$A$3:$A$1000)*1,("var_fout"=[1]OUT_TransportEnergyCons!$B$3:$B$1000)*1,ISNUMBER(SEARCH("TPCAR",[1]OUT_TransportEnergyCons!$C$3:$C$1000))*1,[1]OUT_TransportEnergyCons!K$3:K$1000)</f>
        <v>0</v>
      </c>
      <c r="N1256" s="1" cm="1">
        <f t="array" ref="N1256">SUMPRODUCT(("T_C-MHY-DSL-S2"=[1]OUT_TransportEnergyCons!$A$3:$A$1000)*1,("var_fout"=[1]OUT_TransportEnergyCons!$B$3:$B$1000)*1,ISNUMBER(SEARCH("TPCAR",[1]OUT_TransportEnergyCons!$C$3:$C$1000))*1,[1]OUT_TransportEnergyCons!L$3:L$1000)</f>
        <v>0</v>
      </c>
      <c r="O1256" s="1" cm="1">
        <f t="array" ref="O1256">SUMPRODUCT(("T_C-MHY-DSL-S2"=[1]OUT_TransportEnergyCons!$A$3:$A$1000)*1,("var_fout"=[1]OUT_TransportEnergyCons!$B$3:$B$1000)*1,ISNUMBER(SEARCH("TPCAR",[1]OUT_TransportEnergyCons!$C$3:$C$1000))*1,[1]OUT_TransportEnergyCons!M$3:M$1000)</f>
        <v>0</v>
      </c>
      <c r="P1256" s="1" cm="1">
        <f t="array" ref="P1256">SUMPRODUCT(("T_C-MHY-DSL-S2"=[1]OUT_TransportEnergyCons!$A$3:$A$1000)*1,("var_fout"=[1]OUT_TransportEnergyCons!$B$3:$B$1000)*1,ISNUMBER(SEARCH("TPCAR",[1]OUT_TransportEnergyCons!$C$3:$C$1000))*1,[1]OUT_TransportEnergyCons!N$3:N$1000)</f>
        <v>0</v>
      </c>
      <c r="Q1256" s="1" cm="1">
        <f t="array" ref="Q1256">SUMPRODUCT(("T_C-MHY-DSL-S2"=[1]OUT_TransportEnergyCons!$A$3:$A$1000)*1,("var_fout"=[1]OUT_TransportEnergyCons!$B$3:$B$1000)*1,ISNUMBER(SEARCH("TPCAR",[1]OUT_TransportEnergyCons!$C$3:$C$1000))*1,[1]OUT_TransportEnergyCons!O$3:O$1000)</f>
        <v>0</v>
      </c>
      <c r="S1256" s="3"/>
    </row>
    <row r="1257" spans="2:19" x14ac:dyDescent="0.5">
      <c r="B1257" s="5" t="str">
        <f t="shared" si="1401"/>
        <v>SPS1</v>
      </c>
      <c r="C1257" s="5" t="str">
        <f t="shared" si="1402"/>
        <v>CH</v>
      </c>
      <c r="D1257" t="s">
        <v>1174</v>
      </c>
      <c r="E1257" t="str">
        <f t="shared" si="1400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6.0208215817245277E-5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1.873225613495271E-4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2.4229247071564655E-4</v>
      </c>
      <c r="J1257" s="1" cm="1">
        <f t="array" ref="J1257">SUMPRODUCT(("T_C-MHY-DSL-S3"=[1]OUT_TransportEnergyCons!$A$3:$A$1000)*1,("var_fout"=[1]OUT_TransportEnergyCons!$B$3:$B$1000)*1,ISNUMBER(SEARCH("TPCAR",[1]OUT_TransportEnergyCons!$C$3:$C$1000))*1,[1]OUT_TransportEnergyCons!H$3:H$1000)</f>
        <v>1.5939829620980085E-4</v>
      </c>
      <c r="K1257" s="1" cm="1">
        <f t="array" ref="K1257">SUMPRODUCT(("T_C-MHY-DSL-S3"=[1]OUT_TransportEnergyCons!$A$3:$A$1000)*1,("var_fout"=[1]OUT_TransportEnergyCons!$B$3:$B$1000)*1,ISNUMBER(SEARCH("TPCAR",[1]OUT_TransportEnergyCons!$C$3:$C$1000))*1,[1]OUT_TransportEnergyCons!I$3:I$1000)</f>
        <v>4.9130356047366007E-5</v>
      </c>
      <c r="L1257" s="1" cm="1">
        <f t="array" ref="L1257">SUMPRODUCT(("T_C-MHY-DSL-S3"=[1]OUT_TransportEnergyCons!$A$3:$A$1000)*1,("var_fout"=[1]OUT_TransportEnergyCons!$B$3:$B$1000)*1,ISNUMBER(SEARCH("TPCAR",[1]OUT_TransportEnergyCons!$C$3:$C$1000))*1,[1]OUT_TransportEnergyCons!J$3:J$1000)</f>
        <v>0</v>
      </c>
      <c r="M1257" s="1" cm="1">
        <f t="array" ref="M1257">SUMPRODUCT(("T_C-MHY-DSL-S3"=[1]OUT_TransportEnergyCons!$A$3:$A$1000)*1,("var_fout"=[1]OUT_TransportEnergyCons!$B$3:$B$1000)*1,ISNUMBER(SEARCH("TPCAR",[1]OUT_TransportEnergyCons!$C$3:$C$1000))*1,[1]OUT_TransportEnergyCons!K$3:K$1000)</f>
        <v>0</v>
      </c>
      <c r="N1257" s="1" cm="1">
        <f t="array" ref="N1257">SUMPRODUCT(("T_C-MHY-DSL-S3"=[1]OUT_TransportEnergyCons!$A$3:$A$1000)*1,("var_fout"=[1]OUT_TransportEnergyCons!$B$3:$B$1000)*1,ISNUMBER(SEARCH("TPCAR",[1]OUT_TransportEnergyCons!$C$3:$C$1000))*1,[1]OUT_TransportEnergyCons!L$3:L$1000)</f>
        <v>0</v>
      </c>
      <c r="O1257" s="1" cm="1">
        <f t="array" ref="O1257">SUMPRODUCT(("T_C-MHY-DSL-S3"=[1]OUT_TransportEnergyCons!$A$3:$A$1000)*1,("var_fout"=[1]OUT_TransportEnergyCons!$B$3:$B$1000)*1,ISNUMBER(SEARCH("TPCAR",[1]OUT_TransportEnergyCons!$C$3:$C$1000))*1,[1]OUT_TransportEnergyCons!M$3:M$1000)</f>
        <v>0</v>
      </c>
      <c r="P1257" s="1" cm="1">
        <f t="array" ref="P1257">SUMPRODUCT(("T_C-MHY-DSL-S3"=[1]OUT_TransportEnergyCons!$A$3:$A$1000)*1,("var_fout"=[1]OUT_TransportEnergyCons!$B$3:$B$1000)*1,ISNUMBER(SEARCH("TPCAR",[1]OUT_TransportEnergyCons!$C$3:$C$1000))*1,[1]OUT_TransportEnergyCons!N$3:N$1000)</f>
        <v>0</v>
      </c>
      <c r="Q1257" s="1" cm="1">
        <f t="array" ref="Q1257">SUMPRODUCT(("T_C-MHY-DSL-S3"=[1]OUT_TransportEnergyCons!$A$3:$A$1000)*1,("var_fout"=[1]OUT_TransportEnergyCons!$B$3:$B$1000)*1,ISNUMBER(SEARCH("TPCAR",[1]OUT_TransportEnergyCons!$C$3:$C$1000))*1,[1]OUT_TransportEnergyCons!O$3:O$1000)</f>
        <v>0</v>
      </c>
      <c r="S1257" s="3"/>
    </row>
    <row r="1258" spans="2:19" x14ac:dyDescent="0.5">
      <c r="B1258" s="5" t="str">
        <f t="shared" si="1401"/>
        <v>SPS1</v>
      </c>
      <c r="C1258" s="5" t="str">
        <f t="shared" si="1402"/>
        <v>CH</v>
      </c>
      <c r="D1258" t="s">
        <v>1175</v>
      </c>
      <c r="E1258" t="str">
        <f t="shared" si="1400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3.8860694367426327E-5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9.8068743387300715E-5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1.3443505860161233E-4</v>
      </c>
      <c r="J1258" s="1" cm="1">
        <f t="array" ref="J1258">SUMPRODUCT(("T_C-MHY-DSL-S4"=[1]OUT_TransportEnergyCons!$A$3:$A$1000)*1,("var_fout"=[1]OUT_TransportEnergyCons!$B$3:$B$1000)*1,ISNUMBER(SEARCH("TPCAR",[1]OUT_TransportEnergyCons!$C$3:$C$1000))*1,[1]OUT_TransportEnergyCons!H$3:H$1000)</f>
        <v>8.748210227876994E-5</v>
      </c>
      <c r="K1258" s="1" cm="1">
        <f t="array" ref="K1258">SUMPRODUCT(("T_C-MHY-DSL-S4"=[1]OUT_TransportEnergyCons!$A$3:$A$1000)*1,("var_fout"=[1]OUT_TransportEnergyCons!$B$3:$B$1000)*1,ISNUMBER(SEARCH("TPCAR",[1]OUT_TransportEnergyCons!$C$3:$C$1000))*1,[1]OUT_TransportEnergyCons!I$3:I$1000)</f>
        <v>2.871526422171263E-5</v>
      </c>
      <c r="L1258" s="1" cm="1">
        <f t="array" ref="L1258">SUMPRODUCT(("T_C-MHY-DSL-S4"=[1]OUT_TransportEnergyCons!$A$3:$A$1000)*1,("var_fout"=[1]OUT_TransportEnergyCons!$B$3:$B$1000)*1,ISNUMBER(SEARCH("TPCAR",[1]OUT_TransportEnergyCons!$C$3:$C$1000))*1,[1]OUT_TransportEnergyCons!J$3:J$1000)</f>
        <v>0</v>
      </c>
      <c r="M1258" s="1" cm="1">
        <f t="array" ref="M1258">SUMPRODUCT(("T_C-MHY-DSL-S4"=[1]OUT_TransportEnergyCons!$A$3:$A$1000)*1,("var_fout"=[1]OUT_TransportEnergyCons!$B$3:$B$1000)*1,ISNUMBER(SEARCH("TPCAR",[1]OUT_TransportEnergyCons!$C$3:$C$1000))*1,[1]OUT_TransportEnergyCons!K$3:K$1000)</f>
        <v>0</v>
      </c>
      <c r="N1258" s="1" cm="1">
        <f t="array" ref="N1258">SUMPRODUCT(("T_C-MHY-DSL-S4"=[1]OUT_TransportEnergyCons!$A$3:$A$1000)*1,("var_fout"=[1]OUT_TransportEnergyCons!$B$3:$B$1000)*1,ISNUMBER(SEARCH("TPCAR",[1]OUT_TransportEnergyCons!$C$3:$C$1000))*1,[1]OUT_TransportEnergyCons!L$3:L$1000)</f>
        <v>0</v>
      </c>
      <c r="O1258" s="1" cm="1">
        <f t="array" ref="O1258">SUMPRODUCT(("T_C-MHY-DSL-S4"=[1]OUT_TransportEnergyCons!$A$3:$A$1000)*1,("var_fout"=[1]OUT_TransportEnergyCons!$B$3:$B$1000)*1,ISNUMBER(SEARCH("TPCAR",[1]OUT_TransportEnergyCons!$C$3:$C$1000))*1,[1]OUT_TransportEnergyCons!M$3:M$1000)</f>
        <v>0</v>
      </c>
      <c r="P1258" s="1" cm="1">
        <f t="array" ref="P1258">SUMPRODUCT(("T_C-MHY-DSL-S4"=[1]OUT_TransportEnergyCons!$A$3:$A$1000)*1,("var_fout"=[1]OUT_TransportEnergyCons!$B$3:$B$1000)*1,ISNUMBER(SEARCH("TPCAR",[1]OUT_TransportEnergyCons!$C$3:$C$1000))*1,[1]OUT_TransportEnergyCons!N$3:N$1000)</f>
        <v>0</v>
      </c>
      <c r="Q1258" s="1" cm="1">
        <f t="array" ref="Q1258">SUMPRODUCT(("T_C-MHY-DSL-S4"=[1]OUT_TransportEnergyCons!$A$3:$A$1000)*1,("var_fout"=[1]OUT_TransportEnergyCons!$B$3:$B$1000)*1,ISNUMBER(SEARCH("TPCAR",[1]OUT_TransportEnergyCons!$C$3:$C$1000))*1,[1]OUT_TransportEnergyCons!O$3:O$1000)</f>
        <v>0</v>
      </c>
      <c r="S1258" s="3"/>
    </row>
    <row r="1259" spans="2:19" x14ac:dyDescent="0.5">
      <c r="B1259" s="5" t="str">
        <f t="shared" si="1401"/>
        <v>SPS1</v>
      </c>
      <c r="C1259" s="5" t="str">
        <f t="shared" si="1402"/>
        <v>CH</v>
      </c>
      <c r="D1259" t="s">
        <v>1176</v>
      </c>
      <c r="E1259" t="str">
        <f t="shared" si="1400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SUMPRODUCT(("T_C-ICENGAEXT"=[1]OUT_TransportEnergyCons!$A$3:$A$1000)*1,("var_fout"=[1]OUT_TransportEnergyCons!$B$3:$B$1000)*1,ISNUMBER(SEARCH("TPCAR",[1]OUT_TransportEnergyCons!$C$3:$C$1000))*1,[1]OUT_TransportEnergyCons!H$3:H$1000)</f>
        <v>0</v>
      </c>
      <c r="K1259" s="1" cm="1">
        <f t="array" ref="K1259">SUMPRODUCT(("T_C-ICENGAEXT"=[1]OUT_TransportEnergyCons!$A$3:$A$1000)*1,("var_fout"=[1]OUT_TransportEnergyCons!$B$3:$B$1000)*1,ISNUMBER(SEARCH("TPCAR",[1]OUT_TransportEnergyCons!$C$3:$C$1000))*1,[1]OUT_TransportEnergyCons!I$3:I$1000)</f>
        <v>0</v>
      </c>
      <c r="L1259" s="1" cm="1">
        <f t="array" ref="L1259">SUMPRODUCT(("T_C-ICENGAEXT"=[1]OUT_TransportEnergyCons!$A$3:$A$1000)*1,("var_fout"=[1]OUT_TransportEnergyCons!$B$3:$B$1000)*1,ISNUMBER(SEARCH("TPCAR",[1]OUT_TransportEnergyCons!$C$3:$C$1000))*1,[1]OUT_TransportEnergyCons!J$3:J$1000)</f>
        <v>0</v>
      </c>
      <c r="M1259" s="1" cm="1">
        <f t="array" ref="M1259">SUMPRODUCT(("T_C-ICENGAEXT"=[1]OUT_TransportEnergyCons!$A$3:$A$1000)*1,("var_fout"=[1]OUT_TransportEnergyCons!$B$3:$B$1000)*1,ISNUMBER(SEARCH("TPCAR",[1]OUT_TransportEnergyCons!$C$3:$C$1000))*1,[1]OUT_TransportEnergyCons!K$3:K$1000)</f>
        <v>0</v>
      </c>
      <c r="N1259" s="1" cm="1">
        <f t="array" ref="N1259">SUMPRODUCT(("T_C-ICENGAEXT"=[1]OUT_TransportEnergyCons!$A$3:$A$1000)*1,("var_fout"=[1]OUT_TransportEnergyCons!$B$3:$B$1000)*1,ISNUMBER(SEARCH("TPCAR",[1]OUT_TransportEnergyCons!$C$3:$C$1000))*1,[1]OUT_TransportEnergyCons!L$3:L$1000)</f>
        <v>0</v>
      </c>
      <c r="O1259" s="1" cm="1">
        <f t="array" ref="O1259">SUMPRODUCT(("T_C-ICENGAEXT"=[1]OUT_TransportEnergyCons!$A$3:$A$1000)*1,("var_fout"=[1]OUT_TransportEnergyCons!$B$3:$B$1000)*1,ISNUMBER(SEARCH("TPCAR",[1]OUT_TransportEnergyCons!$C$3:$C$1000))*1,[1]OUT_TransportEnergyCons!M$3:M$1000)</f>
        <v>0</v>
      </c>
      <c r="P1259" s="1" cm="1">
        <f t="array" ref="P1259">SUMPRODUCT(("T_C-ICENGAEXT"=[1]OUT_TransportEnergyCons!$A$3:$A$1000)*1,("var_fout"=[1]OUT_TransportEnergyCons!$B$3:$B$1000)*1,ISNUMBER(SEARCH("TPCAR",[1]OUT_TransportEnergyCons!$C$3:$C$1000))*1,[1]OUT_TransportEnergyCons!N$3:N$1000)</f>
        <v>0</v>
      </c>
      <c r="Q1259" s="1" cm="1">
        <f t="array" ref="Q1259">SUMPRODUCT(("T_C-ICENGAEXT"=[1]OUT_TransportEnergyCons!$A$3:$A$1000)*1,("var_fout"=[1]OUT_TransportEnergyCons!$B$3:$B$1000)*1,ISNUMBER(SEARCH("TPCAR",[1]OUT_TransportEnergyCons!$C$3:$C$1000))*1,[1]OUT_TransportEnergyCons!O$3:O$1000)</f>
        <v>0</v>
      </c>
      <c r="S1259" s="3"/>
    </row>
    <row r="1260" spans="2:19" x14ac:dyDescent="0.5">
      <c r="B1260" s="5" t="str">
        <f t="shared" si="1401"/>
        <v>SPS1</v>
      </c>
      <c r="C1260" s="5" t="str">
        <f t="shared" si="1402"/>
        <v>CH</v>
      </c>
      <c r="D1260" t="s">
        <v>1177</v>
      </c>
      <c r="E1260" t="str">
        <f t="shared" si="1400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2.2893666085649872E-3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1.1592368320974273E-3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1.1236530961225627E-3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7.006724962288049E-5</v>
      </c>
      <c r="J1260" s="1" cm="1">
        <f t="array" ref="J1260">SUMPRODUCT(("T_C-ICE-NGA-S1"=[1]OUT_TransportEnergyCons!$A$3:$A$1000)*1,("var_fout"=[1]OUT_TransportEnergyCons!$B$3:$B$1000)*1,ISNUMBER(SEARCH("TPCAR",[1]OUT_TransportEnergyCons!$C$3:$C$1000))*1,[1]OUT_TransportEnergyCons!H$3:H$1000)</f>
        <v>1.2999341710982978E-5</v>
      </c>
      <c r="K1260" s="1" cm="1">
        <f t="array" ref="K1260">SUMPRODUCT(("T_C-ICE-NGA-S1"=[1]OUT_TransportEnergyCons!$A$3:$A$1000)*1,("var_fout"=[1]OUT_TransportEnergyCons!$B$3:$B$1000)*1,ISNUMBER(SEARCH("TPCAR",[1]OUT_TransportEnergyCons!$C$3:$C$1000))*1,[1]OUT_TransportEnergyCons!I$3:I$1000)</f>
        <v>0</v>
      </c>
      <c r="L1260" s="1" cm="1">
        <f t="array" ref="L1260">SUMPRODUCT(("T_C-ICE-NGA-S1"=[1]OUT_TransportEnergyCons!$A$3:$A$1000)*1,("var_fout"=[1]OUT_TransportEnergyCons!$B$3:$B$1000)*1,ISNUMBER(SEARCH("TPCAR",[1]OUT_TransportEnergyCons!$C$3:$C$1000))*1,[1]OUT_TransportEnergyCons!J$3:J$1000)</f>
        <v>0</v>
      </c>
      <c r="M1260" s="1" cm="1">
        <f t="array" ref="M1260">SUMPRODUCT(("T_C-ICE-NGA-S1"=[1]OUT_TransportEnergyCons!$A$3:$A$1000)*1,("var_fout"=[1]OUT_TransportEnergyCons!$B$3:$B$1000)*1,ISNUMBER(SEARCH("TPCAR",[1]OUT_TransportEnergyCons!$C$3:$C$1000))*1,[1]OUT_TransportEnergyCons!K$3:K$1000)</f>
        <v>0</v>
      </c>
      <c r="N1260" s="1" cm="1">
        <f t="array" ref="N1260">SUMPRODUCT(("T_C-ICE-NGA-S1"=[1]OUT_TransportEnergyCons!$A$3:$A$1000)*1,("var_fout"=[1]OUT_TransportEnergyCons!$B$3:$B$1000)*1,ISNUMBER(SEARCH("TPCAR",[1]OUT_TransportEnergyCons!$C$3:$C$1000))*1,[1]OUT_TransportEnergyCons!L$3:L$1000)</f>
        <v>0</v>
      </c>
      <c r="O1260" s="1" cm="1">
        <f t="array" ref="O1260">SUMPRODUCT(("T_C-ICE-NGA-S1"=[1]OUT_TransportEnergyCons!$A$3:$A$1000)*1,("var_fout"=[1]OUT_TransportEnergyCons!$B$3:$B$1000)*1,ISNUMBER(SEARCH("TPCAR",[1]OUT_TransportEnergyCons!$C$3:$C$1000))*1,[1]OUT_TransportEnergyCons!M$3:M$1000)</f>
        <v>0</v>
      </c>
      <c r="P1260" s="1" cm="1">
        <f t="array" ref="P1260">SUMPRODUCT(("T_C-ICE-NGA-S1"=[1]OUT_TransportEnergyCons!$A$3:$A$1000)*1,("var_fout"=[1]OUT_TransportEnergyCons!$B$3:$B$1000)*1,ISNUMBER(SEARCH("TPCAR",[1]OUT_TransportEnergyCons!$C$3:$C$1000))*1,[1]OUT_TransportEnergyCons!N$3:N$1000)</f>
        <v>0</v>
      </c>
      <c r="Q1260" s="1" cm="1">
        <f t="array" ref="Q1260">SUMPRODUCT(("T_C-ICE-NGA-S1"=[1]OUT_TransportEnergyCons!$A$3:$A$1000)*1,("var_fout"=[1]OUT_TransportEnergyCons!$B$3:$B$1000)*1,ISNUMBER(SEARCH("TPCAR",[1]OUT_TransportEnergyCons!$C$3:$C$1000))*1,[1]OUT_TransportEnergyCons!O$3:O$1000)</f>
        <v>0</v>
      </c>
      <c r="S1260" s="3"/>
    </row>
    <row r="1261" spans="2:19" x14ac:dyDescent="0.5">
      <c r="B1261" s="5" t="str">
        <f t="shared" si="1401"/>
        <v>SPS1</v>
      </c>
      <c r="C1261" s="5" t="str">
        <f t="shared" si="1402"/>
        <v>CH</v>
      </c>
      <c r="D1261" t="s">
        <v>1178</v>
      </c>
      <c r="E1261" t="str">
        <f t="shared" si="1400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3.5417270135169251E-2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3.3875862052514125E-2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3.695518429674774E-2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0</v>
      </c>
      <c r="J1261" s="1" cm="1">
        <f t="array" ref="J1261">SUMPRODUCT(("T_C-ICE-NGA-S2"=[1]OUT_TransportEnergyCons!$A$3:$A$1000)*1,("var_fout"=[1]OUT_TransportEnergyCons!$B$3:$B$1000)*1,ISNUMBER(SEARCH("TPCAR",[1]OUT_TransportEnergyCons!$C$3:$C$1000))*1,[1]OUT_TransportEnergyCons!H$3:H$1000)</f>
        <v>0</v>
      </c>
      <c r="K1261" s="1" cm="1">
        <f t="array" ref="K1261">SUMPRODUCT(("T_C-ICE-NGA-S2"=[1]OUT_TransportEnergyCons!$A$3:$A$1000)*1,("var_fout"=[1]OUT_TransportEnergyCons!$B$3:$B$1000)*1,ISNUMBER(SEARCH("TPCAR",[1]OUT_TransportEnergyCons!$C$3:$C$1000))*1,[1]OUT_TransportEnergyCons!I$3:I$1000)</f>
        <v>0</v>
      </c>
      <c r="L1261" s="1" cm="1">
        <f t="array" ref="L1261">SUMPRODUCT(("T_C-ICE-NGA-S2"=[1]OUT_TransportEnergyCons!$A$3:$A$1000)*1,("var_fout"=[1]OUT_TransportEnergyCons!$B$3:$B$1000)*1,ISNUMBER(SEARCH("TPCAR",[1]OUT_TransportEnergyCons!$C$3:$C$1000))*1,[1]OUT_TransportEnergyCons!J$3:J$1000)</f>
        <v>0</v>
      </c>
      <c r="M1261" s="1" cm="1">
        <f t="array" ref="M1261">SUMPRODUCT(("T_C-ICE-NGA-S2"=[1]OUT_TransportEnergyCons!$A$3:$A$1000)*1,("var_fout"=[1]OUT_TransportEnergyCons!$B$3:$B$1000)*1,ISNUMBER(SEARCH("TPCAR",[1]OUT_TransportEnergyCons!$C$3:$C$1000))*1,[1]OUT_TransportEnergyCons!K$3:K$1000)</f>
        <v>0</v>
      </c>
      <c r="N1261" s="1" cm="1">
        <f t="array" ref="N1261">SUMPRODUCT(("T_C-ICE-NGA-S2"=[1]OUT_TransportEnergyCons!$A$3:$A$1000)*1,("var_fout"=[1]OUT_TransportEnergyCons!$B$3:$B$1000)*1,ISNUMBER(SEARCH("TPCAR",[1]OUT_TransportEnergyCons!$C$3:$C$1000))*1,[1]OUT_TransportEnergyCons!L$3:L$1000)</f>
        <v>0</v>
      </c>
      <c r="O1261" s="1" cm="1">
        <f t="array" ref="O1261">SUMPRODUCT(("T_C-ICE-NGA-S2"=[1]OUT_TransportEnergyCons!$A$3:$A$1000)*1,("var_fout"=[1]OUT_TransportEnergyCons!$B$3:$B$1000)*1,ISNUMBER(SEARCH("TPCAR",[1]OUT_TransportEnergyCons!$C$3:$C$1000))*1,[1]OUT_TransportEnergyCons!M$3:M$1000)</f>
        <v>0</v>
      </c>
      <c r="P1261" s="1" cm="1">
        <f t="array" ref="P1261">SUMPRODUCT(("T_C-ICE-NGA-S2"=[1]OUT_TransportEnergyCons!$A$3:$A$1000)*1,("var_fout"=[1]OUT_TransportEnergyCons!$B$3:$B$1000)*1,ISNUMBER(SEARCH("TPCAR",[1]OUT_TransportEnergyCons!$C$3:$C$1000))*1,[1]OUT_TransportEnergyCons!N$3:N$1000)</f>
        <v>0</v>
      </c>
      <c r="Q1261" s="1" cm="1">
        <f t="array" ref="Q1261">SUMPRODUCT(("T_C-ICE-NGA-S2"=[1]OUT_TransportEnergyCons!$A$3:$A$1000)*1,("var_fout"=[1]OUT_TransportEnergyCons!$B$3:$B$1000)*1,ISNUMBER(SEARCH("TPCAR",[1]OUT_TransportEnergyCons!$C$3:$C$1000))*1,[1]OUT_TransportEnergyCons!O$3:O$1000)</f>
        <v>0</v>
      </c>
      <c r="S1261" s="3"/>
    </row>
    <row r="1262" spans="2:19" x14ac:dyDescent="0.5">
      <c r="B1262" s="5" t="str">
        <f t="shared" si="1401"/>
        <v>SPS1</v>
      </c>
      <c r="C1262" s="5" t="str">
        <f t="shared" si="1402"/>
        <v>CH</v>
      </c>
      <c r="D1262" t="s">
        <v>1179</v>
      </c>
      <c r="E1262" t="str">
        <f t="shared" si="1400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2.0871084133319132E-3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1.9098433297030553E-3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2.2684685396379633E-3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1.8250583928226894E-4</v>
      </c>
      <c r="J1262" s="1" cm="1">
        <f t="array" ref="J1262">SUMPRODUCT(("T_C-ICE-NGA-S3"=[1]OUT_TransportEnergyCons!$A$3:$A$1000)*1,("var_fout"=[1]OUT_TransportEnergyCons!$B$3:$B$1000)*1,ISNUMBER(SEARCH("TPCAR",[1]OUT_TransportEnergyCons!$C$3:$C$1000))*1,[1]OUT_TransportEnergyCons!H$3:H$1000)</f>
        <v>2.9925581325658017E-5</v>
      </c>
      <c r="K1262" s="1" cm="1">
        <f t="array" ref="K1262">SUMPRODUCT(("T_C-ICE-NGA-S3"=[1]OUT_TransportEnergyCons!$A$3:$A$1000)*1,("var_fout"=[1]OUT_TransportEnergyCons!$B$3:$B$1000)*1,ISNUMBER(SEARCH("TPCAR",[1]OUT_TransportEnergyCons!$C$3:$C$1000))*1,[1]OUT_TransportEnergyCons!I$3:I$1000)</f>
        <v>0</v>
      </c>
      <c r="L1262" s="1" cm="1">
        <f t="array" ref="L1262">SUMPRODUCT(("T_C-ICE-NGA-S3"=[1]OUT_TransportEnergyCons!$A$3:$A$1000)*1,("var_fout"=[1]OUT_TransportEnergyCons!$B$3:$B$1000)*1,ISNUMBER(SEARCH("TPCAR",[1]OUT_TransportEnergyCons!$C$3:$C$1000))*1,[1]OUT_TransportEnergyCons!J$3:J$1000)</f>
        <v>0</v>
      </c>
      <c r="M1262" s="1" cm="1">
        <f t="array" ref="M1262">SUMPRODUCT(("T_C-ICE-NGA-S3"=[1]OUT_TransportEnergyCons!$A$3:$A$1000)*1,("var_fout"=[1]OUT_TransportEnergyCons!$B$3:$B$1000)*1,ISNUMBER(SEARCH("TPCAR",[1]OUT_TransportEnergyCons!$C$3:$C$1000))*1,[1]OUT_TransportEnergyCons!K$3:K$1000)</f>
        <v>0</v>
      </c>
      <c r="N1262" s="1" cm="1">
        <f t="array" ref="N1262">SUMPRODUCT(("T_C-ICE-NGA-S3"=[1]OUT_TransportEnergyCons!$A$3:$A$1000)*1,("var_fout"=[1]OUT_TransportEnergyCons!$B$3:$B$1000)*1,ISNUMBER(SEARCH("TPCAR",[1]OUT_TransportEnergyCons!$C$3:$C$1000))*1,[1]OUT_TransportEnergyCons!L$3:L$1000)</f>
        <v>0</v>
      </c>
      <c r="O1262" s="1" cm="1">
        <f t="array" ref="O1262">SUMPRODUCT(("T_C-ICE-NGA-S3"=[1]OUT_TransportEnergyCons!$A$3:$A$1000)*1,("var_fout"=[1]OUT_TransportEnergyCons!$B$3:$B$1000)*1,ISNUMBER(SEARCH("TPCAR",[1]OUT_TransportEnergyCons!$C$3:$C$1000))*1,[1]OUT_TransportEnergyCons!M$3:M$1000)</f>
        <v>0</v>
      </c>
      <c r="P1262" s="1" cm="1">
        <f t="array" ref="P1262">SUMPRODUCT(("T_C-ICE-NGA-S3"=[1]OUT_TransportEnergyCons!$A$3:$A$1000)*1,("var_fout"=[1]OUT_TransportEnergyCons!$B$3:$B$1000)*1,ISNUMBER(SEARCH("TPCAR",[1]OUT_TransportEnergyCons!$C$3:$C$1000))*1,[1]OUT_TransportEnergyCons!N$3:N$1000)</f>
        <v>0</v>
      </c>
      <c r="Q1262" s="1" cm="1">
        <f t="array" ref="Q1262">SUMPRODUCT(("T_C-ICE-NGA-S3"=[1]OUT_TransportEnergyCons!$A$3:$A$1000)*1,("var_fout"=[1]OUT_TransportEnergyCons!$B$3:$B$1000)*1,ISNUMBER(SEARCH("TPCAR",[1]OUT_TransportEnergyCons!$C$3:$C$1000))*1,[1]OUT_TransportEnergyCons!O$3:O$1000)</f>
        <v>0</v>
      </c>
      <c r="S1262" s="3"/>
    </row>
    <row r="1263" spans="2:19" x14ac:dyDescent="0.5">
      <c r="B1263" s="5" t="str">
        <f t="shared" si="1401"/>
        <v>SPS1</v>
      </c>
      <c r="C1263" s="5" t="str">
        <f t="shared" si="1402"/>
        <v>CH</v>
      </c>
      <c r="D1263" t="s">
        <v>1180</v>
      </c>
      <c r="E1263" t="str">
        <f t="shared" si="1400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3.3052477212928269E-2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3.2172572781790053E-2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2.9931050933705825E-2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0</v>
      </c>
      <c r="J1263" s="1" cm="1">
        <f t="array" ref="J1263">SUMPRODUCT(("T_C-ICE-NGA-S4"=[1]OUT_TransportEnergyCons!$A$3:$A$1000)*1,("var_fout"=[1]OUT_TransportEnergyCons!$B$3:$B$1000)*1,ISNUMBER(SEARCH("TPCAR",[1]OUT_TransportEnergyCons!$C$3:$C$1000))*1,[1]OUT_TransportEnergyCons!H$3:H$1000)</f>
        <v>0</v>
      </c>
      <c r="K1263" s="1" cm="1">
        <f t="array" ref="K1263">SUMPRODUCT(("T_C-ICE-NGA-S4"=[1]OUT_TransportEnergyCons!$A$3:$A$1000)*1,("var_fout"=[1]OUT_TransportEnergyCons!$B$3:$B$1000)*1,ISNUMBER(SEARCH("TPCAR",[1]OUT_TransportEnergyCons!$C$3:$C$1000))*1,[1]OUT_TransportEnergyCons!I$3:I$1000)</f>
        <v>0</v>
      </c>
      <c r="L1263" s="1" cm="1">
        <f t="array" ref="L1263">SUMPRODUCT(("T_C-ICE-NGA-S4"=[1]OUT_TransportEnergyCons!$A$3:$A$1000)*1,("var_fout"=[1]OUT_TransportEnergyCons!$B$3:$B$1000)*1,ISNUMBER(SEARCH("TPCAR",[1]OUT_TransportEnergyCons!$C$3:$C$1000))*1,[1]OUT_TransportEnergyCons!J$3:J$1000)</f>
        <v>0</v>
      </c>
      <c r="M1263" s="1" cm="1">
        <f t="array" ref="M1263">SUMPRODUCT(("T_C-ICE-NGA-S4"=[1]OUT_TransportEnergyCons!$A$3:$A$1000)*1,("var_fout"=[1]OUT_TransportEnergyCons!$B$3:$B$1000)*1,ISNUMBER(SEARCH("TPCAR",[1]OUT_TransportEnergyCons!$C$3:$C$1000))*1,[1]OUT_TransportEnergyCons!K$3:K$1000)</f>
        <v>0</v>
      </c>
      <c r="N1263" s="1" cm="1">
        <f t="array" ref="N1263">SUMPRODUCT(("T_C-ICE-NGA-S4"=[1]OUT_TransportEnergyCons!$A$3:$A$1000)*1,("var_fout"=[1]OUT_TransportEnergyCons!$B$3:$B$1000)*1,ISNUMBER(SEARCH("TPCAR",[1]OUT_TransportEnergyCons!$C$3:$C$1000))*1,[1]OUT_TransportEnergyCons!L$3:L$1000)</f>
        <v>0</v>
      </c>
      <c r="O1263" s="1" cm="1">
        <f t="array" ref="O1263">SUMPRODUCT(("T_C-ICE-NGA-S4"=[1]OUT_TransportEnergyCons!$A$3:$A$1000)*1,("var_fout"=[1]OUT_TransportEnergyCons!$B$3:$B$1000)*1,ISNUMBER(SEARCH("TPCAR",[1]OUT_TransportEnergyCons!$C$3:$C$1000))*1,[1]OUT_TransportEnergyCons!M$3:M$1000)</f>
        <v>0</v>
      </c>
      <c r="P1263" s="1" cm="1">
        <f t="array" ref="P1263">SUMPRODUCT(("T_C-ICE-NGA-S4"=[1]OUT_TransportEnergyCons!$A$3:$A$1000)*1,("var_fout"=[1]OUT_TransportEnergyCons!$B$3:$B$1000)*1,ISNUMBER(SEARCH("TPCAR",[1]OUT_TransportEnergyCons!$C$3:$C$1000))*1,[1]OUT_TransportEnergyCons!N$3:N$1000)</f>
        <v>0</v>
      </c>
      <c r="Q1263" s="1" cm="1">
        <f t="array" ref="Q1263">SUMPRODUCT(("T_C-ICE-NGA-S4"=[1]OUT_TransportEnergyCons!$A$3:$A$1000)*1,("var_fout"=[1]OUT_TransportEnergyCons!$B$3:$B$1000)*1,ISNUMBER(SEARCH("TPCAR",[1]OUT_TransportEnergyCons!$C$3:$C$1000))*1,[1]OUT_TransportEnergyCons!O$3:O$1000)</f>
        <v>0</v>
      </c>
      <c r="S1263" s="3"/>
    </row>
    <row r="1264" spans="2:19" x14ac:dyDescent="0.5">
      <c r="B1264" s="5" t="str">
        <f t="shared" si="1401"/>
        <v>SPS1</v>
      </c>
      <c r="C1264" s="5" t="str">
        <f t="shared" si="1402"/>
        <v>CH</v>
      </c>
      <c r="D1264" s="2" t="s">
        <v>1130</v>
      </c>
      <c r="E1264" s="2" t="s">
        <v>1229</v>
      </c>
      <c r="F1264" s="19" t="s">
        <v>292</v>
      </c>
      <c r="G1264" s="19" t="s">
        <v>292</v>
      </c>
      <c r="H1264" s="19" t="s">
        <v>292</v>
      </c>
      <c r="I1264" s="19" t="s">
        <v>292</v>
      </c>
      <c r="J1264" s="19" t="s">
        <v>292</v>
      </c>
      <c r="K1264" s="19" t="s">
        <v>292</v>
      </c>
      <c r="L1264" s="19" t="s">
        <v>292</v>
      </c>
      <c r="M1264" s="19" t="s">
        <v>292</v>
      </c>
      <c r="N1264" s="19" t="s">
        <v>292</v>
      </c>
      <c r="O1264" s="19" t="s">
        <v>292</v>
      </c>
      <c r="P1264" s="19" t="s">
        <v>292</v>
      </c>
      <c r="Q1264" s="19" t="s">
        <v>292</v>
      </c>
      <c r="S1264" s="3"/>
    </row>
    <row r="1265" spans="2:19" x14ac:dyDescent="0.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403">IFERROR(F1214/F1138,"-")</f>
        <v>0.8895119943136145</v>
      </c>
      <c r="G1265" s="1">
        <f t="shared" si="1403"/>
        <v>0.95694536964701793</v>
      </c>
      <c r="H1265" s="1">
        <f t="shared" si="1403"/>
        <v>1.0580954326471257</v>
      </c>
      <c r="I1265" s="1">
        <f t="shared" si="1403"/>
        <v>1.2266788709806373</v>
      </c>
      <c r="J1265" s="1" t="str">
        <f t="shared" si="1403"/>
        <v>-</v>
      </c>
      <c r="K1265" s="1" t="str">
        <f t="shared" si="1403"/>
        <v>-</v>
      </c>
      <c r="L1265" s="1" t="str">
        <f t="shared" ref="L1265:O1265" si="1404">IFERROR(L1214/L1138,"-")</f>
        <v>-</v>
      </c>
      <c r="M1265" s="1" t="str">
        <f t="shared" si="1404"/>
        <v>-</v>
      </c>
      <c r="N1265" s="1" t="str">
        <f t="shared" si="1404"/>
        <v>-</v>
      </c>
      <c r="O1265" s="1" t="str">
        <f t="shared" si="1404"/>
        <v>-</v>
      </c>
      <c r="P1265" s="1" t="str">
        <f t="shared" ref="P1265:Q1269" si="1405">IFERROR(P1214/P1138,"-")</f>
        <v>-</v>
      </c>
      <c r="Q1265" s="1" t="str">
        <f t="shared" si="1405"/>
        <v>-</v>
      </c>
      <c r="S1265" s="3"/>
    </row>
    <row r="1266" spans="2:19" x14ac:dyDescent="0.5">
      <c r="B1266" s="5" t="str">
        <f t="shared" ref="B1266:B1314" si="1406">B1265</f>
        <v>SPS1</v>
      </c>
      <c r="C1266" s="5" t="str">
        <f t="shared" ref="C1266:C1314" si="1407">C1265</f>
        <v>CH</v>
      </c>
      <c r="D1266" t="s">
        <v>1182</v>
      </c>
      <c r="E1266" t="str">
        <f t="shared" ref="E1266:E1314" si="1408">E1265</f>
        <v>km/MJ</v>
      </c>
      <c r="F1266" s="1">
        <f t="shared" si="1403"/>
        <v>1.8116719735064508</v>
      </c>
      <c r="G1266" s="1">
        <f t="shared" si="1403"/>
        <v>1.8116719735064517</v>
      </c>
      <c r="H1266" s="1">
        <f t="shared" si="1403"/>
        <v>1.8116719735064493</v>
      </c>
      <c r="I1266" s="1">
        <f t="shared" si="1403"/>
        <v>1.8116719735064495</v>
      </c>
      <c r="J1266" s="1">
        <f t="shared" si="1403"/>
        <v>1.8646280801273714</v>
      </c>
      <c r="K1266" s="1">
        <f t="shared" si="1403"/>
        <v>1.9170866258531833</v>
      </c>
      <c r="L1266" s="1">
        <f t="shared" ref="L1266:O1266" si="1409">IFERROR(L1215/L1139,"-")</f>
        <v>2.0060923268662343</v>
      </c>
      <c r="M1266" s="1">
        <f t="shared" si="1409"/>
        <v>2.1177291263657776</v>
      </c>
      <c r="N1266" s="1">
        <f t="shared" si="1409"/>
        <v>2.212161302106471</v>
      </c>
      <c r="O1266" s="1">
        <f t="shared" si="1409"/>
        <v>2.3263895803181187</v>
      </c>
      <c r="P1266" s="1">
        <f t="shared" si="1405"/>
        <v>2.398597947111849</v>
      </c>
      <c r="Q1266" s="1">
        <f t="shared" si="1405"/>
        <v>2.4388889884859624</v>
      </c>
      <c r="S1266" s="3"/>
    </row>
    <row r="1267" spans="2:19" x14ac:dyDescent="0.5">
      <c r="B1267" s="5" t="str">
        <f t="shared" si="1406"/>
        <v>SPS1</v>
      </c>
      <c r="C1267" s="5" t="str">
        <f t="shared" si="1407"/>
        <v>CH</v>
      </c>
      <c r="D1267" t="s">
        <v>1183</v>
      </c>
      <c r="E1267" t="str">
        <f t="shared" si="1408"/>
        <v>km/MJ</v>
      </c>
      <c r="F1267" s="1">
        <f t="shared" si="1403"/>
        <v>1.4637982671179692</v>
      </c>
      <c r="G1267" s="1">
        <f t="shared" si="1403"/>
        <v>1.4637982671179686</v>
      </c>
      <c r="H1267" s="1">
        <f t="shared" si="1403"/>
        <v>1.4637982671179706</v>
      </c>
      <c r="I1267" s="1">
        <f t="shared" si="1403"/>
        <v>1.4637982671179699</v>
      </c>
      <c r="J1267" s="1">
        <f t="shared" si="1403"/>
        <v>1.5182753206268746</v>
      </c>
      <c r="K1267" s="1">
        <f t="shared" si="1403"/>
        <v>1.5506518661158508</v>
      </c>
      <c r="L1267" s="1">
        <f t="shared" ref="L1267:O1267" si="1410">IFERROR(L1216/L1140,"-")</f>
        <v>1.6153031638486659</v>
      </c>
      <c r="M1267" s="1">
        <f t="shared" si="1410"/>
        <v>1.736493604073873</v>
      </c>
      <c r="N1267" s="1">
        <f t="shared" si="1410"/>
        <v>1.8055099971424664</v>
      </c>
      <c r="O1267" s="1">
        <f t="shared" si="1410"/>
        <v>1.8982820031233427</v>
      </c>
      <c r="P1267" s="1">
        <f t="shared" si="1405"/>
        <v>1.9686291816030645</v>
      </c>
      <c r="Q1267" s="1">
        <f t="shared" si="1405"/>
        <v>2.0020171865354275</v>
      </c>
      <c r="S1267" s="3"/>
    </row>
    <row r="1268" spans="2:19" x14ac:dyDescent="0.5">
      <c r="B1268" s="5" t="str">
        <f t="shared" si="1406"/>
        <v>SPS1</v>
      </c>
      <c r="C1268" s="5" t="str">
        <f t="shared" si="1407"/>
        <v>CH</v>
      </c>
      <c r="D1268" t="s">
        <v>1184</v>
      </c>
      <c r="E1268" t="str">
        <f t="shared" si="1408"/>
        <v>km/MJ</v>
      </c>
      <c r="F1268" s="1">
        <f t="shared" si="1403"/>
        <v>1.3374527251492012</v>
      </c>
      <c r="G1268" s="1">
        <f t="shared" si="1403"/>
        <v>1.3374527251492005</v>
      </c>
      <c r="H1268" s="1">
        <f t="shared" si="1403"/>
        <v>1.3374527251491979</v>
      </c>
      <c r="I1268" s="1">
        <f t="shared" si="1403"/>
        <v>1.3374527251492023</v>
      </c>
      <c r="J1268" s="1">
        <f t="shared" si="1403"/>
        <v>1.4069170524775918</v>
      </c>
      <c r="K1268" s="1">
        <f t="shared" si="1403"/>
        <v>1.4717060956851082</v>
      </c>
      <c r="L1268" s="1">
        <f t="shared" ref="L1268:O1268" si="1411">IFERROR(L1217/L1141,"-")</f>
        <v>1.4793905751784799</v>
      </c>
      <c r="M1268" s="1">
        <f t="shared" si="1411"/>
        <v>1.5978389349461311</v>
      </c>
      <c r="N1268" s="1">
        <f t="shared" si="1411"/>
        <v>1.6752451174472966</v>
      </c>
      <c r="O1268" s="1">
        <f t="shared" si="1411"/>
        <v>1.7532227878588149</v>
      </c>
      <c r="P1268" s="1">
        <f t="shared" si="1405"/>
        <v>1.8180756245540195</v>
      </c>
      <c r="Q1268" s="1">
        <f t="shared" si="1405"/>
        <v>1.834967497667469</v>
      </c>
      <c r="S1268" s="3"/>
    </row>
    <row r="1269" spans="2:19" x14ac:dyDescent="0.5">
      <c r="B1269" s="5" t="str">
        <f t="shared" si="1406"/>
        <v>SPS1</v>
      </c>
      <c r="C1269" s="5" t="str">
        <f t="shared" si="1407"/>
        <v>CH</v>
      </c>
      <c r="D1269" t="s">
        <v>1185</v>
      </c>
      <c r="E1269" t="str">
        <f t="shared" si="1408"/>
        <v>km/MJ</v>
      </c>
      <c r="F1269" s="1">
        <f t="shared" si="1403"/>
        <v>1.2949729235430809</v>
      </c>
      <c r="G1269" s="1">
        <f t="shared" si="1403"/>
        <v>1.2949729235430811</v>
      </c>
      <c r="H1269" s="1">
        <f t="shared" si="1403"/>
        <v>1.2949729235430794</v>
      </c>
      <c r="I1269" s="1">
        <f t="shared" si="1403"/>
        <v>1.2949729235430818</v>
      </c>
      <c r="J1269" s="1">
        <f t="shared" si="1403"/>
        <v>1.3282191470490041</v>
      </c>
      <c r="K1269" s="1">
        <f t="shared" si="1403"/>
        <v>1.376094555975562</v>
      </c>
      <c r="L1269" s="1">
        <f t="shared" ref="L1269:O1269" si="1412">IFERROR(L1218/L1142,"-")</f>
        <v>1.4444609321062083</v>
      </c>
      <c r="M1269" s="1">
        <f t="shared" si="1412"/>
        <v>1.5172250431948051</v>
      </c>
      <c r="N1269" s="1">
        <f t="shared" si="1412"/>
        <v>1.5801870536616607</v>
      </c>
      <c r="O1269" s="1">
        <f t="shared" si="1412"/>
        <v>1.6464601711882212</v>
      </c>
      <c r="P1269" s="1">
        <f t="shared" si="1405"/>
        <v>1.6808848076657317</v>
      </c>
      <c r="Q1269" s="1">
        <f t="shared" si="1405"/>
        <v>1.7320682333389019</v>
      </c>
      <c r="S1269" s="3"/>
    </row>
    <row r="1270" spans="2:19" x14ac:dyDescent="0.5">
      <c r="B1270" s="5" t="str">
        <f t="shared" si="1406"/>
        <v>SPS1</v>
      </c>
      <c r="C1270" s="5" t="str">
        <f t="shared" si="1407"/>
        <v>CH</v>
      </c>
      <c r="D1270" t="s">
        <v>1186</v>
      </c>
      <c r="E1270" t="str">
        <f t="shared" si="1408"/>
        <v>km/MJ</v>
      </c>
      <c r="F1270" s="1">
        <f t="shared" ref="F1270:K1273" si="1413">IFERROR(F1219/SUM(F1143,F1176),"-")</f>
        <v>0.71170025564634376</v>
      </c>
      <c r="G1270" s="1">
        <f t="shared" si="1413"/>
        <v>0.75975506837344831</v>
      </c>
      <c r="H1270" s="1">
        <f t="shared" si="1413"/>
        <v>0.77141695263669963</v>
      </c>
      <c r="I1270" s="1">
        <f t="shared" si="1413"/>
        <v>0.81076059636942777</v>
      </c>
      <c r="J1270" s="1">
        <f t="shared" si="1413"/>
        <v>0.84041336506213449</v>
      </c>
      <c r="K1270" s="1">
        <f t="shared" si="1413"/>
        <v>0.92396873851698291</v>
      </c>
      <c r="L1270" s="1">
        <f t="shared" ref="L1270:O1270" si="1414">IFERROR(L1219/SUM(L1143,L1176),"-")</f>
        <v>1.0155760660207642</v>
      </c>
      <c r="M1270" s="1">
        <f t="shared" si="1414"/>
        <v>1.1041466801867201</v>
      </c>
      <c r="N1270" s="1">
        <f t="shared" si="1414"/>
        <v>1.2053346073839091</v>
      </c>
      <c r="O1270" s="1">
        <f t="shared" si="1414"/>
        <v>1.3320661967156289</v>
      </c>
      <c r="P1270" s="1">
        <f t="shared" ref="P1270:Q1273" si="1415">IFERROR(P1219/SUM(P1143,P1176),"-")</f>
        <v>1.3548431115111992</v>
      </c>
      <c r="Q1270" s="1">
        <f t="shared" si="1415"/>
        <v>1.412664078204432</v>
      </c>
      <c r="S1270" s="3"/>
    </row>
    <row r="1271" spans="2:19" x14ac:dyDescent="0.5">
      <c r="B1271" s="5" t="str">
        <f t="shared" si="1406"/>
        <v>SPS1</v>
      </c>
      <c r="C1271" s="5" t="str">
        <f t="shared" si="1407"/>
        <v>CH</v>
      </c>
      <c r="D1271" t="s">
        <v>1187</v>
      </c>
      <c r="E1271" t="str">
        <f t="shared" si="1408"/>
        <v>km/MJ</v>
      </c>
      <c r="F1271" s="1">
        <f t="shared" si="1413"/>
        <v>0.58981513219579562</v>
      </c>
      <c r="G1271" s="1">
        <f t="shared" si="1413"/>
        <v>0.58738190216368025</v>
      </c>
      <c r="H1271" s="1">
        <f t="shared" si="1413"/>
        <v>0.58966879482688705</v>
      </c>
      <c r="I1271" s="1">
        <f t="shared" si="1413"/>
        <v>0.59019916743207335</v>
      </c>
      <c r="J1271" s="1">
        <f t="shared" si="1413"/>
        <v>0.69881216629258247</v>
      </c>
      <c r="K1271" s="1">
        <f t="shared" si="1413"/>
        <v>0.77524112033769799</v>
      </c>
      <c r="L1271" s="1">
        <f t="shared" ref="L1271:O1271" si="1416">IFERROR(L1220/SUM(L1144,L1177),"-")</f>
        <v>0.85799922023508224</v>
      </c>
      <c r="M1271" s="1">
        <f t="shared" si="1416"/>
        <v>1.0217637579802139</v>
      </c>
      <c r="N1271" s="1">
        <f t="shared" si="1416"/>
        <v>1.0265367075662288</v>
      </c>
      <c r="O1271" s="1">
        <f t="shared" si="1416"/>
        <v>1.1433225480240516</v>
      </c>
      <c r="P1271" s="1">
        <f t="shared" si="1415"/>
        <v>1.1596629304638486</v>
      </c>
      <c r="Q1271" s="1">
        <f t="shared" si="1415"/>
        <v>1.2227627288350331</v>
      </c>
      <c r="S1271" s="3"/>
    </row>
    <row r="1272" spans="2:19" x14ac:dyDescent="0.5">
      <c r="B1272" s="5" t="str">
        <f t="shared" si="1406"/>
        <v>SPS1</v>
      </c>
      <c r="C1272" s="5" t="str">
        <f t="shared" si="1407"/>
        <v>CH</v>
      </c>
      <c r="D1272" t="s">
        <v>1188</v>
      </c>
      <c r="E1272" t="str">
        <f t="shared" si="1408"/>
        <v>km/MJ</v>
      </c>
      <c r="F1272" s="1">
        <f t="shared" si="1413"/>
        <v>0.54553540428767899</v>
      </c>
      <c r="G1272" s="1">
        <f t="shared" si="1413"/>
        <v>0.60404241254746815</v>
      </c>
      <c r="H1272" s="1">
        <f t="shared" si="1413"/>
        <v>0.61793074128292425</v>
      </c>
      <c r="I1272" s="1">
        <f t="shared" si="1413"/>
        <v>0.66531818350947247</v>
      </c>
      <c r="J1272" s="1">
        <f t="shared" si="1413"/>
        <v>0.68011211700627361</v>
      </c>
      <c r="K1272" s="1">
        <f t="shared" si="1413"/>
        <v>0.77227151199118982</v>
      </c>
      <c r="L1272" s="1">
        <f t="shared" ref="L1272:O1272" si="1417">IFERROR(L1221/SUM(L1145,L1178),"-")</f>
        <v>0.85686707276059948</v>
      </c>
      <c r="M1272" s="1">
        <f t="shared" si="1417"/>
        <v>1.0201626698416371</v>
      </c>
      <c r="N1272" s="1">
        <f t="shared" si="1417"/>
        <v>1.0023300162207867</v>
      </c>
      <c r="O1272" s="1">
        <f t="shared" si="1417"/>
        <v>1.1193937972218115</v>
      </c>
      <c r="P1272" s="1">
        <f t="shared" si="1415"/>
        <v>1.1408499219025909</v>
      </c>
      <c r="Q1272" s="1">
        <f t="shared" si="1415"/>
        <v>1.1920424892911707</v>
      </c>
      <c r="S1272" s="3"/>
    </row>
    <row r="1273" spans="2:19" x14ac:dyDescent="0.5">
      <c r="B1273" s="5" t="str">
        <f t="shared" si="1406"/>
        <v>SPS1</v>
      </c>
      <c r="C1273" s="5" t="str">
        <f t="shared" si="1407"/>
        <v>CH</v>
      </c>
      <c r="D1273" t="s">
        <v>1189</v>
      </c>
      <c r="E1273" t="str">
        <f t="shared" si="1408"/>
        <v>km/MJ</v>
      </c>
      <c r="F1273" s="1">
        <f t="shared" si="1413"/>
        <v>0.51975568473665912</v>
      </c>
      <c r="G1273" s="1">
        <f t="shared" si="1413"/>
        <v>0.52018495078550342</v>
      </c>
      <c r="H1273" s="1">
        <f t="shared" si="1413"/>
        <v>0.52098998669131635</v>
      </c>
      <c r="I1273" s="1">
        <f t="shared" si="1413"/>
        <v>0.54731023281062474</v>
      </c>
      <c r="J1273" s="1">
        <f t="shared" si="1413"/>
        <v>0.63807580766642669</v>
      </c>
      <c r="K1273" s="1">
        <f t="shared" si="1413"/>
        <v>0.70787348293058394</v>
      </c>
      <c r="L1273" s="1">
        <f t="shared" ref="L1273:O1273" si="1418">IFERROR(L1222/SUM(L1146,L1179),"-")</f>
        <v>0.78189648881035112</v>
      </c>
      <c r="M1273" s="1">
        <f t="shared" si="1418"/>
        <v>0.95315871158411414</v>
      </c>
      <c r="N1273" s="1">
        <f t="shared" si="1418"/>
        <v>0.93195700845713791</v>
      </c>
      <c r="O1273" s="1">
        <f t="shared" si="1418"/>
        <v>1.0007569941505852</v>
      </c>
      <c r="P1273" s="1">
        <f t="shared" si="1415"/>
        <v>1.0349339128328587</v>
      </c>
      <c r="Q1273" s="1">
        <f t="shared" si="1415"/>
        <v>1.0696746016182377</v>
      </c>
      <c r="S1273" s="3"/>
    </row>
    <row r="1274" spans="2:19" x14ac:dyDescent="0.5">
      <c r="B1274" s="5" t="str">
        <f t="shared" si="1406"/>
        <v>SPS1</v>
      </c>
      <c r="C1274" s="5" t="str">
        <f t="shared" si="1407"/>
        <v>CH</v>
      </c>
      <c r="D1274" t="s">
        <v>1190</v>
      </c>
      <c r="E1274" t="str">
        <f t="shared" si="1408"/>
        <v>km/MJ</v>
      </c>
      <c r="F1274" s="1">
        <f t="shared" ref="F1274:K1277" si="1419">IFERROR(F1223/SUM(F1147,F1199),"-")</f>
        <v>0.72840569582556902</v>
      </c>
      <c r="G1274" s="1">
        <f t="shared" si="1419"/>
        <v>0.77375696105677261</v>
      </c>
      <c r="H1274" s="1">
        <f t="shared" si="1419"/>
        <v>0.78580190614474155</v>
      </c>
      <c r="I1274" s="1">
        <f t="shared" si="1419"/>
        <v>0.82557875170142159</v>
      </c>
      <c r="J1274" s="1">
        <f t="shared" si="1419"/>
        <v>0.85428218926522825</v>
      </c>
      <c r="K1274" s="1">
        <f t="shared" si="1419"/>
        <v>0.93706433474953355</v>
      </c>
      <c r="L1274" s="1">
        <f t="shared" ref="L1274:O1274" si="1420">IFERROR(L1223/SUM(L1147,L1199),"-")</f>
        <v>1.0228241149608333</v>
      </c>
      <c r="M1274" s="1">
        <f t="shared" si="1420"/>
        <v>1.1999040098153639</v>
      </c>
      <c r="N1274" s="1">
        <f t="shared" si="1420"/>
        <v>1.2098447365840561</v>
      </c>
      <c r="O1274" s="1">
        <f t="shared" si="1420"/>
        <v>1.319859675510737</v>
      </c>
      <c r="P1274" s="1">
        <f t="shared" ref="P1274:Q1277" si="1421">IFERROR(P1223/SUM(P1147,P1199),"-")</f>
        <v>1.3393980952305837</v>
      </c>
      <c r="Q1274" s="1">
        <f t="shared" si="1421"/>
        <v>1.3859191186429163</v>
      </c>
      <c r="S1274" s="3"/>
    </row>
    <row r="1275" spans="2:19" x14ac:dyDescent="0.5">
      <c r="B1275" s="5" t="str">
        <f t="shared" si="1406"/>
        <v>SPS1</v>
      </c>
      <c r="C1275" s="5" t="str">
        <f t="shared" si="1407"/>
        <v>CH</v>
      </c>
      <c r="D1275" t="s">
        <v>1191</v>
      </c>
      <c r="E1275" t="str">
        <f t="shared" si="1408"/>
        <v>km/MJ</v>
      </c>
      <c r="F1275" s="1">
        <f t="shared" si="1419"/>
        <v>0.56206409087873033</v>
      </c>
      <c r="G1275" s="1">
        <f t="shared" si="1419"/>
        <v>0.63683797096169215</v>
      </c>
      <c r="H1275" s="1">
        <f t="shared" si="1419"/>
        <v>0.64814013135088</v>
      </c>
      <c r="I1275" s="1">
        <f t="shared" si="1419"/>
        <v>0.63641577352933021</v>
      </c>
      <c r="J1275" s="1">
        <f t="shared" si="1419"/>
        <v>0.70662654142154557</v>
      </c>
      <c r="K1275" s="1">
        <f t="shared" si="1419"/>
        <v>0.78400667364279397</v>
      </c>
      <c r="L1275" s="1">
        <f t="shared" ref="L1275:O1275" si="1422">IFERROR(L1224/SUM(L1148,L1200),"-")</f>
        <v>0.87071055968277655</v>
      </c>
      <c r="M1275" s="1">
        <f t="shared" si="1422"/>
        <v>1.0028725218380403</v>
      </c>
      <c r="N1275" s="1">
        <f t="shared" si="1422"/>
        <v>1.0344765972930601</v>
      </c>
      <c r="O1275" s="1">
        <f t="shared" si="1422"/>
        <v>1.1473236821661295</v>
      </c>
      <c r="P1275" s="1">
        <f t="shared" si="1421"/>
        <v>1.1535529881879338</v>
      </c>
      <c r="Q1275" s="1">
        <f t="shared" si="1421"/>
        <v>1.2026386758451935</v>
      </c>
      <c r="S1275" s="3"/>
    </row>
    <row r="1276" spans="2:19" x14ac:dyDescent="0.5">
      <c r="B1276" s="5" t="str">
        <f t="shared" si="1406"/>
        <v>SPS1</v>
      </c>
      <c r="C1276" s="5" t="str">
        <f t="shared" si="1407"/>
        <v>CH</v>
      </c>
      <c r="D1276" t="s">
        <v>1192</v>
      </c>
      <c r="E1276" t="str">
        <f t="shared" si="1408"/>
        <v>km/MJ</v>
      </c>
      <c r="F1276" s="1">
        <f t="shared" si="1419"/>
        <v>0.5496525946447145</v>
      </c>
      <c r="G1276" s="1">
        <f t="shared" si="1419"/>
        <v>0.61233280919816213</v>
      </c>
      <c r="H1276" s="1">
        <f t="shared" si="1419"/>
        <v>0.62626291962728731</v>
      </c>
      <c r="I1276" s="1">
        <f t="shared" si="1419"/>
        <v>0.67374004087299766</v>
      </c>
      <c r="J1276" s="1">
        <f t="shared" si="1419"/>
        <v>0.6886640954706259</v>
      </c>
      <c r="K1276" s="1">
        <f t="shared" si="1419"/>
        <v>0.7810035177432354</v>
      </c>
      <c r="L1276" s="1">
        <f t="shared" ref="L1276:O1276" si="1423">IFERROR(L1225/SUM(L1149,L1201),"-")</f>
        <v>0.86463105691299347</v>
      </c>
      <c r="M1276" s="1">
        <f t="shared" si="1423"/>
        <v>0.98153558952697539</v>
      </c>
      <c r="N1276" s="1">
        <f t="shared" si="1423"/>
        <v>1.0172675548048027</v>
      </c>
      <c r="O1276" s="1">
        <f t="shared" si="1423"/>
        <v>1.1381500200811916</v>
      </c>
      <c r="P1276" s="1">
        <f t="shared" si="1421"/>
        <v>1.1441965227249948</v>
      </c>
      <c r="Q1276" s="1">
        <f t="shared" si="1421"/>
        <v>1.1876691356559743</v>
      </c>
      <c r="S1276" s="3"/>
    </row>
    <row r="1277" spans="2:19" x14ac:dyDescent="0.5">
      <c r="B1277" s="5" t="str">
        <f t="shared" si="1406"/>
        <v>SPS1</v>
      </c>
      <c r="C1277" s="5" t="str">
        <f t="shared" si="1407"/>
        <v>CH</v>
      </c>
      <c r="D1277" t="s">
        <v>1193</v>
      </c>
      <c r="E1277" t="str">
        <f t="shared" si="1408"/>
        <v>km/MJ</v>
      </c>
      <c r="F1277" s="1">
        <f t="shared" si="1419"/>
        <v>0.52694746733201492</v>
      </c>
      <c r="G1277" s="1">
        <f t="shared" si="1419"/>
        <v>0.52887396799101938</v>
      </c>
      <c r="H1277" s="1">
        <f t="shared" si="1419"/>
        <v>0.53375360240040659</v>
      </c>
      <c r="I1277" s="1">
        <f t="shared" si="1419"/>
        <v>0.54993918270650932</v>
      </c>
      <c r="J1277" s="1">
        <f t="shared" si="1419"/>
        <v>0.64515851411692349</v>
      </c>
      <c r="K1277" s="1">
        <f t="shared" si="1419"/>
        <v>0.71962463320420988</v>
      </c>
      <c r="L1277" s="1">
        <f t="shared" ref="L1277:O1277" si="1424">IFERROR(L1226/SUM(L1150,L1202),"-")</f>
        <v>0.79554413389207235</v>
      </c>
      <c r="M1277" s="1">
        <f t="shared" si="1424"/>
        <v>0.90472801255595792</v>
      </c>
      <c r="N1277" s="1">
        <f t="shared" si="1424"/>
        <v>0.93934613037267689</v>
      </c>
      <c r="O1277" s="1">
        <f t="shared" si="1424"/>
        <v>0.99132983589819479</v>
      </c>
      <c r="P1277" s="1">
        <f t="shared" si="1421"/>
        <v>1.0287595120156909</v>
      </c>
      <c r="Q1277" s="1">
        <f t="shared" si="1421"/>
        <v>1.0435578773153511</v>
      </c>
      <c r="S1277" s="3"/>
    </row>
    <row r="1278" spans="2:19" x14ac:dyDescent="0.5">
      <c r="B1278" s="5" t="str">
        <f t="shared" si="1406"/>
        <v>SPS1</v>
      </c>
      <c r="C1278" s="5" t="str">
        <f t="shared" si="1407"/>
        <v>CH</v>
      </c>
      <c r="D1278" t="s">
        <v>1194</v>
      </c>
      <c r="E1278" t="str">
        <f t="shared" si="1408"/>
        <v>km/MJ</v>
      </c>
      <c r="F1278" s="1" t="str">
        <f>IFERROR(F1227/F1153,"-")</f>
        <v>-</v>
      </c>
      <c r="G1278" s="1">
        <f t="shared" ref="G1278:K1278" si="1425">IFERROR(G1227/G1153,"-")</f>
        <v>1.09656966561652</v>
      </c>
      <c r="H1278" s="1">
        <f t="shared" si="1425"/>
        <v>1.0965696656165191</v>
      </c>
      <c r="I1278" s="1">
        <f t="shared" si="1425"/>
        <v>1.0965696656165211</v>
      </c>
      <c r="J1278" s="1">
        <f t="shared" si="1425"/>
        <v>1.1664718134024894</v>
      </c>
      <c r="K1278" s="1">
        <f t="shared" si="1425"/>
        <v>1.2318151658919747</v>
      </c>
      <c r="L1278" s="1">
        <f t="shared" ref="L1278:O1278" si="1426">IFERROR(L1227/L1153,"-")</f>
        <v>1.2998015388052648</v>
      </c>
      <c r="M1278" s="1">
        <f t="shared" si="1426"/>
        <v>1.389393095852236</v>
      </c>
      <c r="N1278" s="1">
        <f t="shared" si="1426"/>
        <v>1.4866609386284775</v>
      </c>
      <c r="O1278" s="1">
        <f t="shared" si="1426"/>
        <v>1.5777288834242411</v>
      </c>
      <c r="P1278" s="1" t="str">
        <f t="shared" ref="P1278:Q1281" si="1427">IFERROR(P1227/P1153,"-")</f>
        <v>-</v>
      </c>
      <c r="Q1278" s="1">
        <f t="shared" si="1427"/>
        <v>1.57772888342424</v>
      </c>
      <c r="S1278" s="3"/>
    </row>
    <row r="1279" spans="2:19" x14ac:dyDescent="0.5">
      <c r="B1279" s="5" t="str">
        <f t="shared" si="1406"/>
        <v>SPS1</v>
      </c>
      <c r="C1279" s="5" t="str">
        <f t="shared" si="1407"/>
        <v>CH</v>
      </c>
      <c r="D1279" t="s">
        <v>1195</v>
      </c>
      <c r="E1279" t="str">
        <f t="shared" si="1408"/>
        <v>km/MJ</v>
      </c>
      <c r="F1279" s="1">
        <f t="shared" ref="F1279:K1279" si="1428">IFERROR(F1228/F1154,"-")</f>
        <v>0.89149519806161959</v>
      </c>
      <c r="G1279" s="1">
        <f t="shared" si="1428"/>
        <v>0.89149519806162181</v>
      </c>
      <c r="H1279" s="1">
        <f t="shared" si="1428"/>
        <v>0.89149519806162103</v>
      </c>
      <c r="I1279" s="1">
        <f t="shared" si="1428"/>
        <v>0.89149519806162048</v>
      </c>
      <c r="J1279" s="1">
        <f t="shared" si="1428"/>
        <v>0.92443058266654443</v>
      </c>
      <c r="K1279" s="1">
        <f t="shared" si="1428"/>
        <v>1.0027929551706585</v>
      </c>
      <c r="L1279" s="1">
        <f t="shared" ref="L1279:O1279" si="1429">IFERROR(L1228/L1154,"-")</f>
        <v>1.0509461607212662</v>
      </c>
      <c r="M1279" s="1">
        <f t="shared" si="1429"/>
        <v>1.1062167398321487</v>
      </c>
      <c r="N1279" s="1">
        <f t="shared" si="1429"/>
        <v>1.178645256601397</v>
      </c>
      <c r="O1279" s="1">
        <f t="shared" si="1429"/>
        <v>1.2767780802946058</v>
      </c>
      <c r="P1279" s="1">
        <f t="shared" si="1427"/>
        <v>1.2957720922806957</v>
      </c>
      <c r="Q1279" s="1">
        <f t="shared" si="1427"/>
        <v>1.3008122928940098</v>
      </c>
      <c r="S1279" s="3"/>
    </row>
    <row r="1280" spans="2:19" x14ac:dyDescent="0.5">
      <c r="B1280" s="5" t="str">
        <f t="shared" si="1406"/>
        <v>SPS1</v>
      </c>
      <c r="C1280" s="5" t="str">
        <f t="shared" si="1407"/>
        <v>CH</v>
      </c>
      <c r="D1280" t="s">
        <v>1196</v>
      </c>
      <c r="E1280" t="str">
        <f t="shared" si="1408"/>
        <v>km/MJ</v>
      </c>
      <c r="F1280" s="1">
        <f t="shared" ref="F1280:K1280" si="1430">IFERROR(F1229/F1155,"-")</f>
        <v>0.8300050725649053</v>
      </c>
      <c r="G1280" s="1">
        <f t="shared" si="1430"/>
        <v>0.83000507256490552</v>
      </c>
      <c r="H1280" s="1">
        <f t="shared" si="1430"/>
        <v>0.83000507256490441</v>
      </c>
      <c r="I1280" s="1">
        <f t="shared" si="1430"/>
        <v>0.83000507256490574</v>
      </c>
      <c r="J1280" s="1">
        <f t="shared" si="1430"/>
        <v>0.85757322681960912</v>
      </c>
      <c r="K1280" s="1">
        <f t="shared" si="1430"/>
        <v>0.93403084503445166</v>
      </c>
      <c r="L1280" s="1">
        <f t="shared" ref="L1280:O1280" si="1431">IFERROR(L1229/L1155,"-")</f>
        <v>0.97630874032597792</v>
      </c>
      <c r="M1280" s="1">
        <f t="shared" si="1431"/>
        <v>1.0282539129860766</v>
      </c>
      <c r="N1280" s="1">
        <f t="shared" si="1431"/>
        <v>1.1059787962821039</v>
      </c>
      <c r="O1280" s="1">
        <f t="shared" si="1431"/>
        <v>1.189686362466027</v>
      </c>
      <c r="P1280" s="1">
        <f t="shared" si="1427"/>
        <v>1.2085126801993933</v>
      </c>
      <c r="Q1280" s="1">
        <f t="shared" si="1427"/>
        <v>1.215363742628681</v>
      </c>
      <c r="S1280" s="3"/>
    </row>
    <row r="1281" spans="2:19" x14ac:dyDescent="0.5">
      <c r="B1281" s="5" t="str">
        <f t="shared" si="1406"/>
        <v>SPS1</v>
      </c>
      <c r="C1281" s="5" t="str">
        <f t="shared" si="1407"/>
        <v>CH</v>
      </c>
      <c r="D1281" t="s">
        <v>1197</v>
      </c>
      <c r="E1281" t="str">
        <f t="shared" si="1408"/>
        <v>km/MJ</v>
      </c>
      <c r="F1281" s="1" t="str">
        <f t="shared" ref="F1281:K1281" si="1432">IFERROR(F1230/F1156,"-")</f>
        <v>-</v>
      </c>
      <c r="G1281" s="1">
        <f t="shared" si="1432"/>
        <v>0.83675282096654191</v>
      </c>
      <c r="H1281" s="1">
        <f t="shared" si="1432"/>
        <v>0.83675282096654191</v>
      </c>
      <c r="I1281" s="1">
        <f t="shared" si="1432"/>
        <v>0.83675282096654247</v>
      </c>
      <c r="J1281" s="1">
        <f t="shared" si="1432"/>
        <v>0.87239592898568941</v>
      </c>
      <c r="K1281" s="1">
        <f t="shared" si="1432"/>
        <v>0.93546648537996402</v>
      </c>
      <c r="L1281" s="1">
        <f t="shared" ref="L1281:O1281" si="1433">IFERROR(L1230/L1156,"-")</f>
        <v>0.97542097091705049</v>
      </c>
      <c r="M1281" s="1">
        <f t="shared" si="1433"/>
        <v>1.0221043639599074</v>
      </c>
      <c r="N1281" s="1">
        <f t="shared" si="1433"/>
        <v>1.0822791625457244</v>
      </c>
      <c r="O1281" s="1">
        <f t="shared" si="1433"/>
        <v>1.181946545696644</v>
      </c>
      <c r="P1281" s="1">
        <f t="shared" si="1427"/>
        <v>1.1922959855758564</v>
      </c>
      <c r="Q1281" s="1">
        <f t="shared" si="1427"/>
        <v>1.19473650232946</v>
      </c>
      <c r="S1281" s="3"/>
    </row>
    <row r="1282" spans="2:19" x14ac:dyDescent="0.5">
      <c r="B1282" s="5" t="str">
        <f t="shared" si="1406"/>
        <v>SPS1</v>
      </c>
      <c r="C1282" s="5" t="str">
        <f t="shared" si="1407"/>
        <v>CH</v>
      </c>
      <c r="D1282" t="s">
        <v>1232</v>
      </c>
      <c r="E1282" t="str">
        <f t="shared" si="1408"/>
        <v>km/MJ</v>
      </c>
      <c r="F1282" s="1">
        <f t="shared" ref="F1282:K1295" si="1434">IFERROR(F1231/F1162,"-")</f>
        <v>0.4937953469467829</v>
      </c>
      <c r="G1282" s="1">
        <f t="shared" si="1434"/>
        <v>0.50503220860251341</v>
      </c>
      <c r="H1282" s="1">
        <f t="shared" si="1434"/>
        <v>0.52188750108610948</v>
      </c>
      <c r="I1282" s="1">
        <f t="shared" si="1434"/>
        <v>0.54997965522543635</v>
      </c>
      <c r="J1282" s="1" t="str">
        <f t="shared" si="1434"/>
        <v>-</v>
      </c>
      <c r="K1282" s="1" t="str">
        <f t="shared" si="1434"/>
        <v>-</v>
      </c>
      <c r="L1282" s="1" t="str">
        <f>IFERROR(L1231/L1162,"-")</f>
        <v>-</v>
      </c>
      <c r="M1282" s="1" t="str">
        <f t="shared" ref="M1282:O1282" si="1435">IFERROR(M1231/M1162,"-")</f>
        <v>-</v>
      </c>
      <c r="N1282" s="1" t="str">
        <f t="shared" si="1435"/>
        <v>-</v>
      </c>
      <c r="O1282" s="1" t="str">
        <f t="shared" si="1435"/>
        <v>-</v>
      </c>
      <c r="P1282" s="1" t="str">
        <f t="shared" ref="P1282:Q1295" si="1436">IFERROR(P1231/P1162,"-")</f>
        <v>-</v>
      </c>
      <c r="Q1282" s="1" t="str">
        <f t="shared" si="1436"/>
        <v>-</v>
      </c>
      <c r="S1282" s="3"/>
    </row>
    <row r="1283" spans="2:19" x14ac:dyDescent="0.5">
      <c r="B1283" s="5" t="str">
        <f t="shared" si="1406"/>
        <v>SPS1</v>
      </c>
      <c r="C1283" s="5" t="str">
        <f t="shared" si="1407"/>
        <v>CH</v>
      </c>
      <c r="D1283" t="s">
        <v>1198</v>
      </c>
      <c r="E1283" t="str">
        <f t="shared" si="1408"/>
        <v>km/MJ</v>
      </c>
      <c r="F1283" s="1">
        <f t="shared" si="1434"/>
        <v>1.1330501259674919</v>
      </c>
      <c r="G1283" s="1">
        <f t="shared" si="1434"/>
        <v>1.1586125940163274</v>
      </c>
      <c r="H1283" s="1">
        <f t="shared" si="1434"/>
        <v>1.1555978229945139</v>
      </c>
      <c r="I1283" s="1">
        <f t="shared" si="1434"/>
        <v>1.200537836620635</v>
      </c>
      <c r="J1283" s="1">
        <f t="shared" si="1434"/>
        <v>1.3252813939021408</v>
      </c>
      <c r="K1283" s="1">
        <f>IFERROR(K1232/K1163,"-")</f>
        <v>1.0079378516589375</v>
      </c>
      <c r="L1283" s="1" t="str">
        <f>IFERROR(L1232/L1163,"-")</f>
        <v>-</v>
      </c>
      <c r="M1283" s="1" t="str">
        <f t="shared" ref="M1283:O1283" si="1437">IFERROR(M1232/M1163,"-")</f>
        <v>-</v>
      </c>
      <c r="N1283" s="1" t="str">
        <f t="shared" si="1437"/>
        <v>-</v>
      </c>
      <c r="O1283" s="1" t="str">
        <f t="shared" si="1437"/>
        <v>-</v>
      </c>
      <c r="P1283" s="1" t="str">
        <f t="shared" si="1436"/>
        <v>-</v>
      </c>
      <c r="Q1283" s="1" t="str">
        <f t="shared" si="1436"/>
        <v>-</v>
      </c>
      <c r="S1283" s="3"/>
    </row>
    <row r="1284" spans="2:19" x14ac:dyDescent="0.5">
      <c r="B1284" s="5" t="str">
        <f t="shared" si="1406"/>
        <v>SPS1</v>
      </c>
      <c r="C1284" s="5" t="str">
        <f t="shared" si="1407"/>
        <v>CH</v>
      </c>
      <c r="D1284" t="s">
        <v>1199</v>
      </c>
      <c r="E1284" t="str">
        <f t="shared" si="1408"/>
        <v>km/MJ</v>
      </c>
      <c r="F1284" s="1">
        <f t="shared" si="1434"/>
        <v>1.6154355246897836</v>
      </c>
      <c r="G1284" s="1">
        <f t="shared" si="1434"/>
        <v>1.9178070903722242</v>
      </c>
      <c r="H1284" s="1">
        <f t="shared" si="1434"/>
        <v>1.8920169374570184</v>
      </c>
      <c r="I1284" s="1">
        <f t="shared" si="1434"/>
        <v>1.8862621926445733</v>
      </c>
      <c r="J1284" s="1">
        <f t="shared" si="1434"/>
        <v>1.9113941262642706</v>
      </c>
      <c r="K1284" s="1">
        <f t="shared" si="1434"/>
        <v>1.8566824471676564</v>
      </c>
      <c r="L1284" s="1" t="str">
        <f t="shared" ref="L1284:O1284" si="1438">IFERROR(L1233/L1164,"-")</f>
        <v>-</v>
      </c>
      <c r="M1284" s="1" t="str">
        <f t="shared" si="1438"/>
        <v>-</v>
      </c>
      <c r="N1284" s="1" t="str">
        <f t="shared" si="1438"/>
        <v>-</v>
      </c>
      <c r="O1284" s="1" t="str">
        <f t="shared" si="1438"/>
        <v>-</v>
      </c>
      <c r="P1284" s="1" t="str">
        <f t="shared" si="1436"/>
        <v>-</v>
      </c>
      <c r="Q1284" s="1" t="str">
        <f t="shared" si="1436"/>
        <v>-</v>
      </c>
      <c r="S1284" s="3"/>
    </row>
    <row r="1285" spans="2:19" x14ac:dyDescent="0.5">
      <c r="B1285" s="5" t="str">
        <f t="shared" si="1406"/>
        <v>SPS1</v>
      </c>
      <c r="C1285" s="5" t="str">
        <f t="shared" si="1407"/>
        <v>CH</v>
      </c>
      <c r="D1285" t="s">
        <v>1200</v>
      </c>
      <c r="E1285" t="str">
        <f t="shared" si="1408"/>
        <v>km/MJ</v>
      </c>
      <c r="F1285" s="1">
        <f t="shared" si="1434"/>
        <v>1.9948578713819916</v>
      </c>
      <c r="G1285" s="1">
        <f t="shared" si="1434"/>
        <v>2.4903340017072808</v>
      </c>
      <c r="H1285" s="1">
        <f t="shared" si="1434"/>
        <v>2.4874354873597175</v>
      </c>
      <c r="I1285" s="1">
        <f t="shared" si="1434"/>
        <v>2.5058126887939061</v>
      </c>
      <c r="J1285" s="1">
        <f t="shared" si="1434"/>
        <v>2.5494258800705865</v>
      </c>
      <c r="K1285" s="1">
        <f t="shared" si="1434"/>
        <v>0.84960897302422111</v>
      </c>
      <c r="L1285" s="1" t="str">
        <f t="shared" ref="L1285:O1285" si="1439">IFERROR(L1234/L1165,"-")</f>
        <v>-</v>
      </c>
      <c r="M1285" s="1" t="str">
        <f t="shared" si="1439"/>
        <v>-</v>
      </c>
      <c r="N1285" s="1" t="str">
        <f t="shared" si="1439"/>
        <v>-</v>
      </c>
      <c r="O1285" s="1" t="str">
        <f t="shared" si="1439"/>
        <v>-</v>
      </c>
      <c r="P1285" s="1" t="str">
        <f t="shared" si="1436"/>
        <v>-</v>
      </c>
      <c r="Q1285" s="1" t="str">
        <f t="shared" si="1436"/>
        <v>-</v>
      </c>
      <c r="S1285" s="3"/>
    </row>
    <row r="1286" spans="2:19" x14ac:dyDescent="0.5">
      <c r="B1286" s="5" t="str">
        <f t="shared" si="1406"/>
        <v>SPS1</v>
      </c>
      <c r="C1286" s="5" t="str">
        <f t="shared" si="1407"/>
        <v>CH</v>
      </c>
      <c r="D1286" t="s">
        <v>1201</v>
      </c>
      <c r="E1286" t="str">
        <f t="shared" si="1408"/>
        <v>km/MJ</v>
      </c>
      <c r="F1286" s="1">
        <f t="shared" si="1434"/>
        <v>1.1493304529252999</v>
      </c>
      <c r="G1286" s="1">
        <f t="shared" si="1434"/>
        <v>1.3254480243382067</v>
      </c>
      <c r="H1286" s="1">
        <f t="shared" si="1434"/>
        <v>1.3422270792202962</v>
      </c>
      <c r="I1286" s="1">
        <f t="shared" si="1434"/>
        <v>1.3352148096011387</v>
      </c>
      <c r="J1286" s="1">
        <f t="shared" si="1434"/>
        <v>1.6046353869778012</v>
      </c>
      <c r="K1286" s="1">
        <f t="shared" si="1434"/>
        <v>0.7563998851009186</v>
      </c>
      <c r="L1286" s="1" t="str">
        <f t="shared" ref="L1286:O1286" si="1440">IFERROR(L1235/L1166,"-")</f>
        <v>-</v>
      </c>
      <c r="M1286" s="1" t="str">
        <f t="shared" si="1440"/>
        <v>-</v>
      </c>
      <c r="N1286" s="1" t="str">
        <f t="shared" si="1440"/>
        <v>-</v>
      </c>
      <c r="O1286" s="1" t="str">
        <f t="shared" si="1440"/>
        <v>-</v>
      </c>
      <c r="P1286" s="1" t="str">
        <f t="shared" si="1436"/>
        <v>-</v>
      </c>
      <c r="Q1286" s="1" t="str">
        <f t="shared" si="1436"/>
        <v>-</v>
      </c>
      <c r="S1286" s="3"/>
    </row>
    <row r="1287" spans="2:19" x14ac:dyDescent="0.5">
      <c r="B1287" s="5" t="str">
        <f t="shared" si="1406"/>
        <v>SPS1</v>
      </c>
      <c r="C1287" s="5" t="str">
        <f t="shared" si="1407"/>
        <v>CH</v>
      </c>
      <c r="D1287" t="s">
        <v>1202</v>
      </c>
      <c r="E1287" t="str">
        <f t="shared" si="1408"/>
        <v>km/MJ</v>
      </c>
      <c r="F1287" s="1">
        <f t="shared" si="1434"/>
        <v>0.28603940550919488</v>
      </c>
      <c r="G1287" s="1">
        <f t="shared" si="1434"/>
        <v>0.29254854993039719</v>
      </c>
      <c r="H1287" s="1">
        <f t="shared" si="1434"/>
        <v>0.30231226656220073</v>
      </c>
      <c r="I1287" s="1">
        <f t="shared" si="1434"/>
        <v>0.31858512761520652</v>
      </c>
      <c r="J1287" s="1" t="str">
        <f t="shared" si="1434"/>
        <v>-</v>
      </c>
      <c r="K1287" s="1" t="str">
        <f t="shared" si="1434"/>
        <v>-</v>
      </c>
      <c r="L1287" s="1" t="str">
        <f t="shared" ref="L1287:O1287" si="1441">IFERROR(L1236/L1167,"-")</f>
        <v>-</v>
      </c>
      <c r="M1287" s="1" t="str">
        <f t="shared" si="1441"/>
        <v>-</v>
      </c>
      <c r="N1287" s="1" t="str">
        <f t="shared" si="1441"/>
        <v>-</v>
      </c>
      <c r="O1287" s="1" t="str">
        <f t="shared" si="1441"/>
        <v>-</v>
      </c>
      <c r="P1287" s="1" t="str">
        <f t="shared" si="1436"/>
        <v>-</v>
      </c>
      <c r="Q1287" s="1" t="str">
        <f t="shared" si="1436"/>
        <v>-</v>
      </c>
      <c r="S1287" s="3"/>
    </row>
    <row r="1288" spans="2:19" x14ac:dyDescent="0.5">
      <c r="B1288" s="5" t="str">
        <f t="shared" si="1406"/>
        <v>SPS1</v>
      </c>
      <c r="C1288" s="5" t="str">
        <f t="shared" si="1407"/>
        <v>CH</v>
      </c>
      <c r="D1288" t="s">
        <v>1203</v>
      </c>
      <c r="E1288" t="str">
        <f t="shared" si="1408"/>
        <v>km/MJ</v>
      </c>
      <c r="F1288" s="1">
        <f t="shared" si="1434"/>
        <v>0.6832722021872718</v>
      </c>
      <c r="G1288" s="1">
        <f t="shared" si="1434"/>
        <v>0.6761194767858173</v>
      </c>
      <c r="H1288" s="1">
        <f t="shared" si="1434"/>
        <v>0.62080300681693223</v>
      </c>
      <c r="I1288" s="1">
        <f t="shared" si="1434"/>
        <v>0.62042789385015751</v>
      </c>
      <c r="J1288" s="1">
        <f t="shared" si="1434"/>
        <v>0.5993621259205415</v>
      </c>
      <c r="K1288" s="1">
        <f t="shared" si="1434"/>
        <v>0.59900772505576483</v>
      </c>
      <c r="L1288" s="1" t="str">
        <f t="shared" ref="L1288:O1288" si="1442">IFERROR(L1237/L1168,"-")</f>
        <v>-</v>
      </c>
      <c r="M1288" s="1" t="str">
        <f t="shared" si="1442"/>
        <v>-</v>
      </c>
      <c r="N1288" s="1" t="str">
        <f t="shared" si="1442"/>
        <v>-</v>
      </c>
      <c r="O1288" s="1" t="str">
        <f t="shared" si="1442"/>
        <v>-</v>
      </c>
      <c r="P1288" s="1" t="str">
        <f t="shared" si="1436"/>
        <v>-</v>
      </c>
      <c r="Q1288" s="1" t="str">
        <f t="shared" si="1436"/>
        <v>-</v>
      </c>
      <c r="S1288" s="3"/>
    </row>
    <row r="1289" spans="2:19" x14ac:dyDescent="0.5">
      <c r="B1289" s="5" t="str">
        <f t="shared" si="1406"/>
        <v>SPS1</v>
      </c>
      <c r="C1289" s="5" t="str">
        <f t="shared" si="1407"/>
        <v>CH</v>
      </c>
      <c r="D1289" t="s">
        <v>1204</v>
      </c>
      <c r="E1289" t="str">
        <f t="shared" si="1408"/>
        <v>km/MJ</v>
      </c>
      <c r="F1289" s="1">
        <f t="shared" si="1434"/>
        <v>0.60639297893371369</v>
      </c>
      <c r="G1289" s="1">
        <f t="shared" si="1434"/>
        <v>0.60445840638056492</v>
      </c>
      <c r="H1289" s="1">
        <f t="shared" si="1434"/>
        <v>0.61032759566280725</v>
      </c>
      <c r="I1289" s="1">
        <f t="shared" si="1434"/>
        <v>0.60936453420385139</v>
      </c>
      <c r="J1289" s="1">
        <f t="shared" si="1434"/>
        <v>0.60626787339504262</v>
      </c>
      <c r="K1289" s="1">
        <f t="shared" si="1434"/>
        <v>0.5252113956267892</v>
      </c>
      <c r="L1289" s="1" t="str">
        <f t="shared" ref="L1289:O1289" si="1443">IFERROR(L1238/L1169,"-")</f>
        <v>-</v>
      </c>
      <c r="M1289" s="1" t="str">
        <f t="shared" si="1443"/>
        <v>-</v>
      </c>
      <c r="N1289" s="1" t="str">
        <f t="shared" si="1443"/>
        <v>-</v>
      </c>
      <c r="O1289" s="1" t="str">
        <f t="shared" si="1443"/>
        <v>-</v>
      </c>
      <c r="P1289" s="1" t="str">
        <f t="shared" si="1436"/>
        <v>-</v>
      </c>
      <c r="Q1289" s="1" t="str">
        <f t="shared" si="1436"/>
        <v>-</v>
      </c>
      <c r="S1289" s="3"/>
    </row>
    <row r="1290" spans="2:19" x14ac:dyDescent="0.5">
      <c r="B1290" s="5" t="str">
        <f t="shared" si="1406"/>
        <v>SPS1</v>
      </c>
      <c r="C1290" s="5" t="str">
        <f t="shared" si="1407"/>
        <v>CH</v>
      </c>
      <c r="D1290" t="s">
        <v>1205</v>
      </c>
      <c r="E1290" t="str">
        <f t="shared" si="1408"/>
        <v>km/MJ</v>
      </c>
      <c r="F1290" s="1">
        <f t="shared" si="1434"/>
        <v>0.51673613550184194</v>
      </c>
      <c r="G1290" s="1">
        <f t="shared" si="1434"/>
        <v>0.51602736408048633</v>
      </c>
      <c r="H1290" s="1">
        <f t="shared" si="1434"/>
        <v>0.5091298477681927</v>
      </c>
      <c r="I1290" s="1">
        <f t="shared" si="1434"/>
        <v>0.51198522993768614</v>
      </c>
      <c r="J1290" s="1">
        <f t="shared" si="1434"/>
        <v>0.49031422261709201</v>
      </c>
      <c r="K1290" s="1">
        <f t="shared" si="1434"/>
        <v>0.48225275945567392</v>
      </c>
      <c r="L1290" s="1" t="str">
        <f t="shared" ref="L1290:O1290" si="1444">IFERROR(L1239/L1170,"-")</f>
        <v>-</v>
      </c>
      <c r="M1290" s="1" t="str">
        <f t="shared" si="1444"/>
        <v>-</v>
      </c>
      <c r="N1290" s="1" t="str">
        <f t="shared" si="1444"/>
        <v>-</v>
      </c>
      <c r="O1290" s="1" t="str">
        <f t="shared" si="1444"/>
        <v>-</v>
      </c>
      <c r="P1290" s="1" t="str">
        <f t="shared" si="1436"/>
        <v>-</v>
      </c>
      <c r="Q1290" s="1" t="str">
        <f t="shared" si="1436"/>
        <v>-</v>
      </c>
      <c r="S1290" s="3"/>
    </row>
    <row r="1291" spans="2:19" x14ac:dyDescent="0.5">
      <c r="B1291" s="5" t="str">
        <f t="shared" si="1406"/>
        <v>SPS1</v>
      </c>
      <c r="C1291" s="5" t="str">
        <f t="shared" si="1407"/>
        <v>CH</v>
      </c>
      <c r="D1291" t="s">
        <v>1206</v>
      </c>
      <c r="E1291" t="str">
        <f t="shared" si="1408"/>
        <v>km/MJ</v>
      </c>
      <c r="F1291" s="1">
        <f t="shared" si="1434"/>
        <v>0.44030273263599345</v>
      </c>
      <c r="G1291" s="1">
        <f t="shared" si="1434"/>
        <v>0.43329655071629603</v>
      </c>
      <c r="H1291" s="1">
        <f t="shared" si="1434"/>
        <v>0.43395814450556708</v>
      </c>
      <c r="I1291" s="1">
        <f t="shared" si="1434"/>
        <v>0.43674284288308923</v>
      </c>
      <c r="J1291" s="1">
        <f t="shared" si="1434"/>
        <v>0.43421393714552914</v>
      </c>
      <c r="K1291" s="1">
        <f t="shared" si="1434"/>
        <v>0.43445217661774199</v>
      </c>
      <c r="L1291" s="1" t="str">
        <f t="shared" ref="L1291:O1291" si="1445">IFERROR(L1240/L1171,"-")</f>
        <v>-</v>
      </c>
      <c r="M1291" s="1" t="str">
        <f t="shared" si="1445"/>
        <v>-</v>
      </c>
      <c r="N1291" s="1" t="str">
        <f t="shared" si="1445"/>
        <v>-</v>
      </c>
      <c r="O1291" s="1" t="str">
        <f t="shared" si="1445"/>
        <v>-</v>
      </c>
      <c r="P1291" s="1" t="str">
        <f t="shared" si="1436"/>
        <v>-</v>
      </c>
      <c r="Q1291" s="1" t="str">
        <f t="shared" si="1436"/>
        <v>-</v>
      </c>
      <c r="S1291" s="3"/>
    </row>
    <row r="1292" spans="2:19" x14ac:dyDescent="0.5">
      <c r="B1292" s="5" t="str">
        <f t="shared" si="1406"/>
        <v>SPS1</v>
      </c>
      <c r="C1292" s="5" t="str">
        <f t="shared" si="1407"/>
        <v>CH</v>
      </c>
      <c r="D1292" t="s">
        <v>1207</v>
      </c>
      <c r="E1292" t="str">
        <f t="shared" si="1408"/>
        <v>km/MJ</v>
      </c>
      <c r="F1292" s="1" t="str">
        <f t="shared" si="1434"/>
        <v>-</v>
      </c>
      <c r="G1292" s="1">
        <f t="shared" si="1434"/>
        <v>0.51837627625535188</v>
      </c>
      <c r="H1292" s="1">
        <f t="shared" si="1434"/>
        <v>0.54553523579166263</v>
      </c>
      <c r="I1292" s="1">
        <f t="shared" si="1434"/>
        <v>0.56535937427845495</v>
      </c>
      <c r="J1292" s="1">
        <f t="shared" si="1434"/>
        <v>0.57050184738686549</v>
      </c>
      <c r="K1292" s="1">
        <f t="shared" si="1434"/>
        <v>0.59149602115136846</v>
      </c>
      <c r="L1292" s="1" t="str">
        <f t="shared" ref="L1292:O1292" si="1446">IFERROR(L1241/L1172,"-")</f>
        <v>-</v>
      </c>
      <c r="M1292" s="1" t="str">
        <f t="shared" si="1446"/>
        <v>-</v>
      </c>
      <c r="N1292" s="1" t="str">
        <f t="shared" si="1446"/>
        <v>-</v>
      </c>
      <c r="O1292" s="1" t="str">
        <f t="shared" si="1446"/>
        <v>-</v>
      </c>
      <c r="P1292" s="1" t="str">
        <f t="shared" si="1436"/>
        <v>-</v>
      </c>
      <c r="Q1292" s="1" t="str">
        <f t="shared" si="1436"/>
        <v>-</v>
      </c>
      <c r="S1292" s="3"/>
    </row>
    <row r="1293" spans="2:19" x14ac:dyDescent="0.5">
      <c r="B1293" s="5" t="str">
        <f t="shared" si="1406"/>
        <v>SPS1</v>
      </c>
      <c r="C1293" s="5" t="str">
        <f t="shared" si="1407"/>
        <v>CH</v>
      </c>
      <c r="D1293" t="s">
        <v>1208</v>
      </c>
      <c r="E1293" t="str">
        <f t="shared" si="1408"/>
        <v>km/MJ</v>
      </c>
      <c r="F1293" s="1" t="str">
        <f t="shared" si="1434"/>
        <v>-</v>
      </c>
      <c r="G1293" s="1">
        <f t="shared" si="1434"/>
        <v>0.41733711223535053</v>
      </c>
      <c r="H1293" s="1">
        <f t="shared" si="1434"/>
        <v>0.439954043188299</v>
      </c>
      <c r="I1293" s="1">
        <f t="shared" si="1434"/>
        <v>0.46034329665414203</v>
      </c>
      <c r="J1293" s="1">
        <f t="shared" si="1434"/>
        <v>0.46476258338500553</v>
      </c>
      <c r="K1293" s="1">
        <f t="shared" si="1434"/>
        <v>0.48211248413249552</v>
      </c>
      <c r="L1293" s="1" t="str">
        <f t="shared" ref="L1293:O1293" si="1447">IFERROR(L1242/L1173,"-")</f>
        <v>-</v>
      </c>
      <c r="M1293" s="1" t="str">
        <f t="shared" si="1447"/>
        <v>-</v>
      </c>
      <c r="N1293" s="1" t="str">
        <f t="shared" si="1447"/>
        <v>-</v>
      </c>
      <c r="O1293" s="1" t="str">
        <f t="shared" si="1447"/>
        <v>-</v>
      </c>
      <c r="P1293" s="1" t="str">
        <f t="shared" si="1436"/>
        <v>-</v>
      </c>
      <c r="Q1293" s="1" t="str">
        <f t="shared" si="1436"/>
        <v>-</v>
      </c>
      <c r="S1293" s="3"/>
    </row>
    <row r="1294" spans="2:19" x14ac:dyDescent="0.5">
      <c r="B1294" s="5" t="str">
        <f t="shared" si="1406"/>
        <v>SPS1</v>
      </c>
      <c r="C1294" s="5" t="str">
        <f t="shared" si="1407"/>
        <v>CH</v>
      </c>
      <c r="D1294" t="s">
        <v>1209</v>
      </c>
      <c r="E1294" t="str">
        <f t="shared" si="1408"/>
        <v>km/MJ</v>
      </c>
      <c r="F1294" s="1" t="str">
        <f t="shared" si="1434"/>
        <v>-</v>
      </c>
      <c r="G1294" s="1">
        <f t="shared" si="1434"/>
        <v>0.38796990995538694</v>
      </c>
      <c r="H1294" s="1">
        <f t="shared" si="1434"/>
        <v>0.40787865081170277</v>
      </c>
      <c r="I1294" s="1">
        <f t="shared" si="1434"/>
        <v>0.4247189570476565</v>
      </c>
      <c r="J1294" s="1">
        <f t="shared" si="1434"/>
        <v>0.42988913837937587</v>
      </c>
      <c r="K1294" s="1">
        <f t="shared" si="1434"/>
        <v>0.44799605182235464</v>
      </c>
      <c r="L1294" s="1" t="str">
        <f t="shared" ref="L1294:O1294" si="1448">IFERROR(L1243/L1174,"-")</f>
        <v>-</v>
      </c>
      <c r="M1294" s="1" t="str">
        <f t="shared" si="1448"/>
        <v>-</v>
      </c>
      <c r="N1294" s="1" t="str">
        <f t="shared" si="1448"/>
        <v>-</v>
      </c>
      <c r="O1294" s="1" t="str">
        <f t="shared" si="1448"/>
        <v>-</v>
      </c>
      <c r="P1294" s="1" t="str">
        <f t="shared" si="1436"/>
        <v>-</v>
      </c>
      <c r="Q1294" s="1" t="str">
        <f t="shared" si="1436"/>
        <v>-</v>
      </c>
      <c r="S1294" s="3"/>
    </row>
    <row r="1295" spans="2:19" x14ac:dyDescent="0.5">
      <c r="B1295" s="5" t="str">
        <f t="shared" si="1406"/>
        <v>SPS1</v>
      </c>
      <c r="C1295" s="5" t="str">
        <f t="shared" si="1407"/>
        <v>CH</v>
      </c>
      <c r="D1295" t="s">
        <v>1210</v>
      </c>
      <c r="E1295" t="str">
        <f t="shared" si="1408"/>
        <v>km/MJ</v>
      </c>
      <c r="F1295" s="1" t="str">
        <f t="shared" si="1434"/>
        <v>-</v>
      </c>
      <c r="G1295" s="1">
        <f t="shared" si="1434"/>
        <v>0.39332458747711402</v>
      </c>
      <c r="H1295" s="1">
        <f t="shared" si="1434"/>
        <v>0.41372835166508964</v>
      </c>
      <c r="I1295" s="1">
        <f t="shared" si="1434"/>
        <v>0.43277864180602521</v>
      </c>
      <c r="J1295" s="1">
        <f t="shared" si="1434"/>
        <v>0.43728012223136864</v>
      </c>
      <c r="K1295" s="1">
        <f t="shared" si="1434"/>
        <v>0.45357933489918184</v>
      </c>
      <c r="L1295" s="1" t="str">
        <f t="shared" ref="L1295:O1295" si="1449">IFERROR(L1244/L1175,"-")</f>
        <v>-</v>
      </c>
      <c r="M1295" s="1" t="str">
        <f t="shared" si="1449"/>
        <v>-</v>
      </c>
      <c r="N1295" s="1" t="str">
        <f t="shared" si="1449"/>
        <v>-</v>
      </c>
      <c r="O1295" s="1" t="str">
        <f t="shared" si="1449"/>
        <v>-</v>
      </c>
      <c r="P1295" s="1" t="str">
        <f t="shared" si="1436"/>
        <v>-</v>
      </c>
      <c r="Q1295" s="1" t="str">
        <f t="shared" si="1436"/>
        <v>-</v>
      </c>
      <c r="S1295" s="3"/>
    </row>
    <row r="1296" spans="2:19" x14ac:dyDescent="0.5">
      <c r="B1296" s="5" t="str">
        <f t="shared" si="1406"/>
        <v>SPS1</v>
      </c>
      <c r="C1296" s="5" t="str">
        <f t="shared" si="1407"/>
        <v>CH</v>
      </c>
      <c r="D1296" t="s">
        <v>1234</v>
      </c>
      <c r="E1296" t="str">
        <f t="shared" si="1408"/>
        <v>km/MJ</v>
      </c>
      <c r="F1296" s="1" t="str">
        <f t="shared" ref="F1296:K1309" si="1450">IFERROR(F1245/F1185,"-")</f>
        <v>-</v>
      </c>
      <c r="G1296" s="1" t="str">
        <f t="shared" si="1450"/>
        <v>-</v>
      </c>
      <c r="H1296" s="1" t="str">
        <f t="shared" si="1450"/>
        <v>-</v>
      </c>
      <c r="I1296" s="1" t="str">
        <f t="shared" si="1450"/>
        <v>-</v>
      </c>
      <c r="J1296" s="1" t="str">
        <f t="shared" si="1450"/>
        <v>-</v>
      </c>
      <c r="K1296" s="1" t="str">
        <f t="shared" si="1450"/>
        <v>-</v>
      </c>
      <c r="L1296" s="1" t="str">
        <f t="shared" ref="L1296:O1296" si="1451">IFERROR(L1245/L1185,"-")</f>
        <v>-</v>
      </c>
      <c r="M1296" s="1" t="str">
        <f t="shared" si="1451"/>
        <v>-</v>
      </c>
      <c r="N1296" s="1" t="str">
        <f t="shared" si="1451"/>
        <v>-</v>
      </c>
      <c r="O1296" s="1" t="str">
        <f t="shared" si="1451"/>
        <v>-</v>
      </c>
      <c r="P1296" s="1" t="str">
        <f t="shared" ref="P1296:Q1314" si="1452">IFERROR(P1245/P1185,"-")</f>
        <v>-</v>
      </c>
      <c r="Q1296" s="1" t="str">
        <f t="shared" si="1452"/>
        <v>-</v>
      </c>
      <c r="S1296" s="3"/>
    </row>
    <row r="1297" spans="2:19" x14ac:dyDescent="0.5">
      <c r="B1297" s="5" t="str">
        <f t="shared" si="1406"/>
        <v>SPS1</v>
      </c>
      <c r="C1297" s="5" t="str">
        <f t="shared" si="1407"/>
        <v>CH</v>
      </c>
      <c r="D1297" t="s">
        <v>1211</v>
      </c>
      <c r="E1297" t="str">
        <f t="shared" si="1408"/>
        <v>km/MJ</v>
      </c>
      <c r="F1297" s="1">
        <f t="shared" si="1450"/>
        <v>0.41824117647058806</v>
      </c>
      <c r="G1297" s="1">
        <f t="shared" si="1450"/>
        <v>1.697577573338652</v>
      </c>
      <c r="H1297" s="1">
        <f t="shared" si="1450"/>
        <v>1.691919978638508</v>
      </c>
      <c r="I1297" s="1">
        <f t="shared" si="1450"/>
        <v>1.6893563626846153</v>
      </c>
      <c r="J1297" s="1">
        <f t="shared" si="1450"/>
        <v>1.6804732246917549</v>
      </c>
      <c r="K1297" s="1">
        <f t="shared" si="1450"/>
        <v>1.2072541439003666</v>
      </c>
      <c r="L1297" s="1" t="str">
        <f t="shared" ref="L1297:O1297" si="1453">IFERROR(L1246/L1186,"-")</f>
        <v>-</v>
      </c>
      <c r="M1297" s="1" t="str">
        <f t="shared" si="1453"/>
        <v>-</v>
      </c>
      <c r="N1297" s="1" t="str">
        <f t="shared" si="1453"/>
        <v>-</v>
      </c>
      <c r="O1297" s="1" t="str">
        <f t="shared" si="1453"/>
        <v>-</v>
      </c>
      <c r="P1297" s="1" t="str">
        <f t="shared" si="1452"/>
        <v>-</v>
      </c>
      <c r="Q1297" s="1" t="str">
        <f t="shared" si="1452"/>
        <v>-</v>
      </c>
      <c r="S1297" s="3"/>
    </row>
    <row r="1298" spans="2:19" x14ac:dyDescent="0.5">
      <c r="B1298" s="5" t="str">
        <f t="shared" si="1406"/>
        <v>SPS1</v>
      </c>
      <c r="C1298" s="5" t="str">
        <f t="shared" si="1407"/>
        <v>CH</v>
      </c>
      <c r="D1298" t="s">
        <v>1212</v>
      </c>
      <c r="E1298" t="str">
        <f t="shared" si="1408"/>
        <v>km/MJ</v>
      </c>
      <c r="F1298" s="1">
        <f t="shared" si="1450"/>
        <v>1.172026025882688</v>
      </c>
      <c r="G1298" s="1">
        <f t="shared" si="1450"/>
        <v>2.6804879029952646</v>
      </c>
      <c r="H1298" s="1">
        <f t="shared" si="1450"/>
        <v>2.2958768462598385</v>
      </c>
      <c r="I1298" s="1">
        <f t="shared" si="1450"/>
        <v>2.2792193220360586</v>
      </c>
      <c r="J1298" s="1">
        <f t="shared" si="1450"/>
        <v>2.1827333742932722</v>
      </c>
      <c r="K1298" s="1">
        <f t="shared" si="1450"/>
        <v>1.9505365854285339</v>
      </c>
      <c r="L1298" s="1" t="str">
        <f t="shared" ref="L1298:O1298" si="1454">IFERROR(L1247/L1187,"-")</f>
        <v>-</v>
      </c>
      <c r="M1298" s="1" t="str">
        <f t="shared" si="1454"/>
        <v>-</v>
      </c>
      <c r="N1298" s="1" t="str">
        <f t="shared" si="1454"/>
        <v>-</v>
      </c>
      <c r="O1298" s="1" t="str">
        <f t="shared" si="1454"/>
        <v>-</v>
      </c>
      <c r="P1298" s="1" t="str">
        <f t="shared" si="1452"/>
        <v>-</v>
      </c>
      <c r="Q1298" s="1" t="str">
        <f t="shared" si="1452"/>
        <v>-</v>
      </c>
      <c r="S1298" s="3"/>
    </row>
    <row r="1299" spans="2:19" x14ac:dyDescent="0.5">
      <c r="B1299" s="5" t="str">
        <f t="shared" si="1406"/>
        <v>SPS1</v>
      </c>
      <c r="C1299" s="5" t="str">
        <f t="shared" si="1407"/>
        <v>CH</v>
      </c>
      <c r="D1299" t="s">
        <v>1213</v>
      </c>
      <c r="E1299" t="str">
        <f t="shared" si="1408"/>
        <v>km/MJ</v>
      </c>
      <c r="F1299" s="1">
        <f t="shared" si="1450"/>
        <v>0.89356894700014078</v>
      </c>
      <c r="G1299" s="1">
        <f t="shared" si="1450"/>
        <v>1.1872816584960764</v>
      </c>
      <c r="H1299" s="1">
        <f t="shared" si="1450"/>
        <v>1.1824263120868794</v>
      </c>
      <c r="I1299" s="1">
        <f t="shared" si="1450"/>
        <v>1.2565932298551463</v>
      </c>
      <c r="J1299" s="1">
        <f t="shared" si="1450"/>
        <v>1.4725770307198784</v>
      </c>
      <c r="K1299" s="1">
        <f t="shared" si="1450"/>
        <v>0.7753596336121672</v>
      </c>
      <c r="L1299" s="1" t="str">
        <f t="shared" ref="L1299:O1299" si="1455">IFERROR(L1248/L1188,"-")</f>
        <v>-</v>
      </c>
      <c r="M1299" s="1" t="str">
        <f t="shared" si="1455"/>
        <v>-</v>
      </c>
      <c r="N1299" s="1" t="str">
        <f t="shared" si="1455"/>
        <v>-</v>
      </c>
      <c r="O1299" s="1" t="str">
        <f t="shared" si="1455"/>
        <v>-</v>
      </c>
      <c r="P1299" s="1" t="str">
        <f t="shared" si="1452"/>
        <v>-</v>
      </c>
      <c r="Q1299" s="1" t="str">
        <f t="shared" si="1452"/>
        <v>-</v>
      </c>
      <c r="S1299" s="3"/>
    </row>
    <row r="1300" spans="2:19" x14ac:dyDescent="0.5">
      <c r="B1300" s="5" t="str">
        <f t="shared" si="1406"/>
        <v>SPS1</v>
      </c>
      <c r="C1300" s="5" t="str">
        <f t="shared" si="1407"/>
        <v>CH</v>
      </c>
      <c r="D1300" t="s">
        <v>1214</v>
      </c>
      <c r="E1300" t="str">
        <f t="shared" si="1408"/>
        <v>km/MJ</v>
      </c>
      <c r="F1300" s="1">
        <f t="shared" si="1450"/>
        <v>1.3452570780139799</v>
      </c>
      <c r="G1300" s="1">
        <f t="shared" si="1450"/>
        <v>1.5772829769680852</v>
      </c>
      <c r="H1300" s="1">
        <f t="shared" si="1450"/>
        <v>1.5863320885032866</v>
      </c>
      <c r="I1300" s="1">
        <f t="shared" si="1450"/>
        <v>1.6224138981378944</v>
      </c>
      <c r="J1300" s="1">
        <f t="shared" si="1450"/>
        <v>1.5834397561983742</v>
      </c>
      <c r="K1300" s="1">
        <f t="shared" si="1450"/>
        <v>0.75667943458413145</v>
      </c>
      <c r="L1300" s="1" t="str">
        <f t="shared" ref="L1300:O1300" si="1456">IFERROR(L1249/L1189,"-")</f>
        <v>-</v>
      </c>
      <c r="M1300" s="1" t="str">
        <f t="shared" si="1456"/>
        <v>-</v>
      </c>
      <c r="N1300" s="1" t="str">
        <f t="shared" si="1456"/>
        <v>-</v>
      </c>
      <c r="O1300" s="1" t="str">
        <f t="shared" si="1456"/>
        <v>-</v>
      </c>
      <c r="P1300" s="1" t="str">
        <f t="shared" si="1452"/>
        <v>-</v>
      </c>
      <c r="Q1300" s="1" t="str">
        <f t="shared" si="1452"/>
        <v>-</v>
      </c>
      <c r="S1300" s="3"/>
    </row>
    <row r="1301" spans="2:19" x14ac:dyDescent="0.5">
      <c r="B1301" s="5" t="str">
        <f t="shared" si="1406"/>
        <v>SPS1</v>
      </c>
      <c r="C1301" s="5" t="str">
        <f t="shared" si="1407"/>
        <v>CH</v>
      </c>
      <c r="D1301" t="s">
        <v>1215</v>
      </c>
      <c r="E1301" t="str">
        <f t="shared" si="1408"/>
        <v>km/MJ</v>
      </c>
      <c r="F1301" s="1">
        <f t="shared" si="1450"/>
        <v>0.33901850024086017</v>
      </c>
      <c r="G1301" s="1">
        <f t="shared" si="1450"/>
        <v>0.35391427166601086</v>
      </c>
      <c r="H1301" s="1">
        <f t="shared" si="1450"/>
        <v>0.37625792880373737</v>
      </c>
      <c r="I1301" s="1">
        <f t="shared" si="1450"/>
        <v>0.41349735736661475</v>
      </c>
      <c r="J1301" s="1" t="str">
        <f t="shared" si="1450"/>
        <v>-</v>
      </c>
      <c r="K1301" s="1" t="str">
        <f t="shared" si="1450"/>
        <v>-</v>
      </c>
      <c r="L1301" s="1" t="str">
        <f t="shared" ref="L1301:O1301" si="1457">IFERROR(L1250/L1190,"-")</f>
        <v>-</v>
      </c>
      <c r="M1301" s="1" t="str">
        <f t="shared" si="1457"/>
        <v>-</v>
      </c>
      <c r="N1301" s="1" t="str">
        <f t="shared" si="1457"/>
        <v>-</v>
      </c>
      <c r="O1301" s="1" t="str">
        <f t="shared" si="1457"/>
        <v>-</v>
      </c>
      <c r="P1301" s="1" t="str">
        <f t="shared" si="1452"/>
        <v>-</v>
      </c>
      <c r="Q1301" s="1" t="str">
        <f t="shared" si="1452"/>
        <v>-</v>
      </c>
      <c r="S1301" s="3"/>
    </row>
    <row r="1302" spans="2:19" x14ac:dyDescent="0.5">
      <c r="B1302" s="5" t="str">
        <f t="shared" si="1406"/>
        <v>SPS1</v>
      </c>
      <c r="C1302" s="5" t="str">
        <f t="shared" si="1407"/>
        <v>CH</v>
      </c>
      <c r="D1302" t="s">
        <v>1216</v>
      </c>
      <c r="E1302" t="str">
        <f t="shared" si="1408"/>
        <v>km/MJ</v>
      </c>
      <c r="F1302" s="1">
        <f t="shared" si="1450"/>
        <v>0.74990431753248366</v>
      </c>
      <c r="G1302" s="1">
        <f t="shared" si="1450"/>
        <v>0.76723218190924491</v>
      </c>
      <c r="H1302" s="1">
        <f t="shared" si="1450"/>
        <v>0.76942695933727812</v>
      </c>
      <c r="I1302" s="1">
        <f t="shared" si="1450"/>
        <v>0.78704145530987946</v>
      </c>
      <c r="J1302" s="1">
        <f t="shared" si="1450"/>
        <v>0.78324983566487927</v>
      </c>
      <c r="K1302" s="1">
        <f t="shared" si="1450"/>
        <v>0.65351160012518317</v>
      </c>
      <c r="L1302" s="1" t="str">
        <f t="shared" ref="L1302:O1302" si="1458">IFERROR(L1251/L1191,"-")</f>
        <v>-</v>
      </c>
      <c r="M1302" s="1" t="str">
        <f t="shared" si="1458"/>
        <v>-</v>
      </c>
      <c r="N1302" s="1" t="str">
        <f t="shared" si="1458"/>
        <v>-</v>
      </c>
      <c r="O1302" s="1" t="str">
        <f t="shared" si="1458"/>
        <v>-</v>
      </c>
      <c r="P1302" s="1" t="str">
        <f t="shared" si="1452"/>
        <v>-</v>
      </c>
      <c r="Q1302" s="1" t="str">
        <f t="shared" si="1452"/>
        <v>-</v>
      </c>
      <c r="S1302" s="3"/>
    </row>
    <row r="1303" spans="2:19" x14ac:dyDescent="0.5">
      <c r="B1303" s="5" t="str">
        <f t="shared" si="1406"/>
        <v>SPS1</v>
      </c>
      <c r="C1303" s="5" t="str">
        <f t="shared" si="1407"/>
        <v>CH</v>
      </c>
      <c r="D1303" t="s">
        <v>1217</v>
      </c>
      <c r="E1303" t="str">
        <f t="shared" si="1408"/>
        <v>km/MJ</v>
      </c>
      <c r="F1303" s="1">
        <f t="shared" si="1450"/>
        <v>0.69634724453445151</v>
      </c>
      <c r="G1303" s="1">
        <f t="shared" si="1450"/>
        <v>0.70373885741633169</v>
      </c>
      <c r="H1303" s="1">
        <f t="shared" si="1450"/>
        <v>0.73494360297280603</v>
      </c>
      <c r="I1303" s="1">
        <f t="shared" si="1450"/>
        <v>0.76297595765219783</v>
      </c>
      <c r="J1303" s="1">
        <f t="shared" si="1450"/>
        <v>0.82899831547253788</v>
      </c>
      <c r="K1303" s="1">
        <f t="shared" si="1450"/>
        <v>0.53235868908353678</v>
      </c>
      <c r="L1303" s="1" t="str">
        <f t="shared" ref="L1303:O1303" si="1459">IFERROR(L1252/L1192,"-")</f>
        <v>-</v>
      </c>
      <c r="M1303" s="1" t="str">
        <f t="shared" si="1459"/>
        <v>-</v>
      </c>
      <c r="N1303" s="1" t="str">
        <f t="shared" si="1459"/>
        <v>-</v>
      </c>
      <c r="O1303" s="1" t="str">
        <f t="shared" si="1459"/>
        <v>-</v>
      </c>
      <c r="P1303" s="1" t="str">
        <f t="shared" si="1452"/>
        <v>-</v>
      </c>
      <c r="Q1303" s="1" t="str">
        <f t="shared" si="1452"/>
        <v>-</v>
      </c>
      <c r="S1303" s="3"/>
    </row>
    <row r="1304" spans="2:19" x14ac:dyDescent="0.5">
      <c r="B1304" s="5" t="str">
        <f t="shared" si="1406"/>
        <v>SPS1</v>
      </c>
      <c r="C1304" s="5" t="str">
        <f t="shared" si="1407"/>
        <v>CH</v>
      </c>
      <c r="D1304" t="s">
        <v>1218</v>
      </c>
      <c r="E1304" t="str">
        <f t="shared" si="1408"/>
        <v>km/MJ</v>
      </c>
      <c r="F1304" s="1">
        <f t="shared" si="1450"/>
        <v>0.52782607992165498</v>
      </c>
      <c r="G1304" s="1">
        <f t="shared" si="1450"/>
        <v>0.53241860217133696</v>
      </c>
      <c r="H1304" s="1">
        <f t="shared" si="1450"/>
        <v>0.5319535394281637</v>
      </c>
      <c r="I1304" s="1">
        <f t="shared" si="1450"/>
        <v>0.54121810810430893</v>
      </c>
      <c r="J1304" s="1">
        <f t="shared" si="1450"/>
        <v>0.59132672301316924</v>
      </c>
      <c r="K1304" s="1">
        <f t="shared" si="1450"/>
        <v>0.47608402581572229</v>
      </c>
      <c r="L1304" s="1" t="str">
        <f t="shared" ref="L1304:O1304" si="1460">IFERROR(L1253/L1193,"-")</f>
        <v>-</v>
      </c>
      <c r="M1304" s="1" t="str">
        <f t="shared" si="1460"/>
        <v>-</v>
      </c>
      <c r="N1304" s="1" t="str">
        <f t="shared" si="1460"/>
        <v>-</v>
      </c>
      <c r="O1304" s="1" t="str">
        <f t="shared" si="1460"/>
        <v>-</v>
      </c>
      <c r="P1304" s="1" t="str">
        <f t="shared" si="1452"/>
        <v>-</v>
      </c>
      <c r="Q1304" s="1" t="str">
        <f t="shared" si="1452"/>
        <v>-</v>
      </c>
      <c r="S1304" s="3"/>
    </row>
    <row r="1305" spans="2:19" x14ac:dyDescent="0.5">
      <c r="B1305" s="5" t="str">
        <f t="shared" si="1406"/>
        <v>SPS1</v>
      </c>
      <c r="C1305" s="5" t="str">
        <f t="shared" si="1407"/>
        <v>CH</v>
      </c>
      <c r="D1305" t="s">
        <v>1219</v>
      </c>
      <c r="E1305" t="str">
        <f t="shared" si="1408"/>
        <v>km/MJ</v>
      </c>
      <c r="F1305" s="1">
        <f t="shared" si="1450"/>
        <v>0.46601107844879763</v>
      </c>
      <c r="G1305" s="1">
        <f t="shared" si="1450"/>
        <v>0.45574894410624173</v>
      </c>
      <c r="H1305" s="1">
        <f t="shared" si="1450"/>
        <v>0.45676341805322018</v>
      </c>
      <c r="I1305" s="1">
        <f t="shared" si="1450"/>
        <v>0.46321369025289044</v>
      </c>
      <c r="J1305" s="1">
        <f t="shared" si="1450"/>
        <v>0.39220787549379621</v>
      </c>
      <c r="K1305" s="1">
        <f t="shared" si="1450"/>
        <v>0.42503198653834029</v>
      </c>
      <c r="L1305" s="1" t="str">
        <f t="shared" ref="L1305:O1305" si="1461">IFERROR(L1254/L1194,"-")</f>
        <v>-</v>
      </c>
      <c r="M1305" s="1" t="str">
        <f t="shared" si="1461"/>
        <v>-</v>
      </c>
      <c r="N1305" s="1" t="str">
        <f t="shared" si="1461"/>
        <v>-</v>
      </c>
      <c r="O1305" s="1" t="str">
        <f t="shared" si="1461"/>
        <v>-</v>
      </c>
      <c r="P1305" s="1" t="str">
        <f t="shared" si="1452"/>
        <v>-</v>
      </c>
      <c r="Q1305" s="1" t="str">
        <f t="shared" si="1452"/>
        <v>-</v>
      </c>
      <c r="S1305" s="3"/>
    </row>
    <row r="1306" spans="2:19" x14ac:dyDescent="0.5">
      <c r="B1306" s="5" t="str">
        <f t="shared" si="1406"/>
        <v>SPS1</v>
      </c>
      <c r="C1306" s="5" t="str">
        <f t="shared" si="1407"/>
        <v>CH</v>
      </c>
      <c r="D1306" t="s">
        <v>1220</v>
      </c>
      <c r="E1306" t="str">
        <f t="shared" si="1408"/>
        <v>km/MJ</v>
      </c>
      <c r="F1306" s="1" t="str">
        <f t="shared" si="1450"/>
        <v>-</v>
      </c>
      <c r="G1306" s="1">
        <f t="shared" si="1450"/>
        <v>0.56203544748554668</v>
      </c>
      <c r="H1306" s="1">
        <f t="shared" si="1450"/>
        <v>0.585258196816556</v>
      </c>
      <c r="I1306" s="1">
        <f t="shared" si="1450"/>
        <v>0.6072914098207649</v>
      </c>
      <c r="J1306" s="1">
        <f t="shared" si="1450"/>
        <v>0.612349468284762</v>
      </c>
      <c r="K1306" s="1">
        <f t="shared" si="1450"/>
        <v>0.63065718180952413</v>
      </c>
      <c r="L1306" s="1" t="str">
        <f t="shared" ref="L1306:O1306" si="1462">IFERROR(L1255/L1195,"-")</f>
        <v>-</v>
      </c>
      <c r="M1306" s="1" t="str">
        <f t="shared" si="1462"/>
        <v>-</v>
      </c>
      <c r="N1306" s="1" t="str">
        <f t="shared" si="1462"/>
        <v>-</v>
      </c>
      <c r="O1306" s="1" t="str">
        <f t="shared" si="1462"/>
        <v>-</v>
      </c>
      <c r="P1306" s="1" t="str">
        <f t="shared" si="1452"/>
        <v>-</v>
      </c>
      <c r="Q1306" s="1" t="str">
        <f t="shared" si="1452"/>
        <v>-</v>
      </c>
      <c r="S1306" s="3"/>
    </row>
    <row r="1307" spans="2:19" x14ac:dyDescent="0.5">
      <c r="B1307" s="5" t="str">
        <f t="shared" si="1406"/>
        <v>SPS1</v>
      </c>
      <c r="C1307" s="5" t="str">
        <f t="shared" si="1407"/>
        <v>CH</v>
      </c>
      <c r="D1307" t="s">
        <v>1221</v>
      </c>
      <c r="E1307" t="str">
        <f t="shared" si="1408"/>
        <v>km/MJ</v>
      </c>
      <c r="F1307" s="1" t="str">
        <f t="shared" si="1450"/>
        <v>-</v>
      </c>
      <c r="G1307" s="1">
        <f t="shared" si="1450"/>
        <v>0.45210145766281473</v>
      </c>
      <c r="H1307" s="1">
        <f t="shared" si="1450"/>
        <v>0.47178853197212756</v>
      </c>
      <c r="I1307" s="1">
        <f t="shared" si="1450"/>
        <v>0.49078713832895182</v>
      </c>
      <c r="J1307" s="1">
        <f t="shared" si="1450"/>
        <v>0.49523326998210032</v>
      </c>
      <c r="K1307" s="1">
        <f t="shared" si="1450"/>
        <v>0.51108841808348837</v>
      </c>
      <c r="L1307" s="1" t="str">
        <f t="shared" ref="L1307:O1307" si="1463">IFERROR(L1256/L1196,"-")</f>
        <v>-</v>
      </c>
      <c r="M1307" s="1" t="str">
        <f t="shared" si="1463"/>
        <v>-</v>
      </c>
      <c r="N1307" s="1" t="str">
        <f t="shared" si="1463"/>
        <v>-</v>
      </c>
      <c r="O1307" s="1" t="str">
        <f t="shared" si="1463"/>
        <v>-</v>
      </c>
      <c r="P1307" s="1" t="str">
        <f t="shared" si="1452"/>
        <v>-</v>
      </c>
      <c r="Q1307" s="1" t="str">
        <f t="shared" si="1452"/>
        <v>-</v>
      </c>
      <c r="S1307" s="3"/>
    </row>
    <row r="1308" spans="2:19" x14ac:dyDescent="0.5">
      <c r="B1308" s="5" t="str">
        <f t="shared" si="1406"/>
        <v>SPS1</v>
      </c>
      <c r="C1308" s="5" t="str">
        <f t="shared" si="1407"/>
        <v>CH</v>
      </c>
      <c r="D1308" t="s">
        <v>1222</v>
      </c>
      <c r="E1308" t="str">
        <f t="shared" si="1408"/>
        <v>km/MJ</v>
      </c>
      <c r="F1308" s="1" t="str">
        <f t="shared" si="1450"/>
        <v>-</v>
      </c>
      <c r="G1308" s="1">
        <f t="shared" si="1450"/>
        <v>0.42028149632876888</v>
      </c>
      <c r="H1308" s="1">
        <f t="shared" si="1450"/>
        <v>0.43721477178049378</v>
      </c>
      <c r="I1308" s="1">
        <f t="shared" si="1450"/>
        <v>0.4528472313736725</v>
      </c>
      <c r="J1308" s="1">
        <f t="shared" si="1450"/>
        <v>0.4580435543191968</v>
      </c>
      <c r="K1308" s="1">
        <f t="shared" si="1450"/>
        <v>0.47482170999144319</v>
      </c>
      <c r="L1308" s="1" t="str">
        <f t="shared" ref="L1308:O1308" si="1464">IFERROR(L1257/L1197,"-")</f>
        <v>-</v>
      </c>
      <c r="M1308" s="1" t="str">
        <f t="shared" si="1464"/>
        <v>-</v>
      </c>
      <c r="N1308" s="1" t="str">
        <f t="shared" si="1464"/>
        <v>-</v>
      </c>
      <c r="O1308" s="1" t="str">
        <f t="shared" si="1464"/>
        <v>-</v>
      </c>
      <c r="P1308" s="1" t="str">
        <f t="shared" si="1452"/>
        <v>-</v>
      </c>
      <c r="Q1308" s="1" t="str">
        <f t="shared" si="1452"/>
        <v>-</v>
      </c>
      <c r="S1308" s="3"/>
    </row>
    <row r="1309" spans="2:19" x14ac:dyDescent="0.5">
      <c r="B1309" s="5" t="str">
        <f t="shared" si="1406"/>
        <v>SPS1</v>
      </c>
      <c r="C1309" s="5" t="str">
        <f t="shared" si="1407"/>
        <v>CH</v>
      </c>
      <c r="D1309" t="s">
        <v>1223</v>
      </c>
      <c r="E1309" t="str">
        <f t="shared" si="1408"/>
        <v>km/MJ</v>
      </c>
      <c r="F1309" s="1" t="str">
        <f t="shared" si="1450"/>
        <v>-</v>
      </c>
      <c r="G1309" s="1">
        <f t="shared" si="1450"/>
        <v>0.3994340392549478</v>
      </c>
      <c r="H1309" s="1">
        <f t="shared" si="1450"/>
        <v>0.41381347002199909</v>
      </c>
      <c r="I1309" s="1">
        <f t="shared" si="1450"/>
        <v>0.43035010104717092</v>
      </c>
      <c r="J1309" s="1">
        <f t="shared" si="1450"/>
        <v>0.43584995659657161</v>
      </c>
      <c r="K1309" s="1">
        <f t="shared" si="1450"/>
        <v>0.45185664844819834</v>
      </c>
      <c r="L1309" s="1" t="str">
        <f t="shared" ref="L1309:O1309" si="1465">IFERROR(L1258/L1198,"-")</f>
        <v>-</v>
      </c>
      <c r="M1309" s="1" t="str">
        <f t="shared" si="1465"/>
        <v>-</v>
      </c>
      <c r="N1309" s="1" t="str">
        <f t="shared" si="1465"/>
        <v>-</v>
      </c>
      <c r="O1309" s="1" t="str">
        <f t="shared" si="1465"/>
        <v>-</v>
      </c>
      <c r="P1309" s="1" t="str">
        <f t="shared" si="1452"/>
        <v>-</v>
      </c>
      <c r="Q1309" s="1" t="str">
        <f t="shared" si="1452"/>
        <v>-</v>
      </c>
      <c r="S1309" s="3"/>
    </row>
    <row r="1310" spans="2:19" x14ac:dyDescent="0.5">
      <c r="B1310" s="5" t="str">
        <f t="shared" si="1406"/>
        <v>SPS1</v>
      </c>
      <c r="C1310" s="5" t="str">
        <f t="shared" si="1407"/>
        <v>CH</v>
      </c>
      <c r="D1310" t="s">
        <v>1224</v>
      </c>
      <c r="E1310" t="str">
        <f t="shared" si="1408"/>
        <v>km/MJ</v>
      </c>
      <c r="F1310" s="1" t="str">
        <f>IFERROR(F1259/F1208,"-")</f>
        <v>-</v>
      </c>
      <c r="G1310" s="1">
        <f t="shared" ref="G1310:K1314" si="1466">IFERROR(G1259/G1199,"-")</f>
        <v>0</v>
      </c>
      <c r="H1310" s="1">
        <f t="shared" si="1466"/>
        <v>0</v>
      </c>
      <c r="I1310" s="1">
        <f t="shared" si="1466"/>
        <v>0</v>
      </c>
      <c r="J1310" s="1">
        <f t="shared" si="1466"/>
        <v>0</v>
      </c>
      <c r="K1310" s="1">
        <f t="shared" si="1466"/>
        <v>0</v>
      </c>
      <c r="L1310" s="1">
        <f t="shared" ref="L1310:O1310" si="1467">IFERROR(L1259/L1199,"-")</f>
        <v>0</v>
      </c>
      <c r="M1310" s="1">
        <f t="shared" si="1467"/>
        <v>0</v>
      </c>
      <c r="N1310" s="1">
        <f t="shared" si="1467"/>
        <v>0</v>
      </c>
      <c r="O1310" s="1">
        <f t="shared" si="1467"/>
        <v>0</v>
      </c>
      <c r="P1310" s="1">
        <f t="shared" si="1452"/>
        <v>0</v>
      </c>
      <c r="Q1310" s="1">
        <f t="shared" si="1452"/>
        <v>0</v>
      </c>
      <c r="S1310" s="3"/>
    </row>
    <row r="1311" spans="2:19" x14ac:dyDescent="0.5">
      <c r="B1311" s="5" t="str">
        <f t="shared" si="1406"/>
        <v>SPS1</v>
      </c>
      <c r="C1311" s="5" t="str">
        <f t="shared" si="1407"/>
        <v>CH</v>
      </c>
      <c r="D1311" t="s">
        <v>1225</v>
      </c>
      <c r="E1311" t="str">
        <f t="shared" si="1408"/>
        <v>km/MJ</v>
      </c>
      <c r="F1311" s="1">
        <f>IFERROR(F1260/F1209,"-")</f>
        <v>0.61544277053241581</v>
      </c>
      <c r="G1311" s="1">
        <f t="shared" si="1466"/>
        <v>4.6298940321707036</v>
      </c>
      <c r="H1311" s="1">
        <f t="shared" si="1466"/>
        <v>1.3388601185511739</v>
      </c>
      <c r="I1311" s="1">
        <f t="shared" si="1466"/>
        <v>2.8556657423544254E-2</v>
      </c>
      <c r="J1311" s="1">
        <f t="shared" si="1466"/>
        <v>6.7905381975565749E-3</v>
      </c>
      <c r="K1311" s="1">
        <f t="shared" si="1466"/>
        <v>0</v>
      </c>
      <c r="L1311" s="1">
        <f t="shared" ref="L1311:O1311" si="1468">IFERROR(L1260/L1200,"-")</f>
        <v>0</v>
      </c>
      <c r="M1311" s="1">
        <f t="shared" si="1468"/>
        <v>0</v>
      </c>
      <c r="N1311" s="1">
        <f t="shared" si="1468"/>
        <v>0</v>
      </c>
      <c r="O1311" s="1">
        <f t="shared" si="1468"/>
        <v>0</v>
      </c>
      <c r="P1311" s="1">
        <f t="shared" si="1452"/>
        <v>0</v>
      </c>
      <c r="Q1311" s="1">
        <f t="shared" si="1452"/>
        <v>0</v>
      </c>
      <c r="S1311" s="3"/>
    </row>
    <row r="1312" spans="2:19" x14ac:dyDescent="0.5">
      <c r="B1312" s="5" t="str">
        <f t="shared" si="1406"/>
        <v>SPS1</v>
      </c>
      <c r="C1312" s="5" t="str">
        <f t="shared" si="1407"/>
        <v>CH</v>
      </c>
      <c r="D1312" t="s">
        <v>1226</v>
      </c>
      <c r="E1312" t="str">
        <f t="shared" si="1408"/>
        <v>km/MJ</v>
      </c>
      <c r="F1312" s="1">
        <f>IFERROR(F1261/F1210,"-")</f>
        <v>0.63139525234816707</v>
      </c>
      <c r="G1312" s="1">
        <f t="shared" si="1466"/>
        <v>4.6883550633574911E-2</v>
      </c>
      <c r="H1312" s="1">
        <f t="shared" si="1466"/>
        <v>2.5685637657406116E-2</v>
      </c>
      <c r="I1312" s="1">
        <f t="shared" si="1466"/>
        <v>0</v>
      </c>
      <c r="J1312" s="1">
        <f t="shared" si="1466"/>
        <v>0</v>
      </c>
      <c r="K1312" s="1">
        <f t="shared" si="1466"/>
        <v>0</v>
      </c>
      <c r="L1312" s="1">
        <f t="shared" ref="L1312:O1312" si="1469">IFERROR(L1261/L1201,"-")</f>
        <v>0</v>
      </c>
      <c r="M1312" s="1">
        <f t="shared" si="1469"/>
        <v>0</v>
      </c>
      <c r="N1312" s="1">
        <f t="shared" si="1469"/>
        <v>0</v>
      </c>
      <c r="O1312" s="1">
        <f t="shared" si="1469"/>
        <v>0</v>
      </c>
      <c r="P1312" s="1">
        <f t="shared" si="1452"/>
        <v>0</v>
      </c>
      <c r="Q1312" s="1">
        <f t="shared" si="1452"/>
        <v>0</v>
      </c>
      <c r="S1312" s="3"/>
    </row>
    <row r="1313" spans="2:19" x14ac:dyDescent="0.5">
      <c r="B1313" s="5" t="str">
        <f t="shared" si="1406"/>
        <v>SPS1</v>
      </c>
      <c r="C1313" s="5" t="str">
        <f t="shared" si="1407"/>
        <v>CH</v>
      </c>
      <c r="D1313" t="s">
        <v>1227</v>
      </c>
      <c r="E1313" t="str">
        <f t="shared" si="1408"/>
        <v>km/MJ</v>
      </c>
      <c r="F1313" s="1">
        <f>IFERROR(F1262/F1211,"-")</f>
        <v>0.46783098065191892</v>
      </c>
      <c r="G1313" s="1">
        <f t="shared" si="1466"/>
        <v>0.10909748707557633</v>
      </c>
      <c r="H1313" s="1">
        <f t="shared" si="1466"/>
        <v>0.12945896821336489</v>
      </c>
      <c r="I1313" s="1">
        <f t="shared" si="1466"/>
        <v>3.206773851834288E-3</v>
      </c>
      <c r="J1313" s="1">
        <f t="shared" si="1466"/>
        <v>9.9003060396000986E-4</v>
      </c>
      <c r="K1313" s="1">
        <f t="shared" si="1466"/>
        <v>0</v>
      </c>
      <c r="L1313" s="1">
        <f t="shared" ref="L1313:O1313" si="1470">IFERROR(L1262/L1202,"-")</f>
        <v>0</v>
      </c>
      <c r="M1313" s="1">
        <f t="shared" si="1470"/>
        <v>0</v>
      </c>
      <c r="N1313" s="1">
        <f t="shared" si="1470"/>
        <v>0</v>
      </c>
      <c r="O1313" s="1">
        <f t="shared" si="1470"/>
        <v>0</v>
      </c>
      <c r="P1313" s="1">
        <f t="shared" si="1452"/>
        <v>0</v>
      </c>
      <c r="Q1313" s="1">
        <f t="shared" si="1452"/>
        <v>0</v>
      </c>
      <c r="S1313" s="3"/>
    </row>
    <row r="1314" spans="2:19" x14ac:dyDescent="0.5">
      <c r="B1314" s="5" t="str">
        <f t="shared" si="1406"/>
        <v>SPS1</v>
      </c>
      <c r="C1314" s="5" t="str">
        <f t="shared" si="1407"/>
        <v>CH</v>
      </c>
      <c r="D1314" t="s">
        <v>1228</v>
      </c>
      <c r="E1314" t="str">
        <f t="shared" si="1408"/>
        <v>km/MJ</v>
      </c>
      <c r="F1314" s="1">
        <f>IFERROR(F1263/F1212,"-")</f>
        <v>0.68268696244473059</v>
      </c>
      <c r="G1314" s="1">
        <f t="shared" si="1466"/>
        <v>0.30149324393896232</v>
      </c>
      <c r="H1314" s="1">
        <f t="shared" si="1466"/>
        <v>0.27149450389498642</v>
      </c>
      <c r="I1314" s="1">
        <f t="shared" si="1466"/>
        <v>0</v>
      </c>
      <c r="J1314" s="1">
        <f t="shared" si="1466"/>
        <v>0</v>
      </c>
      <c r="K1314" s="1" t="str">
        <f t="shared" si="1466"/>
        <v>-</v>
      </c>
      <c r="L1314" s="1" t="str">
        <f t="shared" ref="L1314:O1314" si="1471">IFERROR(L1263/L1203,"-")</f>
        <v>-</v>
      </c>
      <c r="M1314" s="1" t="str">
        <f t="shared" si="1471"/>
        <v>-</v>
      </c>
      <c r="N1314" s="1" t="str">
        <f t="shared" si="1471"/>
        <v>-</v>
      </c>
      <c r="O1314" s="1" t="str">
        <f t="shared" si="1471"/>
        <v>-</v>
      </c>
      <c r="P1314" s="1" t="str">
        <f t="shared" si="1452"/>
        <v>-</v>
      </c>
      <c r="Q1314" s="1" t="str">
        <f t="shared" si="1452"/>
        <v>-</v>
      </c>
      <c r="S1314" s="3"/>
    </row>
    <row r="1315" spans="2:19" x14ac:dyDescent="0.5">
      <c r="B1315" s="9" t="str">
        <f t="shared" ref="B1315" si="1472">B1314</f>
        <v>SPS1</v>
      </c>
      <c r="C1315" s="9" t="str">
        <f t="shared" ref="C1315" si="1473">C1314</f>
        <v>CH</v>
      </c>
      <c r="D1315" s="2" t="s">
        <v>1304</v>
      </c>
      <c r="E1315" s="2" t="s">
        <v>8</v>
      </c>
      <c r="F1315" s="3">
        <f>F1316+F1322+F1327+F1341</f>
        <v>0.75817164865258524</v>
      </c>
      <c r="G1315" s="3">
        <f t="shared" ref="G1315:K1315" si="1474">G1316+G1322+G1327+G1341</f>
        <v>1.338028704112618</v>
      </c>
      <c r="H1315" s="3">
        <f t="shared" si="1474"/>
        <v>2.3588017697144132</v>
      </c>
      <c r="I1315" s="3">
        <f t="shared" si="1474"/>
        <v>1.1833450047913652</v>
      </c>
      <c r="J1315" s="3">
        <f t="shared" si="1474"/>
        <v>1.1958760799414576</v>
      </c>
      <c r="K1315" s="3">
        <f t="shared" si="1474"/>
        <v>1.1822058345628941</v>
      </c>
      <c r="L1315" s="3">
        <f t="shared" ref="L1315:O1315" si="1475">L1316+L1322+L1327+L1341</f>
        <v>1.1835600096392693</v>
      </c>
      <c r="M1315" s="3">
        <f t="shared" si="1475"/>
        <v>1.1484352343381876</v>
      </c>
      <c r="N1315" s="3">
        <f t="shared" si="1475"/>
        <v>1.1643111232604708</v>
      </c>
      <c r="O1315" s="3">
        <f t="shared" si="1475"/>
        <v>1.1926314394987008</v>
      </c>
      <c r="P1315" s="3">
        <f>P1316+P1322+P1327+P1341</f>
        <v>1.2290888653872609</v>
      </c>
      <c r="Q1315" s="3">
        <f>Q1316+Q1322+Q1327+Q1341</f>
        <v>1.2711027189760133</v>
      </c>
      <c r="S1315" s="3"/>
    </row>
    <row r="1316" spans="2:19" x14ac:dyDescent="0.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4.7085457149419118E-3</v>
      </c>
      <c r="G1316" s="1">
        <f t="shared" ref="G1316:K1316" si="1476">SUM(G1317:G1321)</f>
        <v>9.6929826347868404E-3</v>
      </c>
      <c r="H1316" s="1">
        <f t="shared" si="1476"/>
        <v>1.2214947782919977E-2</v>
      </c>
      <c r="I1316" s="1">
        <f t="shared" si="1476"/>
        <v>1.183299620542047</v>
      </c>
      <c r="J1316" s="1">
        <f t="shared" si="1476"/>
        <v>1.1958760799414576</v>
      </c>
      <c r="K1316" s="1">
        <f t="shared" si="1476"/>
        <v>1.1822058345628941</v>
      </c>
      <c r="L1316" s="1">
        <f t="shared" ref="L1316:O1316" si="1477">SUM(L1317:L1321)</f>
        <v>1.1835600096392693</v>
      </c>
      <c r="M1316" s="1">
        <f t="shared" si="1477"/>
        <v>1.1484352343381876</v>
      </c>
      <c r="N1316" s="1">
        <f t="shared" si="1477"/>
        <v>1.1643111232604708</v>
      </c>
      <c r="O1316" s="1">
        <f t="shared" si="1477"/>
        <v>1.1926314394987008</v>
      </c>
      <c r="P1316" s="1">
        <f>SUM(P1317:P1321)</f>
        <v>1.2290888653872609</v>
      </c>
      <c r="Q1316" s="1">
        <f>SUM(Q1317:Q1321)</f>
        <v>1.2711027189760133</v>
      </c>
      <c r="S1316" s="3"/>
    </row>
    <row r="1317" spans="2:19" x14ac:dyDescent="0.5">
      <c r="B1317" s="5" t="str">
        <f t="shared" ref="B1317:B1350" si="1478">B1316</f>
        <v>SPS1</v>
      </c>
      <c r="C1317" s="5" t="str">
        <f t="shared" ref="C1317:C1350" si="1479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4.7671094812693616E-4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4.7530526887481795E-4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4.6654542193172785E-4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SUMPRODUCT(("T_B_u-BeVELCEXT"=[1]OUT_TransportEnergyCons!$A$3:$A$1000)*1,("Var_Fin"=[1]OUT_TransportEnergyCons!$B$3:$B$1000)*1,ISNUMBER(SEARCH("ELC",[1]OUT_TransportEnergyCons!$C$3:$C$1000))*1,[1]OUT_TransportEnergyCons!H$3:H$1000)</f>
        <v>0</v>
      </c>
      <c r="K1317" s="1" cm="1">
        <f t="array" ref="K1317">SUMPRODUCT(("T_B_u-BeVELCEXT"=[1]OUT_TransportEnergyCons!$A$3:$A$1000)*1,("Var_Fin"=[1]OUT_TransportEnergyCons!$B$3:$B$1000)*1,ISNUMBER(SEARCH("ELC",[1]OUT_TransportEnergyCons!$C$3:$C$1000))*1,[1]OUT_TransportEnergyCons!I$3:I$1000)</f>
        <v>0</v>
      </c>
      <c r="L1317" s="1" cm="1">
        <f t="array" ref="L1317">SUMPRODUCT(("T_B_u-BeVELCEXT"=[1]OUT_TransportEnergyCons!$A$3:$A$1000)*1,("Var_Fin"=[1]OUT_TransportEnergyCons!$B$3:$B$1000)*1,ISNUMBER(SEARCH("ELC",[1]OUT_TransportEnergyCons!$C$3:$C$1000))*1,[1]OUT_TransportEnergyCons!J$3:J$1000)</f>
        <v>0</v>
      </c>
      <c r="M1317" s="1" cm="1">
        <f t="array" ref="M1317">SUMPRODUCT(("T_B_u-BeVELCEXT"=[1]OUT_TransportEnergyCons!$A$3:$A$1000)*1,("Var_Fin"=[1]OUT_TransportEnergyCons!$B$3:$B$1000)*1,ISNUMBER(SEARCH("ELC",[1]OUT_TransportEnergyCons!$C$3:$C$1000))*1,[1]OUT_TransportEnergyCons!K$3:K$1000)</f>
        <v>0</v>
      </c>
      <c r="N1317" s="1" cm="1">
        <f t="array" ref="N1317">SUMPRODUCT(("T_B_u-BeVELCEXT"=[1]OUT_TransportEnergyCons!$A$3:$A$1000)*1,("Var_Fin"=[1]OUT_TransportEnergyCons!$B$3:$B$1000)*1,ISNUMBER(SEARCH("ELC",[1]OUT_TransportEnergyCons!$C$3:$C$1000))*1,[1]OUT_TransportEnergyCons!L$3:L$1000)</f>
        <v>0</v>
      </c>
      <c r="O1317" s="1" cm="1">
        <f t="array" ref="O1317">SUMPRODUCT(("T_B_u-BeVELCEXT"=[1]OUT_TransportEnergyCons!$A$3:$A$1000)*1,("Var_Fin"=[1]OUT_TransportEnergyCons!$B$3:$B$1000)*1,ISNUMBER(SEARCH("ELC",[1]OUT_TransportEnergyCons!$C$3:$C$1000))*1,[1]OUT_TransportEnergyCons!M$3:M$1000)</f>
        <v>0</v>
      </c>
      <c r="P1317" s="1" cm="1">
        <f t="array" ref="P1317">SUMPRODUCT(("T_B_u-BeVELCEXT"=[1]OUT_TransportEnergyCons!$A$3:$A$1000)*1,("Var_Fin"=[1]OUT_TransportEnergyCons!$B$3:$B$1000)*1,ISNUMBER(SEARCH("ELC",[1]OUT_TransportEnergyCons!$C$3:$C$1000))*1,[1]OUT_TransportEnergyCons!N$3:N$1000)</f>
        <v>0</v>
      </c>
      <c r="Q1317" s="1" cm="1">
        <f t="array" ref="Q1317">SUMPRODUCT(("T_B_u-BeVELCEXT"=[1]OUT_TransportEnergyCons!$A$3:$A$1000)*1,("Var_Fin"=[1]OUT_TransportEnergyCons!$B$3:$B$1000)*1,ISNUMBER(SEARCH("ELC",[1]OUT_TransportEnergyCons!$C$3:$C$1000))*1,[1]OUT_TransportEnergyCons!O$3:O$1000)</f>
        <v>0</v>
      </c>
      <c r="S1317" s="3"/>
    </row>
    <row r="1318" spans="2:19" x14ac:dyDescent="0.5">
      <c r="B1318" s="5" t="str">
        <f t="shared" si="1478"/>
        <v>SPS1</v>
      </c>
      <c r="C1318" s="5" t="str">
        <f t="shared" si="1479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2.440801345457588E-7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2.7628870789577278E-4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9.6709063563428781E-4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0.24326266479897279</v>
      </c>
      <c r="J1318" s="1" cm="1">
        <f t="array" ref="J1318">SUMPRODUCT(("T_B_u-BEVELC-S1"=[1]OUT_TransportEnergyCons!$A$3:$A$1000)*1,("Var_Fin"=[1]OUT_TransportEnergyCons!$B$3:$B$1000)*1,ISNUMBER(SEARCH("ELC",[1]OUT_TransportEnergyCons!$C$3:$C$1000))*1,[1]OUT_TransportEnergyCons!H$3:H$1000)</f>
        <v>0.24424108671576955</v>
      </c>
      <c r="K1318" s="1" cm="1">
        <f t="array" ref="K1318">SUMPRODUCT(("T_B_u-BEVELC-S1"=[1]OUT_TransportEnergyCons!$A$3:$A$1000)*1,("Var_Fin"=[1]OUT_TransportEnergyCons!$B$3:$B$1000)*1,ISNUMBER(SEARCH("ELC",[1]OUT_TransportEnergyCons!$C$3:$C$1000))*1,[1]OUT_TransportEnergyCons!I$3:I$1000)</f>
        <v>0.25215000625310069</v>
      </c>
      <c r="L1318" s="1" cm="1">
        <f t="array" ref="L1318">SUMPRODUCT(("T_B_u-BEVELC-S1"=[1]OUT_TransportEnergyCons!$A$3:$A$1000)*1,("Var_Fin"=[1]OUT_TransportEnergyCons!$B$3:$B$1000)*1,ISNUMBER(SEARCH("ELC",[1]OUT_TransportEnergyCons!$C$3:$C$1000))*1,[1]OUT_TransportEnergyCons!J$3:J$1000)</f>
        <v>0.25020418860023369</v>
      </c>
      <c r="M1318" s="1" cm="1">
        <f t="array" ref="M1318">SUMPRODUCT(("T_B_u-BEVELC-S1"=[1]OUT_TransportEnergyCons!$A$3:$A$1000)*1,("Var_Fin"=[1]OUT_TransportEnergyCons!$B$3:$B$1000)*1,ISNUMBER(SEARCH("ELC",[1]OUT_TransportEnergyCons!$C$3:$C$1000))*1,[1]OUT_TransportEnergyCons!K$3:K$1000)</f>
        <v>0.24183713106001417</v>
      </c>
      <c r="N1318" s="1" cm="1">
        <f t="array" ref="N1318">SUMPRODUCT(("T_B_u-BEVELC-S1"=[1]OUT_TransportEnergyCons!$A$3:$A$1000)*1,("Var_Fin"=[1]OUT_TransportEnergyCons!$B$3:$B$1000)*1,ISNUMBER(SEARCH("ELC",[1]OUT_TransportEnergyCons!$C$3:$C$1000))*1,[1]OUT_TransportEnergyCons!L$3:L$1000)</f>
        <v>0.24521743350194541</v>
      </c>
      <c r="O1318" s="1" cm="1">
        <f t="array" ref="O1318">SUMPRODUCT(("T_B_u-BEVELC-S1"=[1]OUT_TransportEnergyCons!$A$3:$A$1000)*1,("Var_Fin"=[1]OUT_TransportEnergyCons!$B$3:$B$1000)*1,ISNUMBER(SEARCH("ELC",[1]OUT_TransportEnergyCons!$C$3:$C$1000))*1,[1]OUT_TransportEnergyCons!M$3:M$1000)</f>
        <v>0.25043024415316928</v>
      </c>
      <c r="P1318" s="1" cm="1">
        <f t="array" ref="P1318">SUMPRODUCT(("T_B_u-BEVELC-S1"=[1]OUT_TransportEnergyCons!$A$3:$A$1000)*1,("Var_Fin"=[1]OUT_TransportEnergyCons!$B$3:$B$1000)*1,ISNUMBER(SEARCH("ELC",[1]OUT_TransportEnergyCons!$C$3:$C$1000))*1,[1]OUT_TransportEnergyCons!N$3:N$1000)</f>
        <v>0.25808099567657483</v>
      </c>
      <c r="Q1318" s="1" cm="1">
        <f t="array" ref="Q1318">SUMPRODUCT(("T_B_u-BEVELC-S1"=[1]OUT_TransportEnergyCons!$A$3:$A$1000)*1,("Var_Fin"=[1]OUT_TransportEnergyCons!$B$3:$B$1000)*1,ISNUMBER(SEARCH("ELC",[1]OUT_TransportEnergyCons!$C$3:$C$1000))*1,[1]OUT_TransportEnergyCons!O$3:O$1000)</f>
        <v>0.26687622698343483</v>
      </c>
      <c r="S1318" s="3"/>
    </row>
    <row r="1319" spans="2:19" x14ac:dyDescent="0.5">
      <c r="B1319" s="5" t="str">
        <f t="shared" si="1478"/>
        <v>SPS1</v>
      </c>
      <c r="C1319" s="5" t="str">
        <f t="shared" si="1479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8.9733108283608014E-4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1.6554453445287967E-3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2.5032268933184733E-3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0.12290416094526976</v>
      </c>
      <c r="J1319" s="1" cm="1">
        <f t="array" ref="J1319">SUMPRODUCT(("T_B_u-BEVELC-S2"=[1]OUT_TransportEnergyCons!$A$3:$A$1000)*1,("Var_Fin"=[1]OUT_TransportEnergyCons!$B$3:$B$1000)*1,ISNUMBER(SEARCH("ELC",[1]OUT_TransportEnergyCons!$C$3:$C$1000))*1,[1]OUT_TransportEnergyCons!H$3:H$1000)</f>
        <v>0.1223509508854604</v>
      </c>
      <c r="K1319" s="1" cm="1">
        <f t="array" ref="K1319">SUMPRODUCT(("T_B_u-BEVELC-S2"=[1]OUT_TransportEnergyCons!$A$3:$A$1000)*1,("Var_Fin"=[1]OUT_TransportEnergyCons!$B$3:$B$1000)*1,ISNUMBER(SEARCH("ELC",[1]OUT_TransportEnergyCons!$C$3:$C$1000))*1,[1]OUT_TransportEnergyCons!I$3:I$1000)</f>
        <v>0.12621962561884603</v>
      </c>
      <c r="L1319" s="1" cm="1">
        <f t="array" ref="L1319">SUMPRODUCT(("T_B_u-BEVELC-S2"=[1]OUT_TransportEnergyCons!$A$3:$A$1000)*1,("Var_Fin"=[1]OUT_TransportEnergyCons!$B$3:$B$1000)*1,ISNUMBER(SEARCH("ELC",[1]OUT_TransportEnergyCons!$C$3:$C$1000))*1,[1]OUT_TransportEnergyCons!J$3:J$1000)</f>
        <v>0.12537899311580283</v>
      </c>
      <c r="M1319" s="1" cm="1">
        <f t="array" ref="M1319">SUMPRODUCT(("T_B_u-BEVELC-S2"=[1]OUT_TransportEnergyCons!$A$3:$A$1000)*1,("Var_Fin"=[1]OUT_TransportEnergyCons!$B$3:$B$1000)*1,ISNUMBER(SEARCH("ELC",[1]OUT_TransportEnergyCons!$C$3:$C$1000))*1,[1]OUT_TransportEnergyCons!K$3:K$1000)</f>
        <v>0.12087504262793645</v>
      </c>
      <c r="N1319" s="1" cm="1">
        <f t="array" ref="N1319">SUMPRODUCT(("T_B_u-BEVELC-S2"=[1]OUT_TransportEnergyCons!$A$3:$A$1000)*1,("Var_Fin"=[1]OUT_TransportEnergyCons!$B$3:$B$1000)*1,ISNUMBER(SEARCH("ELC",[1]OUT_TransportEnergyCons!$C$3:$C$1000))*1,[1]OUT_TransportEnergyCons!L$3:L$1000)</f>
        <v>0.12249038819728258</v>
      </c>
      <c r="O1319" s="1" cm="1">
        <f t="array" ref="O1319">SUMPRODUCT(("T_B_u-BEVELC-S2"=[1]OUT_TransportEnergyCons!$A$3:$A$1000)*1,("Var_Fin"=[1]OUT_TransportEnergyCons!$B$3:$B$1000)*1,ISNUMBER(SEARCH("ELC",[1]OUT_TransportEnergyCons!$C$3:$C$1000))*1,[1]OUT_TransportEnergyCons!M$3:M$1000)</f>
        <v>0.1249192581873145</v>
      </c>
      <c r="P1319" s="1" cm="1">
        <f t="array" ref="P1319">SUMPRODUCT(("T_B_u-BEVELC-S2"=[1]OUT_TransportEnergyCons!$A$3:$A$1000)*1,("Var_Fin"=[1]OUT_TransportEnergyCons!$B$3:$B$1000)*1,ISNUMBER(SEARCH("ELC",[1]OUT_TransportEnergyCons!$C$3:$C$1000))*1,[1]OUT_TransportEnergyCons!N$3:N$1000)</f>
        <v>0.12873620934778826</v>
      </c>
      <c r="Q1319" s="1" cm="1">
        <f t="array" ref="Q1319">SUMPRODUCT(("T_B_u-BEVELC-S2"=[1]OUT_TransportEnergyCons!$A$3:$A$1000)*1,("Var_Fin"=[1]OUT_TransportEnergyCons!$B$3:$B$1000)*1,ISNUMBER(SEARCH("ELC",[1]OUT_TransportEnergyCons!$C$3:$C$1000))*1,[1]OUT_TransportEnergyCons!O$3:O$1000)</f>
        <v>0.13313299454416797</v>
      </c>
      <c r="S1319" s="3"/>
    </row>
    <row r="1320" spans="2:19" x14ac:dyDescent="0.5">
      <c r="B1320" s="5" t="str">
        <f t="shared" si="1478"/>
        <v>SPS1</v>
      </c>
      <c r="C1320" s="5" t="str">
        <f t="shared" si="1479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3.2635825271675658E-3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7.2571883405879375E-3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8.181098845230406E-3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0.80635257772356472</v>
      </c>
      <c r="J1320" s="1" cm="1">
        <f t="array" ref="J1320">SUMPRODUCT(("T_B_u-BEVELC-S3"=[1]OUT_TransportEnergyCons!$A$3:$A$1000)*1,("Var_Fin"=[1]OUT_TransportEnergyCons!$B$3:$B$1000)*1,ISNUMBER(SEARCH("ELC",[1]OUT_TransportEnergyCons!$C$3:$C$1000))*1,[1]OUT_TransportEnergyCons!H$3:H$1000)</f>
        <v>0.8283058912600052</v>
      </c>
      <c r="K1320" s="1" cm="1">
        <f t="array" ref="K1320">SUMPRODUCT(("T_B_u-BEVELC-S3"=[1]OUT_TransportEnergyCons!$A$3:$A$1000)*1,("Var_Fin"=[1]OUT_TransportEnergyCons!$B$3:$B$1000)*1,ISNUMBER(SEARCH("ELC",[1]OUT_TransportEnergyCons!$C$3:$C$1000))*1,[1]OUT_TransportEnergyCons!I$3:I$1000)</f>
        <v>0.80380450994409414</v>
      </c>
      <c r="L1320" s="1" cm="1">
        <f t="array" ref="L1320">SUMPRODUCT(("T_B_u-BEVELC-S3"=[1]OUT_TransportEnergyCons!$A$3:$A$1000)*1,("Var_Fin"=[1]OUT_TransportEnergyCons!$B$3:$B$1000)*1,ISNUMBER(SEARCH("ELC",[1]OUT_TransportEnergyCons!$C$3:$C$1000))*1,[1]OUT_TransportEnergyCons!J$3:J$1000)</f>
        <v>0.80794726099316649</v>
      </c>
      <c r="M1320" s="1" cm="1">
        <f t="array" ref="M1320">SUMPRODUCT(("T_B_u-BEVELC-S3"=[1]OUT_TransportEnergyCons!$A$3:$A$1000)*1,("Var_Fin"=[1]OUT_TransportEnergyCons!$B$3:$B$1000)*1,ISNUMBER(SEARCH("ELC",[1]OUT_TransportEnergyCons!$C$3:$C$1000))*1,[1]OUT_TransportEnergyCons!K$3:K$1000)</f>
        <v>0.78565343778272123</v>
      </c>
      <c r="N1320" s="1" cm="1">
        <f t="array" ref="N1320">SUMPRODUCT(("T_B_u-BEVELC-S3"=[1]OUT_TransportEnergyCons!$A$3:$A$1000)*1,("Var_Fin"=[1]OUT_TransportEnergyCons!$B$3:$B$1000)*1,ISNUMBER(SEARCH("ELC",[1]OUT_TransportEnergyCons!$C$3:$C$1000))*1,[1]OUT_TransportEnergyCons!L$3:L$1000)</f>
        <v>0.79656167737885886</v>
      </c>
      <c r="O1320" s="1" cm="1">
        <f t="array" ref="O1320">SUMPRODUCT(("T_B_u-BEVELC-S3"=[1]OUT_TransportEnergyCons!$A$3:$A$1000)*1,("Var_Fin"=[1]OUT_TransportEnergyCons!$B$3:$B$1000)*1,ISNUMBER(SEARCH("ELC",[1]OUT_TransportEnergyCons!$C$3:$C$1000))*1,[1]OUT_TransportEnergyCons!M$3:M$1000)</f>
        <v>0.81722267678681326</v>
      </c>
      <c r="P1320" s="1" cm="1">
        <f t="array" ref="P1320">SUMPRODUCT(("T_B_u-BEVELC-S3"=[1]OUT_TransportEnergyCons!$A$3:$A$1000)*1,("Var_Fin"=[1]OUT_TransportEnergyCons!$B$3:$B$1000)*1,ISNUMBER(SEARCH("ELC",[1]OUT_TransportEnergyCons!$C$3:$C$1000))*1,[1]OUT_TransportEnergyCons!N$3:N$1000)</f>
        <v>0.84219686205464184</v>
      </c>
      <c r="Q1320" s="1" cm="1">
        <f t="array" ref="Q1320">SUMPRODUCT(("T_B_u-BEVELC-S3"=[1]OUT_TransportEnergyCons!$A$3:$A$1000)*1,("Var_Fin"=[1]OUT_TransportEnergyCons!$B$3:$B$1000)*1,ISNUMBER(SEARCH("ELC",[1]OUT_TransportEnergyCons!$C$3:$C$1000))*1,[1]OUT_TransportEnergyCons!O$3:O$1000)</f>
        <v>0.87095961843559633</v>
      </c>
      <c r="S1320" s="3"/>
    </row>
    <row r="1321" spans="2:19" x14ac:dyDescent="0.5">
      <c r="B1321" s="5" t="str">
        <f t="shared" si="1478"/>
        <v>SPS1</v>
      </c>
      <c r="C1321" s="5" t="str">
        <f t="shared" si="1479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7.0677076676784037E-5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2.8754972899514592E-5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9.6985986805082127E-5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1.078021707423972E-2</v>
      </c>
      <c r="J1321" s="1" cm="1">
        <f t="array" ref="J1321">SUMPRODUCT(("T_B_u-BEVELC-S4"=[1]OUT_TransportEnergyCons!$A$3:$A$1000)*1,("Var_Fin"=[1]OUT_TransportEnergyCons!$B$3:$B$1000)*1,ISNUMBER(SEARCH("ELC",[1]OUT_TransportEnergyCons!$C$3:$C$1000))*1,[1]OUT_TransportEnergyCons!H$3:H$1000)</f>
        <v>9.7815108022243635E-4</v>
      </c>
      <c r="K1321" s="1" cm="1">
        <f t="array" ref="K1321">SUMPRODUCT(("T_B_u-BEVELC-S4"=[1]OUT_TransportEnergyCons!$A$3:$A$1000)*1,("Var_Fin"=[1]OUT_TransportEnergyCons!$B$3:$B$1000)*1,ISNUMBER(SEARCH("ELC",[1]OUT_TransportEnergyCons!$C$3:$C$1000))*1,[1]OUT_TransportEnergyCons!I$3:I$1000)</f>
        <v>3.1692746853104982E-5</v>
      </c>
      <c r="L1321" s="1" cm="1">
        <f t="array" ref="L1321">SUMPRODUCT(("T_B_u-BEVELC-S4"=[1]OUT_TransportEnergyCons!$A$3:$A$1000)*1,("Var_Fin"=[1]OUT_TransportEnergyCons!$B$3:$B$1000)*1,ISNUMBER(SEARCH("ELC",[1]OUT_TransportEnergyCons!$C$3:$C$1000))*1,[1]OUT_TransportEnergyCons!J$3:J$1000)</f>
        <v>2.9566930066339988E-5</v>
      </c>
      <c r="M1321" s="1" cm="1">
        <f t="array" ref="M1321">SUMPRODUCT(("T_B_u-BEVELC-S4"=[1]OUT_TransportEnergyCons!$A$3:$A$1000)*1,("Var_Fin"=[1]OUT_TransportEnergyCons!$B$3:$B$1000)*1,ISNUMBER(SEARCH("ELC",[1]OUT_TransportEnergyCons!$C$3:$C$1000))*1,[1]OUT_TransportEnergyCons!K$3:K$1000)</f>
        <v>6.9622867515589995E-5</v>
      </c>
      <c r="N1321" s="1" cm="1">
        <f t="array" ref="N1321">SUMPRODUCT(("T_B_u-BEVELC-S4"=[1]OUT_TransportEnergyCons!$A$3:$A$1000)*1,("Var_Fin"=[1]OUT_TransportEnergyCons!$B$3:$B$1000)*1,ISNUMBER(SEARCH("ELC",[1]OUT_TransportEnergyCons!$C$3:$C$1000))*1,[1]OUT_TransportEnergyCons!L$3:L$1000)</f>
        <v>4.1624182383854946E-5</v>
      </c>
      <c r="O1321" s="1" cm="1">
        <f t="array" ref="O1321">SUMPRODUCT(("T_B_u-BEVELC-S4"=[1]OUT_TransportEnergyCons!$A$3:$A$1000)*1,("Var_Fin"=[1]OUT_TransportEnergyCons!$B$3:$B$1000)*1,ISNUMBER(SEARCH("ELC",[1]OUT_TransportEnergyCons!$C$3:$C$1000))*1,[1]OUT_TransportEnergyCons!M$3:M$1000)</f>
        <v>5.926037140348781E-5</v>
      </c>
      <c r="P1321" s="1" cm="1">
        <f t="array" ref="P1321">SUMPRODUCT(("T_B_u-BEVELC-S4"=[1]OUT_TransportEnergyCons!$A$3:$A$1000)*1,("Var_Fin"=[1]OUT_TransportEnergyCons!$B$3:$B$1000)*1,ISNUMBER(SEARCH("ELC",[1]OUT_TransportEnergyCons!$C$3:$C$1000))*1,[1]OUT_TransportEnergyCons!N$3:N$1000)</f>
        <v>7.4798308256010626E-5</v>
      </c>
      <c r="Q1321" s="1" cm="1">
        <f t="array" ref="Q1321">SUMPRODUCT(("T_B_u-BEVELC-S4"=[1]OUT_TransportEnergyCons!$A$3:$A$1000)*1,("Var_Fin"=[1]OUT_TransportEnergyCons!$B$3:$B$1000)*1,ISNUMBER(SEARCH("ELC",[1]OUT_TransportEnergyCons!$C$3:$C$1000))*1,[1]OUT_TransportEnergyCons!O$3:O$1000)</f>
        <v>1.338790128141604E-4</v>
      </c>
      <c r="S1321" s="3"/>
    </row>
    <row r="1322" spans="2:19" x14ac:dyDescent="0.5">
      <c r="B1322" s="5" t="str">
        <f t="shared" si="1478"/>
        <v>SPS1</v>
      </c>
      <c r="C1322" s="5" t="str">
        <f t="shared" si="1479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480">SUM(G1323:G1326)</f>
        <v>0</v>
      </c>
      <c r="H1322" s="1">
        <f t="shared" si="1480"/>
        <v>0</v>
      </c>
      <c r="I1322" s="1">
        <f t="shared" si="1480"/>
        <v>0</v>
      </c>
      <c r="J1322" s="1">
        <f t="shared" si="1480"/>
        <v>0</v>
      </c>
      <c r="K1322" s="1">
        <f t="shared" si="1480"/>
        <v>0</v>
      </c>
      <c r="L1322" s="1">
        <f t="shared" ref="L1322:O1322" si="1481">SUM(L1323:L1326)</f>
        <v>0</v>
      </c>
      <c r="M1322" s="1">
        <f t="shared" si="1481"/>
        <v>0</v>
      </c>
      <c r="N1322" s="1">
        <f t="shared" si="1481"/>
        <v>0</v>
      </c>
      <c r="O1322" s="1">
        <f t="shared" si="1481"/>
        <v>0</v>
      </c>
      <c r="P1322" s="1">
        <f>SUM(P1323:P1326)</f>
        <v>0</v>
      </c>
      <c r="Q1322" s="1">
        <f>SUM(Q1323:Q1326)</f>
        <v>0</v>
      </c>
      <c r="S1322" s="3"/>
    </row>
    <row r="1323" spans="2:19" x14ac:dyDescent="0.5">
      <c r="B1323" s="5" t="str">
        <f t="shared" si="1478"/>
        <v>SPS1</v>
      </c>
      <c r="C1323" s="5" t="str">
        <f t="shared" si="1479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0</v>
      </c>
      <c r="J1323" s="1" cm="1">
        <f t="array" ref="J1323">SUMPRODUCT(("T_B_u-FCLH2O-S1"=[1]OUT_TransportEnergyCons!$A$3:$A$1000)*1,("Var_Fin"=[1]OUT_TransportEnergyCons!$B$3:$B$1000)*1,ISNUMBER(SEARCH("H2",[1]OUT_TransportEnergyCons!$C$3:$C$1000))*1,[1]OUT_TransportEnergyCons!H$3:H$1000)</f>
        <v>0</v>
      </c>
      <c r="K1323" s="1" cm="1">
        <f t="array" ref="K1323">SUMPRODUCT(("T_B_u-FCLH2O-S1"=[1]OUT_TransportEnergyCons!$A$3:$A$1000)*1,("Var_Fin"=[1]OUT_TransportEnergyCons!$B$3:$B$1000)*1,ISNUMBER(SEARCH("H2",[1]OUT_TransportEnergyCons!$C$3:$C$1000))*1,[1]OUT_TransportEnergyCons!I$3:I$1000)</f>
        <v>0</v>
      </c>
      <c r="L1323" s="1" cm="1">
        <f t="array" ref="L1323">SUMPRODUCT(("T_B_u-FCLH2O-S1"=[1]OUT_TransportEnergyCons!$A$3:$A$1000)*1,("Var_Fin"=[1]OUT_TransportEnergyCons!$B$3:$B$1000)*1,ISNUMBER(SEARCH("H2",[1]OUT_TransportEnergyCons!$C$3:$C$1000))*1,[1]OUT_TransportEnergyCons!J$3:J$1000)</f>
        <v>0</v>
      </c>
      <c r="M1323" s="1" cm="1">
        <f t="array" ref="M1323">SUMPRODUCT(("T_B_u-FCLH2O-S1"=[1]OUT_TransportEnergyCons!$A$3:$A$1000)*1,("Var_Fin"=[1]OUT_TransportEnergyCons!$B$3:$B$1000)*1,ISNUMBER(SEARCH("H2",[1]OUT_TransportEnergyCons!$C$3:$C$1000))*1,[1]OUT_TransportEnergyCons!K$3:K$1000)</f>
        <v>0</v>
      </c>
      <c r="N1323" s="1" cm="1">
        <f t="array" ref="N1323">SUMPRODUCT(("T_B_u-FCLH2O-S1"=[1]OUT_TransportEnergyCons!$A$3:$A$1000)*1,("Var_Fin"=[1]OUT_TransportEnergyCons!$B$3:$B$1000)*1,ISNUMBER(SEARCH("H2",[1]OUT_TransportEnergyCons!$C$3:$C$1000))*1,[1]OUT_TransportEnergyCons!L$3:L$1000)</f>
        <v>0</v>
      </c>
      <c r="O1323" s="1" cm="1">
        <f t="array" ref="O1323">SUMPRODUCT(("T_B_u-FCLH2O-S1"=[1]OUT_TransportEnergyCons!$A$3:$A$1000)*1,("Var_Fin"=[1]OUT_TransportEnergyCons!$B$3:$B$1000)*1,ISNUMBER(SEARCH("H2",[1]OUT_TransportEnergyCons!$C$3:$C$1000))*1,[1]OUT_TransportEnergyCons!M$3:M$1000)</f>
        <v>0</v>
      </c>
      <c r="P1323" s="1" cm="1">
        <f t="array" ref="P1323">SUMPRODUCT(("T_B_u-FCLH2O-S1"=[1]OUT_TransportEnergyCons!$A$3:$A$1000)*1,("Var_Fin"=[1]OUT_TransportEnergyCons!$B$3:$B$1000)*1,ISNUMBER(SEARCH("H2",[1]OUT_TransportEnergyCons!$C$3:$C$1000))*1,[1]OUT_TransportEnergyCons!N$3:N$1000)</f>
        <v>0</v>
      </c>
      <c r="Q1323" s="1" cm="1">
        <f t="array" ref="Q1323">SUMPRODUCT(("T_B_u-FCLH2O-S1"=[1]OUT_TransportEnergyCons!$A$3:$A$1000)*1,("Var_Fin"=[1]OUT_TransportEnergyCons!$B$3:$B$1000)*1,ISNUMBER(SEARCH("H2",[1]OUT_TransportEnergyCons!$C$3:$C$1000))*1,[1]OUT_TransportEnergyCons!O$3:O$1000)</f>
        <v>0</v>
      </c>
      <c r="S1323" s="3"/>
    </row>
    <row r="1324" spans="2:19" x14ac:dyDescent="0.5">
      <c r="B1324" s="5" t="str">
        <f t="shared" si="1478"/>
        <v>SPS1</v>
      </c>
      <c r="C1324" s="5" t="str">
        <f t="shared" si="1479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SUMPRODUCT(("T_B_u-FCLH2O-S2"=[1]OUT_TransportEnergyCons!$A$3:$A$1000)*1,("Var_Fin"=[1]OUT_TransportEnergyCons!$B$3:$B$1000)*1,ISNUMBER(SEARCH("H2",[1]OUT_TransportEnergyCons!$C$3:$C$1000))*1,[1]OUT_TransportEnergyCons!H$3:H$1000)</f>
        <v>0</v>
      </c>
      <c r="K1324" s="1" cm="1">
        <f t="array" ref="K1324">SUMPRODUCT(("T_B_u-FCLH2O-S2"=[1]OUT_TransportEnergyCons!$A$3:$A$1000)*1,("Var_Fin"=[1]OUT_TransportEnergyCons!$B$3:$B$1000)*1,ISNUMBER(SEARCH("H2",[1]OUT_TransportEnergyCons!$C$3:$C$1000))*1,[1]OUT_TransportEnergyCons!I$3:I$1000)</f>
        <v>0</v>
      </c>
      <c r="L1324" s="1" cm="1">
        <f t="array" ref="L1324">SUMPRODUCT(("T_B_u-FCLH2O-S2"=[1]OUT_TransportEnergyCons!$A$3:$A$1000)*1,("Var_Fin"=[1]OUT_TransportEnergyCons!$B$3:$B$1000)*1,ISNUMBER(SEARCH("H2",[1]OUT_TransportEnergyCons!$C$3:$C$1000))*1,[1]OUT_TransportEnergyCons!J$3:J$1000)</f>
        <v>0</v>
      </c>
      <c r="M1324" s="1" cm="1">
        <f t="array" ref="M1324">SUMPRODUCT(("T_B_u-FCLH2O-S2"=[1]OUT_TransportEnergyCons!$A$3:$A$1000)*1,("Var_Fin"=[1]OUT_TransportEnergyCons!$B$3:$B$1000)*1,ISNUMBER(SEARCH("H2",[1]OUT_TransportEnergyCons!$C$3:$C$1000))*1,[1]OUT_TransportEnergyCons!K$3:K$1000)</f>
        <v>0</v>
      </c>
      <c r="N1324" s="1" cm="1">
        <f t="array" ref="N1324">SUMPRODUCT(("T_B_u-FCLH2O-S2"=[1]OUT_TransportEnergyCons!$A$3:$A$1000)*1,("Var_Fin"=[1]OUT_TransportEnergyCons!$B$3:$B$1000)*1,ISNUMBER(SEARCH("H2",[1]OUT_TransportEnergyCons!$C$3:$C$1000))*1,[1]OUT_TransportEnergyCons!L$3:L$1000)</f>
        <v>0</v>
      </c>
      <c r="O1324" s="1" cm="1">
        <f t="array" ref="O1324">SUMPRODUCT(("T_B_u-FCLH2O-S2"=[1]OUT_TransportEnergyCons!$A$3:$A$1000)*1,("Var_Fin"=[1]OUT_TransportEnergyCons!$B$3:$B$1000)*1,ISNUMBER(SEARCH("H2",[1]OUT_TransportEnergyCons!$C$3:$C$1000))*1,[1]OUT_TransportEnergyCons!M$3:M$1000)</f>
        <v>0</v>
      </c>
      <c r="P1324" s="1" cm="1">
        <f t="array" ref="P1324">SUMPRODUCT(("T_B_u-FCLH2O-S2"=[1]OUT_TransportEnergyCons!$A$3:$A$1000)*1,("Var_Fin"=[1]OUT_TransportEnergyCons!$B$3:$B$1000)*1,ISNUMBER(SEARCH("H2",[1]OUT_TransportEnergyCons!$C$3:$C$1000))*1,[1]OUT_TransportEnergyCons!N$3:N$1000)</f>
        <v>0</v>
      </c>
      <c r="Q1324" s="1" cm="1">
        <f t="array" ref="Q1324">SUMPRODUCT(("T_B_u-FCLH2O-S2"=[1]OUT_TransportEnergyCons!$A$3:$A$1000)*1,("Var_Fin"=[1]OUT_TransportEnergyCons!$B$3:$B$1000)*1,ISNUMBER(SEARCH("H2",[1]OUT_TransportEnergyCons!$C$3:$C$1000))*1,[1]OUT_TransportEnergyCons!O$3:O$1000)</f>
        <v>0</v>
      </c>
      <c r="S1324" s="3"/>
    </row>
    <row r="1325" spans="2:19" x14ac:dyDescent="0.5">
      <c r="B1325" s="5" t="str">
        <f t="shared" si="1478"/>
        <v>SPS1</v>
      </c>
      <c r="C1325" s="5" t="str">
        <f t="shared" si="1479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0</v>
      </c>
      <c r="J1325" s="1" cm="1">
        <f t="array" ref="J1325">SUMPRODUCT(("T_B_u-FCLH2O-S3"=[1]OUT_TransportEnergyCons!$A$3:$A$1000)*1,("Var_Fin"=[1]OUT_TransportEnergyCons!$B$3:$B$1000)*1,ISNUMBER(SEARCH("H2",[1]OUT_TransportEnergyCons!$C$3:$C$1000))*1,[1]OUT_TransportEnergyCons!H$3:H$1000)</f>
        <v>0</v>
      </c>
      <c r="K1325" s="1" cm="1">
        <f t="array" ref="K1325">SUMPRODUCT(("T_B_u-FCLH2O-S3"=[1]OUT_TransportEnergyCons!$A$3:$A$1000)*1,("Var_Fin"=[1]OUT_TransportEnergyCons!$B$3:$B$1000)*1,ISNUMBER(SEARCH("H2",[1]OUT_TransportEnergyCons!$C$3:$C$1000))*1,[1]OUT_TransportEnergyCons!I$3:I$1000)</f>
        <v>0</v>
      </c>
      <c r="L1325" s="1" cm="1">
        <f t="array" ref="L1325">SUMPRODUCT(("T_B_u-FCLH2O-S3"=[1]OUT_TransportEnergyCons!$A$3:$A$1000)*1,("Var_Fin"=[1]OUT_TransportEnergyCons!$B$3:$B$1000)*1,ISNUMBER(SEARCH("H2",[1]OUT_TransportEnergyCons!$C$3:$C$1000))*1,[1]OUT_TransportEnergyCons!J$3:J$1000)</f>
        <v>0</v>
      </c>
      <c r="M1325" s="1" cm="1">
        <f t="array" ref="M1325">SUMPRODUCT(("T_B_u-FCLH2O-S3"=[1]OUT_TransportEnergyCons!$A$3:$A$1000)*1,("Var_Fin"=[1]OUT_TransportEnergyCons!$B$3:$B$1000)*1,ISNUMBER(SEARCH("H2",[1]OUT_TransportEnergyCons!$C$3:$C$1000))*1,[1]OUT_TransportEnergyCons!K$3:K$1000)</f>
        <v>0</v>
      </c>
      <c r="N1325" s="1" cm="1">
        <f t="array" ref="N1325">SUMPRODUCT(("T_B_u-FCLH2O-S3"=[1]OUT_TransportEnergyCons!$A$3:$A$1000)*1,("Var_Fin"=[1]OUT_TransportEnergyCons!$B$3:$B$1000)*1,ISNUMBER(SEARCH("H2",[1]OUT_TransportEnergyCons!$C$3:$C$1000))*1,[1]OUT_TransportEnergyCons!L$3:L$1000)</f>
        <v>0</v>
      </c>
      <c r="O1325" s="1" cm="1">
        <f t="array" ref="O1325">SUMPRODUCT(("T_B_u-FCLH2O-S3"=[1]OUT_TransportEnergyCons!$A$3:$A$1000)*1,("Var_Fin"=[1]OUT_TransportEnergyCons!$B$3:$B$1000)*1,ISNUMBER(SEARCH("H2",[1]OUT_TransportEnergyCons!$C$3:$C$1000))*1,[1]OUT_TransportEnergyCons!M$3:M$1000)</f>
        <v>0</v>
      </c>
      <c r="P1325" s="1" cm="1">
        <f t="array" ref="P1325">SUMPRODUCT(("T_B_u-FCLH2O-S3"=[1]OUT_TransportEnergyCons!$A$3:$A$1000)*1,("Var_Fin"=[1]OUT_TransportEnergyCons!$B$3:$B$1000)*1,ISNUMBER(SEARCH("H2",[1]OUT_TransportEnergyCons!$C$3:$C$1000))*1,[1]OUT_TransportEnergyCons!N$3:N$1000)</f>
        <v>0</v>
      </c>
      <c r="Q1325" s="1" cm="1">
        <f t="array" ref="Q1325">SUMPRODUCT(("T_B_u-FCLH2O-S3"=[1]OUT_TransportEnergyCons!$A$3:$A$1000)*1,("Var_Fin"=[1]OUT_TransportEnergyCons!$B$3:$B$1000)*1,ISNUMBER(SEARCH("H2",[1]OUT_TransportEnergyCons!$C$3:$C$1000))*1,[1]OUT_TransportEnergyCons!O$3:O$1000)</f>
        <v>0</v>
      </c>
      <c r="S1325" s="3"/>
    </row>
    <row r="1326" spans="2:19" x14ac:dyDescent="0.5">
      <c r="B1326" s="5" t="str">
        <f t="shared" si="1478"/>
        <v>SPS1</v>
      </c>
      <c r="C1326" s="5" t="str">
        <f t="shared" si="1479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SUMPRODUCT(("T_B_u-FCLH2O-S4"=[1]OUT_TransportEnergyCons!$A$3:$A$1000)*1,("Var_Fin"=[1]OUT_TransportEnergyCons!$B$3:$B$1000)*1,ISNUMBER(SEARCH("H2",[1]OUT_TransportEnergyCons!$C$3:$C$1000))*1,[1]OUT_TransportEnergyCons!H$3:H$1000)</f>
        <v>0</v>
      </c>
      <c r="K1326" s="1" cm="1">
        <f t="array" ref="K1326">SUMPRODUCT(("T_B_u-FCLH2O-S4"=[1]OUT_TransportEnergyCons!$A$3:$A$1000)*1,("Var_Fin"=[1]OUT_TransportEnergyCons!$B$3:$B$1000)*1,ISNUMBER(SEARCH("H2",[1]OUT_TransportEnergyCons!$C$3:$C$1000))*1,[1]OUT_TransportEnergyCons!I$3:I$1000)</f>
        <v>0</v>
      </c>
      <c r="L1326" s="1" cm="1">
        <f t="array" ref="L1326">SUMPRODUCT(("T_B_u-FCLH2O-S4"=[1]OUT_TransportEnergyCons!$A$3:$A$1000)*1,("Var_Fin"=[1]OUT_TransportEnergyCons!$B$3:$B$1000)*1,ISNUMBER(SEARCH("H2",[1]OUT_TransportEnergyCons!$C$3:$C$1000))*1,[1]OUT_TransportEnergyCons!J$3:J$1000)</f>
        <v>0</v>
      </c>
      <c r="M1326" s="1" cm="1">
        <f t="array" ref="M1326">SUMPRODUCT(("T_B_u-FCLH2O-S4"=[1]OUT_TransportEnergyCons!$A$3:$A$1000)*1,("Var_Fin"=[1]OUT_TransportEnergyCons!$B$3:$B$1000)*1,ISNUMBER(SEARCH("H2",[1]OUT_TransportEnergyCons!$C$3:$C$1000))*1,[1]OUT_TransportEnergyCons!K$3:K$1000)</f>
        <v>0</v>
      </c>
      <c r="N1326" s="1" cm="1">
        <f t="array" ref="N1326">SUMPRODUCT(("T_B_u-FCLH2O-S4"=[1]OUT_TransportEnergyCons!$A$3:$A$1000)*1,("Var_Fin"=[1]OUT_TransportEnergyCons!$B$3:$B$1000)*1,ISNUMBER(SEARCH("H2",[1]OUT_TransportEnergyCons!$C$3:$C$1000))*1,[1]OUT_TransportEnergyCons!L$3:L$1000)</f>
        <v>0</v>
      </c>
      <c r="O1326" s="1" cm="1">
        <f t="array" ref="O1326">SUMPRODUCT(("T_B_u-FCLH2O-S4"=[1]OUT_TransportEnergyCons!$A$3:$A$1000)*1,("Var_Fin"=[1]OUT_TransportEnergyCons!$B$3:$B$1000)*1,ISNUMBER(SEARCH("H2",[1]OUT_TransportEnergyCons!$C$3:$C$1000))*1,[1]OUT_TransportEnergyCons!M$3:M$1000)</f>
        <v>0</v>
      </c>
      <c r="P1326" s="1" cm="1">
        <f t="array" ref="P1326">SUMPRODUCT(("T_B_u-FCLH2O-S4"=[1]OUT_TransportEnergyCons!$A$3:$A$1000)*1,("Var_Fin"=[1]OUT_TransportEnergyCons!$B$3:$B$1000)*1,ISNUMBER(SEARCH("H2",[1]OUT_TransportEnergyCons!$C$3:$C$1000))*1,[1]OUT_TransportEnergyCons!N$3:N$1000)</f>
        <v>0</v>
      </c>
      <c r="Q1326" s="1" cm="1">
        <f t="array" ref="Q1326">SUMPRODUCT(("T_B_u-FCLH2O-S4"=[1]OUT_TransportEnergyCons!$A$3:$A$1000)*1,("Var_Fin"=[1]OUT_TransportEnergyCons!$B$3:$B$1000)*1,ISNUMBER(SEARCH("H2",[1]OUT_TransportEnergyCons!$C$3:$C$1000))*1,[1]OUT_TransportEnergyCons!O$3:O$1000)</f>
        <v>0</v>
      </c>
      <c r="S1326" s="3"/>
    </row>
    <row r="1327" spans="2:19" x14ac:dyDescent="0.5">
      <c r="B1327" s="5" t="str">
        <f t="shared" si="1478"/>
        <v>SPS1</v>
      </c>
      <c r="C1327" s="5" t="str">
        <f t="shared" si="1479"/>
        <v>CH</v>
      </c>
      <c r="D1327" t="s">
        <v>1317</v>
      </c>
      <c r="E1327" t="s">
        <v>8</v>
      </c>
      <c r="F1327" s="1">
        <f>SUM(F1332:F1340)</f>
        <v>0.75314637047770749</v>
      </c>
      <c r="G1327" s="1">
        <f t="shared" ref="G1327:K1327" si="1482">SUM(G1332:G1340)</f>
        <v>1.3278928021230247</v>
      </c>
      <c r="H1327" s="1">
        <f t="shared" si="1482"/>
        <v>2.3396179603384728</v>
      </c>
      <c r="I1327" s="1">
        <f t="shared" si="1482"/>
        <v>4.5384249318141495E-5</v>
      </c>
      <c r="J1327" s="1">
        <f t="shared" si="1482"/>
        <v>0</v>
      </c>
      <c r="K1327" s="1">
        <f t="shared" si="1482"/>
        <v>0</v>
      </c>
      <c r="L1327" s="1">
        <f t="shared" ref="L1327:O1327" si="1483">SUM(L1332:L1340)</f>
        <v>0</v>
      </c>
      <c r="M1327" s="1">
        <f t="shared" si="1483"/>
        <v>0</v>
      </c>
      <c r="N1327" s="1">
        <f t="shared" si="1483"/>
        <v>0</v>
      </c>
      <c r="O1327" s="1">
        <f t="shared" si="1483"/>
        <v>0</v>
      </c>
      <c r="P1327" s="1">
        <f>SUM(P1332:P1340)</f>
        <v>0</v>
      </c>
      <c r="Q1327" s="1">
        <f>SUM(Q1332:Q1340)</f>
        <v>0</v>
      </c>
      <c r="S1327" s="3"/>
    </row>
    <row r="1328" spans="2:19" x14ac:dyDescent="0.5">
      <c r="B1328" s="5" t="str">
        <f t="shared" si="1478"/>
        <v>SPS1</v>
      </c>
      <c r="C1328" s="5" t="str">
        <f t="shared" si="1479"/>
        <v>CH</v>
      </c>
      <c r="D1328" t="s">
        <v>1318</v>
      </c>
      <c r="E1328" t="s">
        <v>8</v>
      </c>
      <c r="F1328" s="1">
        <f>IF(F1327-F1329&lt;0,0,F1327-F1329)</f>
        <v>0.73446462282977254</v>
      </c>
      <c r="G1328" s="1">
        <f t="shared" ref="G1328:K1328" si="1484">IF(G1327-G1329&lt;0,0,G1327-G1329)</f>
        <v>1.2930332426182123</v>
      </c>
      <c r="H1328" s="1">
        <f t="shared" si="1484"/>
        <v>2.2346184634007984</v>
      </c>
      <c r="I1328" s="1">
        <f t="shared" si="1484"/>
        <v>4.3267788112772327E-5</v>
      </c>
      <c r="J1328" s="1">
        <f t="shared" si="1484"/>
        <v>0</v>
      </c>
      <c r="K1328" s="1">
        <f t="shared" si="1484"/>
        <v>0</v>
      </c>
      <c r="L1328" s="1">
        <f t="shared" ref="L1328:O1328" si="1485">IF(L1327-L1329&lt;0,0,L1327-L1329)</f>
        <v>0</v>
      </c>
      <c r="M1328" s="1">
        <f t="shared" si="1485"/>
        <v>0</v>
      </c>
      <c r="N1328" s="1">
        <f t="shared" si="1485"/>
        <v>0</v>
      </c>
      <c r="O1328" s="1">
        <f t="shared" si="1485"/>
        <v>0</v>
      </c>
      <c r="P1328" s="1">
        <f>IF(P1327-P1329&lt;0,0,P1327-P1329)</f>
        <v>0</v>
      </c>
      <c r="Q1328" s="1">
        <f>IF(Q1327-Q1329&lt;0,0,Q1327-Q1329)</f>
        <v>0</v>
      </c>
      <c r="S1328" s="3"/>
    </row>
    <row r="1329" spans="2:19" x14ac:dyDescent="0.5">
      <c r="B1329" s="5" t="str">
        <f t="shared" si="1478"/>
        <v>SPS1</v>
      </c>
      <c r="C1329" s="5" t="str">
        <f t="shared" si="1479"/>
        <v>CH</v>
      </c>
      <c r="D1329" t="s">
        <v>1319</v>
      </c>
      <c r="E1329" t="s">
        <v>8</v>
      </c>
      <c r="F1329" s="1">
        <f>SUM(F1330:F1331)</f>
        <v>1.8681747647934992E-2</v>
      </c>
      <c r="G1329" s="1">
        <f t="shared" ref="G1329" si="1486">SUM(G1330:G1331)</f>
        <v>3.4859559504812461E-2</v>
      </c>
      <c r="H1329" s="1">
        <f t="shared" ref="H1329" si="1487">SUM(H1330:H1331)</f>
        <v>0.10499949693767456</v>
      </c>
      <c r="I1329" s="1">
        <f t="shared" ref="I1329" si="1488">SUM(I1330:I1331)</f>
        <v>2.1164612053691647E-6</v>
      </c>
      <c r="J1329" s="1">
        <f t="shared" ref="J1329" si="1489">SUM(J1330:J1331)</f>
        <v>0</v>
      </c>
      <c r="K1329" s="1">
        <f t="shared" ref="K1329" si="1490">SUM(K1330:K1331)</f>
        <v>0</v>
      </c>
      <c r="L1329" s="1">
        <f t="shared" ref="L1329:O1329" si="1491">SUM(L1330:L1331)</f>
        <v>0</v>
      </c>
      <c r="M1329" s="1">
        <f t="shared" si="1491"/>
        <v>0</v>
      </c>
      <c r="N1329" s="1">
        <f t="shared" si="1491"/>
        <v>0</v>
      </c>
      <c r="O1329" s="1">
        <f t="shared" si="1491"/>
        <v>0</v>
      </c>
      <c r="P1329" s="1">
        <f>SUM(P1330:P1331)</f>
        <v>0</v>
      </c>
      <c r="Q1329" s="1">
        <f>SUM(Q1330:Q1331)</f>
        <v>0</v>
      </c>
      <c r="S1329" s="3"/>
    </row>
    <row r="1330" spans="2:19" x14ac:dyDescent="0.5">
      <c r="B1330" s="5" t="str">
        <f t="shared" si="1478"/>
        <v>SPS1</v>
      </c>
      <c r="C1330" s="5" t="str">
        <f t="shared" si="1479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1.8681747647934992E-2</v>
      </c>
      <c r="G1330" s="1">
        <f>[1]Transport!C$26/SUM([1]Transport!C$22,[1]Transport!C$26)*G1327*(G$34+G$582)/(G$34+G$582+G$38)</f>
        <v>3.4859559504812461E-2</v>
      </c>
      <c r="H1330" s="1">
        <f>[1]Transport!D$26/SUM([1]Transport!D$22,[1]Transport!D$26)*H1327*(H$34+H$582)/(H$34+H$582+H$38)</f>
        <v>0.10499949693767456</v>
      </c>
      <c r="I1330" s="1">
        <f>[1]Transport!E$26/SUM([1]Transport!E$22,[1]Transport!E$26)*I1327*(I$34+I$582)/(I$34+I$582+I$38)</f>
        <v>2.1164612053691647E-6</v>
      </c>
      <c r="J1330" s="1">
        <f>[1]Transport!F$26/SUM([1]Transport!F$22,[1]Transport!F$26)*J1327*(J$34+J$582)/(J$34+J$582+J$38)</f>
        <v>0</v>
      </c>
      <c r="K1330" s="1">
        <f>[1]Transport!G$26/SUM([1]Transport!G$22,[1]Transport!G$26)*K1327*(K$34+K$582)/(K$34+K$582+K$38)</f>
        <v>0</v>
      </c>
      <c r="L1330" s="1">
        <f>[1]Transport!H$26/SUM([1]Transport!H$22,[1]Transport!H$26)*L1327*(L$34+L$582)/(L$34+L$582+L$38)</f>
        <v>0</v>
      </c>
      <c r="M1330" s="1">
        <f>[1]Transport!I$26/SUM([1]Transport!I$22,[1]Transport!I$26)*M1327*(M$34+M$582)/(M$34+M$582+M$38)</f>
        <v>0</v>
      </c>
      <c r="N1330" s="1">
        <f>[1]Transport!J$26/SUM([1]Transport!J$22,[1]Transport!J$26)*N1327*(N$34+N$582)/(N$34+N$582+N$38)</f>
        <v>0</v>
      </c>
      <c r="O1330" s="1">
        <f>[1]Transport!K$26/SUM([1]Transport!K$22,[1]Transport!K$26)*O1327*(O$34+O$582)/(O$34+O$582+O$38)</f>
        <v>0</v>
      </c>
      <c r="P1330" s="1">
        <f>[1]Transport!L$26/SUM([1]Transport!L$22,[1]Transport!L$26)*P1327*(P$34+P$582)/(P$34+P$582+P$38)</f>
        <v>0</v>
      </c>
      <c r="Q1330" s="1">
        <f>[1]Transport!M$26/SUM([1]Transport!M$22,[1]Transport!M$26)*Q1327*(Q$34+Q$582)/(Q$34+Q$582+Q$38)</f>
        <v>0</v>
      </c>
      <c r="S1330" s="3"/>
    </row>
    <row r="1331" spans="2:19" x14ac:dyDescent="0.5">
      <c r="B1331" s="5" t="str">
        <f t="shared" si="1478"/>
        <v>SPS1</v>
      </c>
      <c r="C1331" s="5" t="str">
        <f t="shared" si="1479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(J$38+J$718)/([1]Transport!F$22+[1]Transport!F$26)*J1327</f>
        <v>0</v>
      </c>
      <c r="K1331" s="1">
        <f>(K$38+K$718)/([1]Transport!G$22+[1]Transport!G$26)*K1327</f>
        <v>0</v>
      </c>
      <c r="L1331" s="1">
        <f>(L$38+L$718)/([1]Transport!H$22+[1]Transport!H$26)*L1327</f>
        <v>0</v>
      </c>
      <c r="M1331" s="1">
        <f>(M$38+M$718)/([1]Transport!I$22+[1]Transport!I$26)*M1327</f>
        <v>0</v>
      </c>
      <c r="N1331" s="1">
        <f>(N$38+N$718)/([1]Transport!J$22+[1]Transport!J$26)*N1327</f>
        <v>0</v>
      </c>
      <c r="O1331" s="1">
        <f>(O$38+O$718)/([1]Transport!K$22+[1]Transport!K$26)*O1327</f>
        <v>0</v>
      </c>
      <c r="P1331" s="1">
        <f>(P$38+P$718)/([1]Transport!L$22+[1]Transport!L$26)*P1327</f>
        <v>0</v>
      </c>
      <c r="Q1331" s="1">
        <f>(Q$38+Q$718)/([1]Transport!M$22+[1]Transport!M$26)*Q1327</f>
        <v>0</v>
      </c>
      <c r="S1331" s="3"/>
    </row>
    <row r="1332" spans="2:19" x14ac:dyDescent="0.5">
      <c r="B1332" s="5" t="str">
        <f t="shared" si="1478"/>
        <v>SPS1</v>
      </c>
      <c r="C1332" s="5" t="str">
        <f t="shared" si="1479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6.1991755684901034E-2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6.2129112364445772E-2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0</v>
      </c>
      <c r="J1332" s="1" cm="1">
        <f t="array" ref="J1332">SUMPRODUCT(("T_B_u-HYBDSL-S1"=[1]OUT_TransportEnergyCons!$A$3:$A$1000)*1,("Var_Fin"=[1]OUT_TransportEnergyCons!$B$3:$B$1000)*1,ISNUMBER(SEARCH("DSL",[1]OUT_TransportEnergyCons!$C$3:$C$1000))*1,[1]OUT_TransportEnergyCons!H$3:H$1000)</f>
        <v>0</v>
      </c>
      <c r="K1332" s="1" cm="1">
        <f t="array" ref="K1332">SUMPRODUCT(("T_B_u-HYBDSL-S1"=[1]OUT_TransportEnergyCons!$A$3:$A$1000)*1,("Var_Fin"=[1]OUT_TransportEnergyCons!$B$3:$B$1000)*1,ISNUMBER(SEARCH("DSL",[1]OUT_TransportEnergyCons!$C$3:$C$1000))*1,[1]OUT_TransportEnergyCons!I$3:I$1000)</f>
        <v>0</v>
      </c>
      <c r="L1332" s="1" cm="1">
        <f t="array" ref="L1332">SUMPRODUCT(("T_B_u-HYBDSL-S1"=[1]OUT_TransportEnergyCons!$A$3:$A$1000)*1,("Var_Fin"=[1]OUT_TransportEnergyCons!$B$3:$B$1000)*1,ISNUMBER(SEARCH("DSL",[1]OUT_TransportEnergyCons!$C$3:$C$1000))*1,[1]OUT_TransportEnergyCons!J$3:J$1000)</f>
        <v>0</v>
      </c>
      <c r="M1332" s="1" cm="1">
        <f t="array" ref="M1332">SUMPRODUCT(("T_B_u-HYBDSL-S1"=[1]OUT_TransportEnergyCons!$A$3:$A$1000)*1,("Var_Fin"=[1]OUT_TransportEnergyCons!$B$3:$B$1000)*1,ISNUMBER(SEARCH("DSL",[1]OUT_TransportEnergyCons!$C$3:$C$1000))*1,[1]OUT_TransportEnergyCons!K$3:K$1000)</f>
        <v>0</v>
      </c>
      <c r="N1332" s="1" cm="1">
        <f t="array" ref="N1332">SUMPRODUCT(("T_B_u-HYBDSL-S1"=[1]OUT_TransportEnergyCons!$A$3:$A$1000)*1,("Var_Fin"=[1]OUT_TransportEnergyCons!$B$3:$B$1000)*1,ISNUMBER(SEARCH("DSL",[1]OUT_TransportEnergyCons!$C$3:$C$1000))*1,[1]OUT_TransportEnergyCons!L$3:L$1000)</f>
        <v>0</v>
      </c>
      <c r="O1332" s="1" cm="1">
        <f t="array" ref="O1332">SUMPRODUCT(("T_B_u-HYBDSL-S1"=[1]OUT_TransportEnergyCons!$A$3:$A$1000)*1,("Var_Fin"=[1]OUT_TransportEnergyCons!$B$3:$B$1000)*1,ISNUMBER(SEARCH("DSL",[1]OUT_TransportEnergyCons!$C$3:$C$1000))*1,[1]OUT_TransportEnergyCons!M$3:M$1000)</f>
        <v>0</v>
      </c>
      <c r="P1332" s="1" cm="1">
        <f t="array" ref="P1332">SUMPRODUCT(("T_B_u-HYBDSL-S1"=[1]OUT_TransportEnergyCons!$A$3:$A$1000)*1,("Var_Fin"=[1]OUT_TransportEnergyCons!$B$3:$B$1000)*1,ISNUMBER(SEARCH("DSL",[1]OUT_TransportEnergyCons!$C$3:$C$1000))*1,[1]OUT_TransportEnergyCons!N$3:N$1000)</f>
        <v>0</v>
      </c>
      <c r="Q1332" s="1" cm="1">
        <f t="array" ref="Q1332">SUMPRODUCT(("T_B_u-HYBDSL-S1"=[1]OUT_TransportEnergyCons!$A$3:$A$1000)*1,("Var_Fin"=[1]OUT_TransportEnergyCons!$B$3:$B$1000)*1,ISNUMBER(SEARCH("DSL",[1]OUT_TransportEnergyCons!$C$3:$C$1000))*1,[1]OUT_TransportEnergyCons!O$3:O$1000)</f>
        <v>0</v>
      </c>
      <c r="S1332" s="3"/>
    </row>
    <row r="1333" spans="2:19" x14ac:dyDescent="0.5">
      <c r="B1333" s="5" t="str">
        <f t="shared" si="1478"/>
        <v>SPS1</v>
      </c>
      <c r="C1333" s="5" t="str">
        <f t="shared" si="1479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1.9510473117103009E-4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2.8272780240618542E-4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0</v>
      </c>
      <c r="J1333" s="1" cm="1">
        <f t="array" ref="J1333">SUMPRODUCT(("T_B_u-HYBDSL-S2"=[1]OUT_TransportEnergyCons!$A$3:$A$1000)*1,("Var_Fin"=[1]OUT_TransportEnergyCons!$B$3:$B$1000)*1,ISNUMBER(SEARCH("DSL",[1]OUT_TransportEnergyCons!$C$3:$C$1000))*1,[1]OUT_TransportEnergyCons!H$3:H$1000)</f>
        <v>0</v>
      </c>
      <c r="K1333" s="1" cm="1">
        <f t="array" ref="K1333">SUMPRODUCT(("T_B_u-HYBDSL-S2"=[1]OUT_TransportEnergyCons!$A$3:$A$1000)*1,("Var_Fin"=[1]OUT_TransportEnergyCons!$B$3:$B$1000)*1,ISNUMBER(SEARCH("DSL",[1]OUT_TransportEnergyCons!$C$3:$C$1000))*1,[1]OUT_TransportEnergyCons!I$3:I$1000)</f>
        <v>0</v>
      </c>
      <c r="L1333" s="1" cm="1">
        <f t="array" ref="L1333">SUMPRODUCT(("T_B_u-HYBDSL-S2"=[1]OUT_TransportEnergyCons!$A$3:$A$1000)*1,("Var_Fin"=[1]OUT_TransportEnergyCons!$B$3:$B$1000)*1,ISNUMBER(SEARCH("DSL",[1]OUT_TransportEnergyCons!$C$3:$C$1000))*1,[1]OUT_TransportEnergyCons!J$3:J$1000)</f>
        <v>0</v>
      </c>
      <c r="M1333" s="1" cm="1">
        <f t="array" ref="M1333">SUMPRODUCT(("T_B_u-HYBDSL-S2"=[1]OUT_TransportEnergyCons!$A$3:$A$1000)*1,("Var_Fin"=[1]OUT_TransportEnergyCons!$B$3:$B$1000)*1,ISNUMBER(SEARCH("DSL",[1]OUT_TransportEnergyCons!$C$3:$C$1000))*1,[1]OUT_TransportEnergyCons!K$3:K$1000)</f>
        <v>0</v>
      </c>
      <c r="N1333" s="1" cm="1">
        <f t="array" ref="N1333">SUMPRODUCT(("T_B_u-HYBDSL-S2"=[1]OUT_TransportEnergyCons!$A$3:$A$1000)*1,("Var_Fin"=[1]OUT_TransportEnergyCons!$B$3:$B$1000)*1,ISNUMBER(SEARCH("DSL",[1]OUT_TransportEnergyCons!$C$3:$C$1000))*1,[1]OUT_TransportEnergyCons!L$3:L$1000)</f>
        <v>0</v>
      </c>
      <c r="O1333" s="1" cm="1">
        <f t="array" ref="O1333">SUMPRODUCT(("T_B_u-HYBDSL-S2"=[1]OUT_TransportEnergyCons!$A$3:$A$1000)*1,("Var_Fin"=[1]OUT_TransportEnergyCons!$B$3:$B$1000)*1,ISNUMBER(SEARCH("DSL",[1]OUT_TransportEnergyCons!$C$3:$C$1000))*1,[1]OUT_TransportEnergyCons!M$3:M$1000)</f>
        <v>0</v>
      </c>
      <c r="P1333" s="1" cm="1">
        <f t="array" ref="P1333">SUMPRODUCT(("T_B_u-HYBDSL-S2"=[1]OUT_TransportEnergyCons!$A$3:$A$1000)*1,("Var_Fin"=[1]OUT_TransportEnergyCons!$B$3:$B$1000)*1,ISNUMBER(SEARCH("DSL",[1]OUT_TransportEnergyCons!$C$3:$C$1000))*1,[1]OUT_TransportEnergyCons!N$3:N$1000)</f>
        <v>0</v>
      </c>
      <c r="Q1333" s="1" cm="1">
        <f t="array" ref="Q1333">SUMPRODUCT(("T_B_u-HYBDSL-S2"=[1]OUT_TransportEnergyCons!$A$3:$A$1000)*1,("Var_Fin"=[1]OUT_TransportEnergyCons!$B$3:$B$1000)*1,ISNUMBER(SEARCH("DSL",[1]OUT_TransportEnergyCons!$C$3:$C$1000))*1,[1]OUT_TransportEnergyCons!O$3:O$1000)</f>
        <v>0</v>
      </c>
      <c r="S1333" s="3"/>
    </row>
    <row r="1334" spans="2:19" x14ac:dyDescent="0.5">
      <c r="B1334" s="5" t="str">
        <f t="shared" si="1478"/>
        <v>SPS1</v>
      </c>
      <c r="C1334" s="5" t="str">
        <f t="shared" si="1479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1.9886489347552567E-4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2.7666506109652367E-4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</v>
      </c>
      <c r="J1334" s="1" cm="1">
        <f t="array" ref="J1334">SUMPRODUCT(("T_B_u-HYBDSL-S3"=[1]OUT_TransportEnergyCons!$A$3:$A$1000)*1,("Var_Fin"=[1]OUT_TransportEnergyCons!$B$3:$B$1000)*1,ISNUMBER(SEARCH("DSL",[1]OUT_TransportEnergyCons!$C$3:$C$1000))*1,[1]OUT_TransportEnergyCons!H$3:H$1000)</f>
        <v>0</v>
      </c>
      <c r="K1334" s="1" cm="1">
        <f t="array" ref="K1334">SUMPRODUCT(("T_B_u-HYBDSL-S3"=[1]OUT_TransportEnergyCons!$A$3:$A$1000)*1,("Var_Fin"=[1]OUT_TransportEnergyCons!$B$3:$B$1000)*1,ISNUMBER(SEARCH("DSL",[1]OUT_TransportEnergyCons!$C$3:$C$1000))*1,[1]OUT_TransportEnergyCons!I$3:I$1000)</f>
        <v>0</v>
      </c>
      <c r="L1334" s="1" cm="1">
        <f t="array" ref="L1334">SUMPRODUCT(("T_B_u-HYBDSL-S3"=[1]OUT_TransportEnergyCons!$A$3:$A$1000)*1,("Var_Fin"=[1]OUT_TransportEnergyCons!$B$3:$B$1000)*1,ISNUMBER(SEARCH("DSL",[1]OUT_TransportEnergyCons!$C$3:$C$1000))*1,[1]OUT_TransportEnergyCons!J$3:J$1000)</f>
        <v>0</v>
      </c>
      <c r="M1334" s="1" cm="1">
        <f t="array" ref="M1334">SUMPRODUCT(("T_B_u-HYBDSL-S3"=[1]OUT_TransportEnergyCons!$A$3:$A$1000)*1,("Var_Fin"=[1]OUT_TransportEnergyCons!$B$3:$B$1000)*1,ISNUMBER(SEARCH("DSL",[1]OUT_TransportEnergyCons!$C$3:$C$1000))*1,[1]OUT_TransportEnergyCons!K$3:K$1000)</f>
        <v>0</v>
      </c>
      <c r="N1334" s="1" cm="1">
        <f t="array" ref="N1334">SUMPRODUCT(("T_B_u-HYBDSL-S3"=[1]OUT_TransportEnergyCons!$A$3:$A$1000)*1,("Var_Fin"=[1]OUT_TransportEnergyCons!$B$3:$B$1000)*1,ISNUMBER(SEARCH("DSL",[1]OUT_TransportEnergyCons!$C$3:$C$1000))*1,[1]OUT_TransportEnergyCons!L$3:L$1000)</f>
        <v>0</v>
      </c>
      <c r="O1334" s="1" cm="1">
        <f t="array" ref="O1334">SUMPRODUCT(("T_B_u-HYBDSL-S3"=[1]OUT_TransportEnergyCons!$A$3:$A$1000)*1,("Var_Fin"=[1]OUT_TransportEnergyCons!$B$3:$B$1000)*1,ISNUMBER(SEARCH("DSL",[1]OUT_TransportEnergyCons!$C$3:$C$1000))*1,[1]OUT_TransportEnergyCons!M$3:M$1000)</f>
        <v>0</v>
      </c>
      <c r="P1334" s="1" cm="1">
        <f t="array" ref="P1334">SUMPRODUCT(("T_B_u-HYBDSL-S3"=[1]OUT_TransportEnergyCons!$A$3:$A$1000)*1,("Var_Fin"=[1]OUT_TransportEnergyCons!$B$3:$B$1000)*1,ISNUMBER(SEARCH("DSL",[1]OUT_TransportEnergyCons!$C$3:$C$1000))*1,[1]OUT_TransportEnergyCons!N$3:N$1000)</f>
        <v>0</v>
      </c>
      <c r="Q1334" s="1" cm="1">
        <f t="array" ref="Q1334">SUMPRODUCT(("T_B_u-HYBDSL-S3"=[1]OUT_TransportEnergyCons!$A$3:$A$1000)*1,("Var_Fin"=[1]OUT_TransportEnergyCons!$B$3:$B$1000)*1,ISNUMBER(SEARCH("DSL",[1]OUT_TransportEnergyCons!$C$3:$C$1000))*1,[1]OUT_TransportEnergyCons!O$3:O$1000)</f>
        <v>0</v>
      </c>
      <c r="S1334" s="3"/>
    </row>
    <row r="1335" spans="2:19" x14ac:dyDescent="0.5">
      <c r="B1335" s="5" t="str">
        <f t="shared" si="1478"/>
        <v>SPS1</v>
      </c>
      <c r="C1335" s="5" t="str">
        <f t="shared" si="1479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2.545484534033421E-6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4.3680431755316224E-6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0</v>
      </c>
      <c r="J1335" s="1" cm="1">
        <f t="array" ref="J1335">SUMPRODUCT(("T_B_u-HYBDSL-S4"=[1]OUT_TransportEnergyCons!$A$3:$A$1000)*1,("Var_Fin"=[1]OUT_TransportEnergyCons!$B$3:$B$1000)*1,ISNUMBER(SEARCH("DSL",[1]OUT_TransportEnergyCons!$C$3:$C$1000))*1,[1]OUT_TransportEnergyCons!H$3:H$1000)</f>
        <v>0</v>
      </c>
      <c r="K1335" s="1" cm="1">
        <f t="array" ref="K1335">SUMPRODUCT(("T_B_u-HYBDSL-S4"=[1]OUT_TransportEnergyCons!$A$3:$A$1000)*1,("Var_Fin"=[1]OUT_TransportEnergyCons!$B$3:$B$1000)*1,ISNUMBER(SEARCH("DSL",[1]OUT_TransportEnergyCons!$C$3:$C$1000))*1,[1]OUT_TransportEnergyCons!I$3:I$1000)</f>
        <v>0</v>
      </c>
      <c r="L1335" s="1" cm="1">
        <f t="array" ref="L1335">SUMPRODUCT(("T_B_u-HYBDSL-S4"=[1]OUT_TransportEnergyCons!$A$3:$A$1000)*1,("Var_Fin"=[1]OUT_TransportEnergyCons!$B$3:$B$1000)*1,ISNUMBER(SEARCH("DSL",[1]OUT_TransportEnergyCons!$C$3:$C$1000))*1,[1]OUT_TransportEnergyCons!J$3:J$1000)</f>
        <v>0</v>
      </c>
      <c r="M1335" s="1" cm="1">
        <f t="array" ref="M1335">SUMPRODUCT(("T_B_u-HYBDSL-S4"=[1]OUT_TransportEnergyCons!$A$3:$A$1000)*1,("Var_Fin"=[1]OUT_TransportEnergyCons!$B$3:$B$1000)*1,ISNUMBER(SEARCH("DSL",[1]OUT_TransportEnergyCons!$C$3:$C$1000))*1,[1]OUT_TransportEnergyCons!K$3:K$1000)</f>
        <v>0</v>
      </c>
      <c r="N1335" s="1" cm="1">
        <f t="array" ref="N1335">SUMPRODUCT(("T_B_u-HYBDSL-S4"=[1]OUT_TransportEnergyCons!$A$3:$A$1000)*1,("Var_Fin"=[1]OUT_TransportEnergyCons!$B$3:$B$1000)*1,ISNUMBER(SEARCH("DSL",[1]OUT_TransportEnergyCons!$C$3:$C$1000))*1,[1]OUT_TransportEnergyCons!L$3:L$1000)</f>
        <v>0</v>
      </c>
      <c r="O1335" s="1" cm="1">
        <f t="array" ref="O1335">SUMPRODUCT(("T_B_u-HYBDSL-S4"=[1]OUT_TransportEnergyCons!$A$3:$A$1000)*1,("Var_Fin"=[1]OUT_TransportEnergyCons!$B$3:$B$1000)*1,ISNUMBER(SEARCH("DSL",[1]OUT_TransportEnergyCons!$C$3:$C$1000))*1,[1]OUT_TransportEnergyCons!M$3:M$1000)</f>
        <v>0</v>
      </c>
      <c r="P1335" s="1" cm="1">
        <f t="array" ref="P1335">SUMPRODUCT(("T_B_u-HYBDSL-S4"=[1]OUT_TransportEnergyCons!$A$3:$A$1000)*1,("Var_Fin"=[1]OUT_TransportEnergyCons!$B$3:$B$1000)*1,ISNUMBER(SEARCH("DSL",[1]OUT_TransportEnergyCons!$C$3:$C$1000))*1,[1]OUT_TransportEnergyCons!N$3:N$1000)</f>
        <v>0</v>
      </c>
      <c r="Q1335" s="1" cm="1">
        <f t="array" ref="Q1335">SUMPRODUCT(("T_B_u-HYBDSL-S4"=[1]OUT_TransportEnergyCons!$A$3:$A$1000)*1,("Var_Fin"=[1]OUT_TransportEnergyCons!$B$3:$B$1000)*1,ISNUMBER(SEARCH("DSL",[1]OUT_TransportEnergyCons!$C$3:$C$1000))*1,[1]OUT_TransportEnergyCons!O$3:O$1000)</f>
        <v>0</v>
      </c>
      <c r="S1335" s="3"/>
    </row>
    <row r="1336" spans="2:19" x14ac:dyDescent="0.5">
      <c r="B1336" s="5" t="str">
        <f t="shared" si="1478"/>
        <v>SPS1</v>
      </c>
      <c r="C1336" s="5" t="str">
        <f t="shared" si="1479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1.7340052708621354E-2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1.7318118786693176E-2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1.7250303437705075E-2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SUMPRODUCT(("T_B_u-ICEDSLEXT"=[1]OUT_TransportEnergyCons!$A$3:$A$1000)*1,("Var_Fin"=[1]OUT_TransportEnergyCons!$B$3:$B$1000)*1,ISNUMBER(SEARCH("DSL",[1]OUT_TransportEnergyCons!$C$3:$C$1000))*1,[1]OUT_TransportEnergyCons!H$3:H$1000)</f>
        <v>0</v>
      </c>
      <c r="K1336" s="1" cm="1">
        <f t="array" ref="K1336">SUMPRODUCT(("T_B_u-ICEDSLEXT"=[1]OUT_TransportEnergyCons!$A$3:$A$1000)*1,("Var_Fin"=[1]OUT_TransportEnergyCons!$B$3:$B$1000)*1,ISNUMBER(SEARCH("DSL",[1]OUT_TransportEnergyCons!$C$3:$C$1000))*1,[1]OUT_TransportEnergyCons!I$3:I$1000)</f>
        <v>0</v>
      </c>
      <c r="L1336" s="1" cm="1">
        <f t="array" ref="L1336">SUMPRODUCT(("T_B_u-ICEDSLEXT"=[1]OUT_TransportEnergyCons!$A$3:$A$1000)*1,("Var_Fin"=[1]OUT_TransportEnergyCons!$B$3:$B$1000)*1,ISNUMBER(SEARCH("DSL",[1]OUT_TransportEnergyCons!$C$3:$C$1000))*1,[1]OUT_TransportEnergyCons!J$3:J$1000)</f>
        <v>0</v>
      </c>
      <c r="M1336" s="1" cm="1">
        <f t="array" ref="M1336">SUMPRODUCT(("T_B_u-ICEDSLEXT"=[1]OUT_TransportEnergyCons!$A$3:$A$1000)*1,("Var_Fin"=[1]OUT_TransportEnergyCons!$B$3:$B$1000)*1,ISNUMBER(SEARCH("DSL",[1]OUT_TransportEnergyCons!$C$3:$C$1000))*1,[1]OUT_TransportEnergyCons!K$3:K$1000)</f>
        <v>0</v>
      </c>
      <c r="N1336" s="1" cm="1">
        <f t="array" ref="N1336">SUMPRODUCT(("T_B_u-ICEDSLEXT"=[1]OUT_TransportEnergyCons!$A$3:$A$1000)*1,("Var_Fin"=[1]OUT_TransportEnergyCons!$B$3:$B$1000)*1,ISNUMBER(SEARCH("DSL",[1]OUT_TransportEnergyCons!$C$3:$C$1000))*1,[1]OUT_TransportEnergyCons!L$3:L$1000)</f>
        <v>0</v>
      </c>
      <c r="O1336" s="1" cm="1">
        <f t="array" ref="O1336">SUMPRODUCT(("T_B_u-ICEDSLEXT"=[1]OUT_TransportEnergyCons!$A$3:$A$1000)*1,("Var_Fin"=[1]OUT_TransportEnergyCons!$B$3:$B$1000)*1,ISNUMBER(SEARCH("DSL",[1]OUT_TransportEnergyCons!$C$3:$C$1000))*1,[1]OUT_TransportEnergyCons!M$3:M$1000)</f>
        <v>0</v>
      </c>
      <c r="P1336" s="1" cm="1">
        <f t="array" ref="P1336">SUMPRODUCT(("T_B_u-ICEDSLEXT"=[1]OUT_TransportEnergyCons!$A$3:$A$1000)*1,("Var_Fin"=[1]OUT_TransportEnergyCons!$B$3:$B$1000)*1,ISNUMBER(SEARCH("DSL",[1]OUT_TransportEnergyCons!$C$3:$C$1000))*1,[1]OUT_TransportEnergyCons!N$3:N$1000)</f>
        <v>0</v>
      </c>
      <c r="Q1336" s="1" cm="1">
        <f t="array" ref="Q1336">SUMPRODUCT(("T_B_u-ICEDSLEXT"=[1]OUT_TransportEnergyCons!$A$3:$A$1000)*1,("Var_Fin"=[1]OUT_TransportEnergyCons!$B$3:$B$1000)*1,ISNUMBER(SEARCH("DSL",[1]OUT_TransportEnergyCons!$C$3:$C$1000))*1,[1]OUT_TransportEnergyCons!O$3:O$1000)</f>
        <v>0</v>
      </c>
      <c r="S1336" s="3"/>
    </row>
    <row r="1337" spans="2:19" x14ac:dyDescent="0.5">
      <c r="B1337" s="5" t="str">
        <f t="shared" si="1478"/>
        <v>SPS1</v>
      </c>
      <c r="C1337" s="5" t="str">
        <f t="shared" si="1479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2.6115840999331192E-4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0.191290575971299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0.39813305854618469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4.5384249318141495E-5</v>
      </c>
      <c r="J1337" s="1" cm="1">
        <f t="array" ref="J1337">SUMPRODUCT(("T_B_u-ICEDSL-S1"=[1]OUT_TransportEnergyCons!$A$3:$A$1000)*1,("Var_Fin"=[1]OUT_TransportEnergyCons!$B$3:$B$1000)*1,ISNUMBER(SEARCH("DSL",[1]OUT_TransportEnergyCons!$C$3:$C$1000))*1,[1]OUT_TransportEnergyCons!H$3:H$1000)</f>
        <v>0</v>
      </c>
      <c r="K1337" s="1" cm="1">
        <f t="array" ref="K1337">SUMPRODUCT(("T_B_u-ICEDSL-S1"=[1]OUT_TransportEnergyCons!$A$3:$A$1000)*1,("Var_Fin"=[1]OUT_TransportEnergyCons!$B$3:$B$1000)*1,ISNUMBER(SEARCH("DSL",[1]OUT_TransportEnergyCons!$C$3:$C$1000))*1,[1]OUT_TransportEnergyCons!I$3:I$1000)</f>
        <v>0</v>
      </c>
      <c r="L1337" s="1" cm="1">
        <f t="array" ref="L1337">SUMPRODUCT(("T_B_u-ICEDSL-S1"=[1]OUT_TransportEnergyCons!$A$3:$A$1000)*1,("Var_Fin"=[1]OUT_TransportEnergyCons!$B$3:$B$1000)*1,ISNUMBER(SEARCH("DSL",[1]OUT_TransportEnergyCons!$C$3:$C$1000))*1,[1]OUT_TransportEnergyCons!J$3:J$1000)</f>
        <v>0</v>
      </c>
      <c r="M1337" s="1" cm="1">
        <f t="array" ref="M1337">SUMPRODUCT(("T_B_u-ICEDSL-S1"=[1]OUT_TransportEnergyCons!$A$3:$A$1000)*1,("Var_Fin"=[1]OUT_TransportEnergyCons!$B$3:$B$1000)*1,ISNUMBER(SEARCH("DSL",[1]OUT_TransportEnergyCons!$C$3:$C$1000))*1,[1]OUT_TransportEnergyCons!K$3:K$1000)</f>
        <v>0</v>
      </c>
      <c r="N1337" s="1" cm="1">
        <f t="array" ref="N1337">SUMPRODUCT(("T_B_u-ICEDSL-S1"=[1]OUT_TransportEnergyCons!$A$3:$A$1000)*1,("Var_Fin"=[1]OUT_TransportEnergyCons!$B$3:$B$1000)*1,ISNUMBER(SEARCH("DSL",[1]OUT_TransportEnergyCons!$C$3:$C$1000))*1,[1]OUT_TransportEnergyCons!L$3:L$1000)</f>
        <v>0</v>
      </c>
      <c r="O1337" s="1" cm="1">
        <f t="array" ref="O1337">SUMPRODUCT(("T_B_u-ICEDSL-S1"=[1]OUT_TransportEnergyCons!$A$3:$A$1000)*1,("Var_Fin"=[1]OUT_TransportEnergyCons!$B$3:$B$1000)*1,ISNUMBER(SEARCH("DSL",[1]OUT_TransportEnergyCons!$C$3:$C$1000))*1,[1]OUT_TransportEnergyCons!M$3:M$1000)</f>
        <v>0</v>
      </c>
      <c r="P1337" s="1" cm="1">
        <f t="array" ref="P1337">SUMPRODUCT(("T_B_u-ICEDSL-S1"=[1]OUT_TransportEnergyCons!$A$3:$A$1000)*1,("Var_Fin"=[1]OUT_TransportEnergyCons!$B$3:$B$1000)*1,ISNUMBER(SEARCH("DSL",[1]OUT_TransportEnergyCons!$C$3:$C$1000))*1,[1]OUT_TransportEnergyCons!N$3:N$1000)</f>
        <v>0</v>
      </c>
      <c r="Q1337" s="1" cm="1">
        <f t="array" ref="Q1337">SUMPRODUCT(("T_B_u-ICEDSL-S1"=[1]OUT_TransportEnergyCons!$A$3:$A$1000)*1,("Var_Fin"=[1]OUT_TransportEnergyCons!$B$3:$B$1000)*1,ISNUMBER(SEARCH("DSL",[1]OUT_TransportEnergyCons!$C$3:$C$1000))*1,[1]OUT_TransportEnergyCons!O$3:O$1000)</f>
        <v>0</v>
      </c>
      <c r="S1337" s="3"/>
    </row>
    <row r="1338" spans="2:19" x14ac:dyDescent="0.5">
      <c r="B1338" s="5" t="str">
        <f t="shared" si="1478"/>
        <v>SPS1</v>
      </c>
      <c r="C1338" s="5" t="str">
        <f t="shared" si="1479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0.11091562707226174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0.13744120198643217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0.24182206648412602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SUMPRODUCT(("T_B_u-ICEDSL-S2"=[1]OUT_TransportEnergyCons!$A$3:$A$1000)*1,("Var_Fin"=[1]OUT_TransportEnergyCons!$B$3:$B$1000)*1,ISNUMBER(SEARCH("DSL",[1]OUT_TransportEnergyCons!$C$3:$C$1000))*1,[1]OUT_TransportEnergyCons!H$3:H$1000)</f>
        <v>0</v>
      </c>
      <c r="K1338" s="1" cm="1">
        <f t="array" ref="K1338">SUMPRODUCT(("T_B_u-ICEDSL-S2"=[1]OUT_TransportEnergyCons!$A$3:$A$1000)*1,("Var_Fin"=[1]OUT_TransportEnergyCons!$B$3:$B$1000)*1,ISNUMBER(SEARCH("DSL",[1]OUT_TransportEnergyCons!$C$3:$C$1000))*1,[1]OUT_TransportEnergyCons!I$3:I$1000)</f>
        <v>0</v>
      </c>
      <c r="L1338" s="1" cm="1">
        <f t="array" ref="L1338">SUMPRODUCT(("T_B_u-ICEDSL-S2"=[1]OUT_TransportEnergyCons!$A$3:$A$1000)*1,("Var_Fin"=[1]OUT_TransportEnergyCons!$B$3:$B$1000)*1,ISNUMBER(SEARCH("DSL",[1]OUT_TransportEnergyCons!$C$3:$C$1000))*1,[1]OUT_TransportEnergyCons!J$3:J$1000)</f>
        <v>0</v>
      </c>
      <c r="M1338" s="1" cm="1">
        <f t="array" ref="M1338">SUMPRODUCT(("T_B_u-ICEDSL-S2"=[1]OUT_TransportEnergyCons!$A$3:$A$1000)*1,("Var_Fin"=[1]OUT_TransportEnergyCons!$B$3:$B$1000)*1,ISNUMBER(SEARCH("DSL",[1]OUT_TransportEnergyCons!$C$3:$C$1000))*1,[1]OUT_TransportEnergyCons!K$3:K$1000)</f>
        <v>0</v>
      </c>
      <c r="N1338" s="1" cm="1">
        <f t="array" ref="N1338">SUMPRODUCT(("T_B_u-ICEDSL-S2"=[1]OUT_TransportEnergyCons!$A$3:$A$1000)*1,("Var_Fin"=[1]OUT_TransportEnergyCons!$B$3:$B$1000)*1,ISNUMBER(SEARCH("DSL",[1]OUT_TransportEnergyCons!$C$3:$C$1000))*1,[1]OUT_TransportEnergyCons!L$3:L$1000)</f>
        <v>0</v>
      </c>
      <c r="O1338" s="1" cm="1">
        <f t="array" ref="O1338">SUMPRODUCT(("T_B_u-ICEDSL-S2"=[1]OUT_TransportEnergyCons!$A$3:$A$1000)*1,("Var_Fin"=[1]OUT_TransportEnergyCons!$B$3:$B$1000)*1,ISNUMBER(SEARCH("DSL",[1]OUT_TransportEnergyCons!$C$3:$C$1000))*1,[1]OUT_TransportEnergyCons!M$3:M$1000)</f>
        <v>0</v>
      </c>
      <c r="P1338" s="1" cm="1">
        <f t="array" ref="P1338">SUMPRODUCT(("T_B_u-ICEDSL-S2"=[1]OUT_TransportEnergyCons!$A$3:$A$1000)*1,("Var_Fin"=[1]OUT_TransportEnergyCons!$B$3:$B$1000)*1,ISNUMBER(SEARCH("DSL",[1]OUT_TransportEnergyCons!$C$3:$C$1000))*1,[1]OUT_TransportEnergyCons!N$3:N$1000)</f>
        <v>0</v>
      </c>
      <c r="Q1338" s="1" cm="1">
        <f t="array" ref="Q1338">SUMPRODUCT(("T_B_u-ICEDSL-S2"=[1]OUT_TransportEnergyCons!$A$3:$A$1000)*1,("Var_Fin"=[1]OUT_TransportEnergyCons!$B$3:$B$1000)*1,ISNUMBER(SEARCH("DSL",[1]OUT_TransportEnergyCons!$C$3:$C$1000))*1,[1]OUT_TransportEnergyCons!O$3:O$1000)</f>
        <v>0</v>
      </c>
      <c r="S1338" s="3"/>
    </row>
    <row r="1339" spans="2:19" x14ac:dyDescent="0.5">
      <c r="B1339" s="5" t="str">
        <f t="shared" si="1478"/>
        <v>SPS1</v>
      </c>
      <c r="C1339" s="5" t="str">
        <f t="shared" si="1479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0.62166726351776458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0.91938340417663367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1.619650559569016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SUMPRODUCT(("T_B_u-ICEDSL-S3"=[1]OUT_TransportEnergyCons!$A$3:$A$1000)*1,("Var_Fin"=[1]OUT_TransportEnergyCons!$B$3:$B$1000)*1,ISNUMBER(SEARCH("DSL",[1]OUT_TransportEnergyCons!$C$3:$C$1000))*1,[1]OUT_TransportEnergyCons!H$3:H$1000)</f>
        <v>0</v>
      </c>
      <c r="K1339" s="1" cm="1">
        <f t="array" ref="K1339">SUMPRODUCT(("T_B_u-ICEDSL-S3"=[1]OUT_TransportEnergyCons!$A$3:$A$1000)*1,("Var_Fin"=[1]OUT_TransportEnergyCons!$B$3:$B$1000)*1,ISNUMBER(SEARCH("DSL",[1]OUT_TransportEnergyCons!$C$3:$C$1000))*1,[1]OUT_TransportEnergyCons!I$3:I$1000)</f>
        <v>0</v>
      </c>
      <c r="L1339" s="1" cm="1">
        <f t="array" ref="L1339">SUMPRODUCT(("T_B_u-ICEDSL-S3"=[1]OUT_TransportEnergyCons!$A$3:$A$1000)*1,("Var_Fin"=[1]OUT_TransportEnergyCons!$B$3:$B$1000)*1,ISNUMBER(SEARCH("DSL",[1]OUT_TransportEnergyCons!$C$3:$C$1000))*1,[1]OUT_TransportEnergyCons!J$3:J$1000)</f>
        <v>0</v>
      </c>
      <c r="M1339" s="1" cm="1">
        <f t="array" ref="M1339">SUMPRODUCT(("T_B_u-ICEDSL-S3"=[1]OUT_TransportEnergyCons!$A$3:$A$1000)*1,("Var_Fin"=[1]OUT_TransportEnergyCons!$B$3:$B$1000)*1,ISNUMBER(SEARCH("DSL",[1]OUT_TransportEnergyCons!$C$3:$C$1000))*1,[1]OUT_TransportEnergyCons!K$3:K$1000)</f>
        <v>0</v>
      </c>
      <c r="N1339" s="1" cm="1">
        <f t="array" ref="N1339">SUMPRODUCT(("T_B_u-ICEDSL-S3"=[1]OUT_TransportEnergyCons!$A$3:$A$1000)*1,("Var_Fin"=[1]OUT_TransportEnergyCons!$B$3:$B$1000)*1,ISNUMBER(SEARCH("DSL",[1]OUT_TransportEnergyCons!$C$3:$C$1000))*1,[1]OUT_TransportEnergyCons!L$3:L$1000)</f>
        <v>0</v>
      </c>
      <c r="O1339" s="1" cm="1">
        <f t="array" ref="O1339">SUMPRODUCT(("T_B_u-ICEDSL-S3"=[1]OUT_TransportEnergyCons!$A$3:$A$1000)*1,("Var_Fin"=[1]OUT_TransportEnergyCons!$B$3:$B$1000)*1,ISNUMBER(SEARCH("DSL",[1]OUT_TransportEnergyCons!$C$3:$C$1000))*1,[1]OUT_TransportEnergyCons!M$3:M$1000)</f>
        <v>0</v>
      </c>
      <c r="P1339" s="1" cm="1">
        <f t="array" ref="P1339">SUMPRODUCT(("T_B_u-ICEDSL-S3"=[1]OUT_TransportEnergyCons!$A$3:$A$1000)*1,("Var_Fin"=[1]OUT_TransportEnergyCons!$B$3:$B$1000)*1,ISNUMBER(SEARCH("DSL",[1]OUT_TransportEnergyCons!$C$3:$C$1000))*1,[1]OUT_TransportEnergyCons!N$3:N$1000)</f>
        <v>0</v>
      </c>
      <c r="Q1339" s="1" cm="1">
        <f t="array" ref="Q1339">SUMPRODUCT(("T_B_u-ICEDSL-S3"=[1]OUT_TransportEnergyCons!$A$3:$A$1000)*1,("Var_Fin"=[1]OUT_TransportEnergyCons!$B$3:$B$1000)*1,ISNUMBER(SEARCH("DSL",[1]OUT_TransportEnergyCons!$C$3:$C$1000))*1,[1]OUT_TransportEnergyCons!O$3:O$1000)</f>
        <v>0</v>
      </c>
      <c r="S1339" s="3"/>
    </row>
    <row r="1340" spans="2:19" x14ac:dyDescent="0.5">
      <c r="B1340" s="5" t="str">
        <f t="shared" si="1478"/>
        <v>SPS1</v>
      </c>
      <c r="C1340" s="5" t="str">
        <f t="shared" si="1479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2.9622687690664816E-3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7.1230407885241107E-5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6.9099030316744148E-5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SUMPRODUCT(("T_B_u-ICEDSL-S4"=[1]OUT_TransportEnergyCons!$A$3:$A$1000)*1,("Var_Fin"=[1]OUT_TransportEnergyCons!$B$3:$B$1000)*1,ISNUMBER(SEARCH("DSL",[1]OUT_TransportEnergyCons!$C$3:$C$1000))*1,[1]OUT_TransportEnergyCons!H$3:H$1000)</f>
        <v>0</v>
      </c>
      <c r="K1340" s="1" cm="1">
        <f t="array" ref="K1340">SUMPRODUCT(("T_B_u-ICEDSL-S4"=[1]OUT_TransportEnergyCons!$A$3:$A$1000)*1,("Var_Fin"=[1]OUT_TransportEnergyCons!$B$3:$B$1000)*1,ISNUMBER(SEARCH("DSL",[1]OUT_TransportEnergyCons!$C$3:$C$1000))*1,[1]OUT_TransportEnergyCons!I$3:I$1000)</f>
        <v>0</v>
      </c>
      <c r="L1340" s="1" cm="1">
        <f t="array" ref="L1340">SUMPRODUCT(("T_B_u-ICEDSL-S4"=[1]OUT_TransportEnergyCons!$A$3:$A$1000)*1,("Var_Fin"=[1]OUT_TransportEnergyCons!$B$3:$B$1000)*1,ISNUMBER(SEARCH("DSL",[1]OUT_TransportEnergyCons!$C$3:$C$1000))*1,[1]OUT_TransportEnergyCons!J$3:J$1000)</f>
        <v>0</v>
      </c>
      <c r="M1340" s="1" cm="1">
        <f t="array" ref="M1340">SUMPRODUCT(("T_B_u-ICEDSL-S4"=[1]OUT_TransportEnergyCons!$A$3:$A$1000)*1,("Var_Fin"=[1]OUT_TransportEnergyCons!$B$3:$B$1000)*1,ISNUMBER(SEARCH("DSL",[1]OUT_TransportEnergyCons!$C$3:$C$1000))*1,[1]OUT_TransportEnergyCons!K$3:K$1000)</f>
        <v>0</v>
      </c>
      <c r="N1340" s="1" cm="1">
        <f t="array" ref="N1340">SUMPRODUCT(("T_B_u-ICEDSL-S4"=[1]OUT_TransportEnergyCons!$A$3:$A$1000)*1,("Var_Fin"=[1]OUT_TransportEnergyCons!$B$3:$B$1000)*1,ISNUMBER(SEARCH("DSL",[1]OUT_TransportEnergyCons!$C$3:$C$1000))*1,[1]OUT_TransportEnergyCons!L$3:L$1000)</f>
        <v>0</v>
      </c>
      <c r="O1340" s="1" cm="1">
        <f t="array" ref="O1340">SUMPRODUCT(("T_B_u-ICEDSL-S4"=[1]OUT_TransportEnergyCons!$A$3:$A$1000)*1,("Var_Fin"=[1]OUT_TransportEnergyCons!$B$3:$B$1000)*1,ISNUMBER(SEARCH("DSL",[1]OUT_TransportEnergyCons!$C$3:$C$1000))*1,[1]OUT_TransportEnergyCons!M$3:M$1000)</f>
        <v>0</v>
      </c>
      <c r="P1340" s="1" cm="1">
        <f t="array" ref="P1340">SUMPRODUCT(("T_B_u-ICEDSL-S4"=[1]OUT_TransportEnergyCons!$A$3:$A$1000)*1,("Var_Fin"=[1]OUT_TransportEnergyCons!$B$3:$B$1000)*1,ISNUMBER(SEARCH("DSL",[1]OUT_TransportEnergyCons!$C$3:$C$1000))*1,[1]OUT_TransportEnergyCons!N$3:N$1000)</f>
        <v>0</v>
      </c>
      <c r="Q1340" s="1" cm="1">
        <f t="array" ref="Q1340">SUMPRODUCT(("T_B_u-ICEDSL-S4"=[1]OUT_TransportEnergyCons!$A$3:$A$1000)*1,("Var_Fin"=[1]OUT_TransportEnergyCons!$B$3:$B$1000)*1,ISNUMBER(SEARCH("DSL",[1]OUT_TransportEnergyCons!$C$3:$C$1000))*1,[1]OUT_TransportEnergyCons!O$3:O$1000)</f>
        <v>0</v>
      </c>
      <c r="S1340" s="3"/>
    </row>
    <row r="1341" spans="2:19" x14ac:dyDescent="0.5">
      <c r="B1341" s="5" t="str">
        <f t="shared" si="1478"/>
        <v>SPS1</v>
      </c>
      <c r="C1341" s="5" t="str">
        <f t="shared" si="1479"/>
        <v>CH</v>
      </c>
      <c r="D1341" t="s">
        <v>1343</v>
      </c>
      <c r="E1341" t="s">
        <v>8</v>
      </c>
      <c r="F1341" s="1">
        <f>SUM(F1346:F1350)</f>
        <v>3.1673245993584816E-4</v>
      </c>
      <c r="G1341" s="1">
        <f t="shared" ref="G1341:K1341" si="1492">SUM(G1346:G1350)</f>
        <v>4.4291935480630798E-4</v>
      </c>
      <c r="H1341" s="1">
        <f t="shared" si="1492"/>
        <v>6.9688615930203809E-3</v>
      </c>
      <c r="I1341" s="1">
        <f t="shared" si="1492"/>
        <v>0</v>
      </c>
      <c r="J1341" s="1">
        <f t="shared" si="1492"/>
        <v>0</v>
      </c>
      <c r="K1341" s="1">
        <f t="shared" si="1492"/>
        <v>0</v>
      </c>
      <c r="L1341" s="1">
        <f t="shared" ref="L1341:O1341" si="1493">SUM(L1346:L1350)</f>
        <v>0</v>
      </c>
      <c r="M1341" s="1">
        <f t="shared" si="1493"/>
        <v>0</v>
      </c>
      <c r="N1341" s="1">
        <f t="shared" si="1493"/>
        <v>0</v>
      </c>
      <c r="O1341" s="1">
        <f t="shared" si="1493"/>
        <v>0</v>
      </c>
      <c r="P1341" s="1">
        <f>SUM(P1346:P1350)</f>
        <v>0</v>
      </c>
      <c r="Q1341" s="1">
        <f>SUM(Q1346:Q1350)</f>
        <v>0</v>
      </c>
      <c r="S1341" s="3"/>
    </row>
    <row r="1342" spans="2:19" x14ac:dyDescent="0.5">
      <c r="B1342" s="5" t="str">
        <f t="shared" si="1478"/>
        <v>SPS1</v>
      </c>
      <c r="C1342" s="5" t="str">
        <f t="shared" si="1479"/>
        <v>CH</v>
      </c>
      <c r="D1342" t="s">
        <v>1344</v>
      </c>
      <c r="E1342" t="s">
        <v>8</v>
      </c>
      <c r="F1342" s="1">
        <f>IF(F1341-F1343&lt;0,0,F1341-F1343)</f>
        <v>2.9265300401785238E-4</v>
      </c>
      <c r="G1342" s="1">
        <f t="shared" ref="G1342:K1342" si="1494">IF(G1341-G1343&lt;0,0,G1341-G1343)</f>
        <v>3.8782345799119096E-4</v>
      </c>
      <c r="H1342" s="1">
        <f t="shared" si="1494"/>
        <v>6.9221122027427803E-3</v>
      </c>
      <c r="I1342" s="1">
        <f t="shared" si="1494"/>
        <v>0</v>
      </c>
      <c r="J1342" s="1">
        <f t="shared" si="1494"/>
        <v>0</v>
      </c>
      <c r="K1342" s="1">
        <f t="shared" si="1494"/>
        <v>0</v>
      </c>
      <c r="L1342" s="1">
        <f t="shared" ref="L1342:O1342" si="1495">IF(L1341-L1343&lt;0,0,L1341-L1343)</f>
        <v>0</v>
      </c>
      <c r="M1342" s="1">
        <f t="shared" si="1495"/>
        <v>0</v>
      </c>
      <c r="N1342" s="1">
        <f t="shared" si="1495"/>
        <v>0</v>
      </c>
      <c r="O1342" s="1">
        <f t="shared" si="1495"/>
        <v>0</v>
      </c>
      <c r="P1342" s="1">
        <f>IF(P1341-P1343&lt;0,0,P1341-P1343)</f>
        <v>0</v>
      </c>
      <c r="Q1342" s="1">
        <f>IF(Q1341-Q1343&lt;0,0,Q1341-Q1343)</f>
        <v>0</v>
      </c>
      <c r="S1342" s="3"/>
    </row>
    <row r="1343" spans="2:19" x14ac:dyDescent="0.5">
      <c r="B1343" s="5" t="str">
        <f t="shared" si="1478"/>
        <v>SPS1</v>
      </c>
      <c r="C1343" s="5" t="str">
        <f t="shared" si="1479"/>
        <v>CH</v>
      </c>
      <c r="D1343" t="s">
        <v>1345</v>
      </c>
      <c r="E1343" t="s">
        <v>8</v>
      </c>
      <c r="F1343" s="1">
        <f>SUM(F1344:F1345)</f>
        <v>2.4079455917995761E-5</v>
      </c>
      <c r="G1343" s="1">
        <f t="shared" ref="G1343" si="1496">SUM(G1344:G1345)</f>
        <v>5.5095896815117028E-5</v>
      </c>
      <c r="H1343" s="1">
        <f t="shared" ref="H1343" si="1497">SUM(H1344:H1345)</f>
        <v>4.6749390277601018E-5</v>
      </c>
      <c r="I1343" s="1">
        <f t="shared" ref="I1343" si="1498">SUM(I1344:I1345)</f>
        <v>0</v>
      </c>
      <c r="J1343" s="1">
        <f t="shared" ref="J1343" si="1499">SUM(J1344:J1345)</f>
        <v>0</v>
      </c>
      <c r="K1343" s="1">
        <f t="shared" ref="K1343" si="1500">SUM(K1344:K1345)</f>
        <v>0</v>
      </c>
      <c r="L1343" s="1">
        <f t="shared" ref="L1343:O1343" si="1501">SUM(L1344:L1345)</f>
        <v>0</v>
      </c>
      <c r="M1343" s="1">
        <f t="shared" si="1501"/>
        <v>0</v>
      </c>
      <c r="N1343" s="1">
        <f t="shared" si="1501"/>
        <v>0</v>
      </c>
      <c r="O1343" s="1">
        <f t="shared" si="1501"/>
        <v>0</v>
      </c>
      <c r="P1343" s="1">
        <f>SUM(P1344:P1345)</f>
        <v>0</v>
      </c>
      <c r="Q1343" s="1">
        <f>SUM(Q1344:Q1345)</f>
        <v>0</v>
      </c>
      <c r="S1343" s="3"/>
    </row>
    <row r="1344" spans="2:19" x14ac:dyDescent="0.5">
      <c r="B1344" s="5" t="str">
        <f t="shared" si="1478"/>
        <v>SPS1</v>
      </c>
      <c r="C1344" s="5" t="str">
        <f t="shared" si="1479"/>
        <v>CH</v>
      </c>
      <c r="D1344" t="s">
        <v>1346</v>
      </c>
      <c r="E1344" t="s">
        <v>8</v>
      </c>
      <c r="F1344" s="1">
        <f>IF(SUM([1]Transport!B$24,[1]Transport!B$27)=0,0,[1]Transport!B$27/SUM([1]Transport!B$24,[1]Transport!B$27)*F1341*(F$47+F$614)/(F$47+F$614+F$49))</f>
        <v>2.4079455917995761E-5</v>
      </c>
      <c r="G1344" s="1">
        <f>IF(SUM([1]Transport!C$24,[1]Transport!C$27)=0,0,[1]Transport!C$27/SUM([1]Transport!C$24,[1]Transport!C$27)*G1341*(G$47+G$614)/(G$47+G$614+G$49))</f>
        <v>5.5095896815117028E-5</v>
      </c>
      <c r="H1344" s="1">
        <f>IF(SUM([1]Transport!D$24,[1]Transport!D$27)=0,0,[1]Transport!D$27/SUM([1]Transport!D$24,[1]Transport!D$27)*H1341*(H$47+H$614)/(H$47+H$614+H$49))</f>
        <v>4.6749390277601018E-5</v>
      </c>
      <c r="I1344" s="1">
        <f>IF(SUM([1]Transport!E$24,[1]Transport!E$27)=0,0,[1]Transport!E$27/SUM([1]Transport!E$24,[1]Transport!E$27)*I1341*(I$47+I$614)/(I$47+I$614+I$49))</f>
        <v>0</v>
      </c>
      <c r="J1344" s="1">
        <f>IF(SUM([1]Transport!F$24,[1]Transport!F$27)=0,0,[1]Transport!F$27/SUM([1]Transport!F$24,[1]Transport!F$27)*J1341*(J$47+J$614)/(J$47+J$614+J$49))</f>
        <v>0</v>
      </c>
      <c r="K1344" s="1">
        <f>IF(SUM([1]Transport!G$24,[1]Transport!G$27)=0,0,[1]Transport!G$27/SUM([1]Transport!G$24,[1]Transport!G$27)*K1341*(K$47+K$614)/(K$47+K$614+K$49))</f>
        <v>0</v>
      </c>
      <c r="L1344" s="1">
        <f>IF(SUM([1]Transport!H$24,[1]Transport!H$27)=0,0,[1]Transport!H$27/SUM([1]Transport!H$24,[1]Transport!H$27)*L1341*(L$47+L$614)/(L$47+L$614+L$49))</f>
        <v>0</v>
      </c>
      <c r="M1344" s="1">
        <f>IF(SUM([1]Transport!I$24,[1]Transport!I$27)=0,0,[1]Transport!I$27/SUM([1]Transport!I$24,[1]Transport!I$27)*M1341*(M$47+M$614)/(M$47+M$614+M$49))</f>
        <v>0</v>
      </c>
      <c r="N1344" s="1">
        <f>IF(SUM([1]Transport!J$24,[1]Transport!J$27)=0,0,[1]Transport!J$27/SUM([1]Transport!J$24,[1]Transport!J$27)*N1341*(N$47+N$614)/(N$47+N$614+N$49))</f>
        <v>0</v>
      </c>
      <c r="O1344" s="1">
        <f>IF(SUM([1]Transport!K$24,[1]Transport!K$27)=0,0,[1]Transport!K$27/SUM([1]Transport!K$24,[1]Transport!K$27)*O1341*(O$47+O$614)/(O$47+O$614+O$49))</f>
        <v>0</v>
      </c>
      <c r="P1344" s="1">
        <f>IF(SUM([1]Transport!L$24,[1]Transport!L$27)=0,0,[1]Transport!L$27/SUM([1]Transport!L$24,[1]Transport!L$27)*P1341*(P$47+P$614)/(P$47+P$614+P$49))</f>
        <v>0</v>
      </c>
      <c r="Q1344" s="1">
        <f>IF(SUM([1]Transport!M$24,[1]Transport!M$27)=0,0,[1]Transport!M$27/SUM([1]Transport!M$24,[1]Transport!M$27)*Q1341*(Q$47+Q$614)/(Q$47+Q$614+Q$49))</f>
        <v>0</v>
      </c>
      <c r="S1344" s="3"/>
    </row>
    <row r="1345" spans="2:19" x14ac:dyDescent="0.5">
      <c r="B1345" s="5" t="str">
        <f t="shared" si="1478"/>
        <v>SPS1</v>
      </c>
      <c r="C1345" s="5" t="str">
        <f t="shared" si="1479"/>
        <v>CH</v>
      </c>
      <c r="D1345" t="s">
        <v>1347</v>
      </c>
      <c r="E1345" t="s">
        <v>8</v>
      </c>
      <c r="F1345" s="1">
        <f>IF(([1]Transport!B$24+[1]Transport!B$27)=0,0,(F$49+F$716)/([1]Transport!B$24+[1]Transport!B$27)*F1341)</f>
        <v>0</v>
      </c>
      <c r="G1345" s="1">
        <f>IF(([1]Transport!C$24+[1]Transport!C$27)=0,0,(G$49+G$716)/([1]Transport!C$24+[1]Transport!C$27)*G1341)</f>
        <v>0</v>
      </c>
      <c r="H1345" s="1">
        <f>IF(([1]Transport!D$24+[1]Transport!D$27)=0,0,(H$49+H$716)/([1]Transport!D$24+[1]Transport!D$27)*H1341)</f>
        <v>0</v>
      </c>
      <c r="I1345" s="1">
        <f>IF(([1]Transport!E$24+[1]Transport!E$27)=0,0,(I$49+I$716)/([1]Transport!E$24+[1]Transport!E$27)*I1341)</f>
        <v>0</v>
      </c>
      <c r="J1345" s="1">
        <f>IF(([1]Transport!F$24+[1]Transport!F$27)=0,0,(J$49+J$716)/([1]Transport!F$24+[1]Transport!F$27)*J1341)</f>
        <v>0</v>
      </c>
      <c r="K1345" s="1">
        <f>IF(([1]Transport!G$24+[1]Transport!G$27)=0,0,(K$49+K$716)/([1]Transport!G$24+[1]Transport!G$27)*K1341)</f>
        <v>0</v>
      </c>
      <c r="L1345" s="1">
        <f>IF(([1]Transport!H$24+[1]Transport!H$27)=0,0,(L$49+L$716)/([1]Transport!H$24+[1]Transport!H$27)*L1341)</f>
        <v>0</v>
      </c>
      <c r="M1345" s="1">
        <f>IF(([1]Transport!I$24+[1]Transport!I$27)=0,0,(M$49+M$716)/([1]Transport!I$24+[1]Transport!I$27)*M1341)</f>
        <v>0</v>
      </c>
      <c r="N1345" s="1">
        <f>IF(([1]Transport!J$24+[1]Transport!J$27)=0,0,(N$49+N$716)/([1]Transport!J$24+[1]Transport!J$27)*N1341)</f>
        <v>0</v>
      </c>
      <c r="O1345" s="1">
        <f>IF(([1]Transport!K$24+[1]Transport!K$27)=0,0,(O$49+O$716)/([1]Transport!K$24+[1]Transport!K$27)*O1341)</f>
        <v>0</v>
      </c>
      <c r="P1345" s="1">
        <f>IF(([1]Transport!L$24+[1]Transport!L$27)=0,0,(P$49+P$716)/([1]Transport!L$24+[1]Transport!L$27)*P1341)</f>
        <v>0</v>
      </c>
      <c r="Q1345" s="1">
        <f>IF(([1]Transport!M$24+[1]Transport!M$27)=0,0,(Q$49+Q$716)/([1]Transport!M$24+[1]Transport!M$27)*Q1341)</f>
        <v>0</v>
      </c>
      <c r="S1345" s="3"/>
    </row>
    <row r="1346" spans="2:19" x14ac:dyDescent="0.5">
      <c r="B1346" s="5" t="str">
        <f t="shared" si="1478"/>
        <v>SPS1</v>
      </c>
      <c r="C1346" s="5" t="str">
        <f t="shared" si="1479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3.1673245993584816E-4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3.169797057439533E-4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3.1597319533751953E-4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SUMPRODUCT(("T_B_u-ICEngaEXT"=[1]OUT_TransportEnergyCons!$A$3:$A$1000)*1,("Var_Fin"=[1]OUT_TransportEnergyCons!$B$3:$B$1000)*1,ISNUMBER(SEARCH("nga",[1]OUT_TransportEnergyCons!$C$3:$C$1000))*1,[1]OUT_TransportEnergyCons!H$3:H$1000)</f>
        <v>0</v>
      </c>
      <c r="K1346" s="1" cm="1">
        <f t="array" ref="K1346">SUMPRODUCT(("T_B_u-ICEngaEXT"=[1]OUT_TransportEnergyCons!$A$3:$A$1000)*1,("Var_Fin"=[1]OUT_TransportEnergyCons!$B$3:$B$1000)*1,ISNUMBER(SEARCH("nga",[1]OUT_TransportEnergyCons!$C$3:$C$1000))*1,[1]OUT_TransportEnergyCons!I$3:I$1000)</f>
        <v>0</v>
      </c>
      <c r="L1346" s="1" cm="1">
        <f t="array" ref="L1346">SUMPRODUCT(("T_B_u-ICEngaEXT"=[1]OUT_TransportEnergyCons!$A$3:$A$1000)*1,("Var_Fin"=[1]OUT_TransportEnergyCons!$B$3:$B$1000)*1,ISNUMBER(SEARCH("nga",[1]OUT_TransportEnergyCons!$C$3:$C$1000))*1,[1]OUT_TransportEnergyCons!J$3:J$1000)</f>
        <v>0</v>
      </c>
      <c r="M1346" s="1" cm="1">
        <f t="array" ref="M1346">SUMPRODUCT(("T_B_u-ICEngaEXT"=[1]OUT_TransportEnergyCons!$A$3:$A$1000)*1,("Var_Fin"=[1]OUT_TransportEnergyCons!$B$3:$B$1000)*1,ISNUMBER(SEARCH("nga",[1]OUT_TransportEnergyCons!$C$3:$C$1000))*1,[1]OUT_TransportEnergyCons!K$3:K$1000)</f>
        <v>0</v>
      </c>
      <c r="N1346" s="1" cm="1">
        <f t="array" ref="N1346">SUMPRODUCT(("T_B_u-ICEngaEXT"=[1]OUT_TransportEnergyCons!$A$3:$A$1000)*1,("Var_Fin"=[1]OUT_TransportEnergyCons!$B$3:$B$1000)*1,ISNUMBER(SEARCH("nga",[1]OUT_TransportEnergyCons!$C$3:$C$1000))*1,[1]OUT_TransportEnergyCons!L$3:L$1000)</f>
        <v>0</v>
      </c>
      <c r="O1346" s="1" cm="1">
        <f t="array" ref="O1346">SUMPRODUCT(("T_B_u-ICEngaEXT"=[1]OUT_TransportEnergyCons!$A$3:$A$1000)*1,("Var_Fin"=[1]OUT_TransportEnergyCons!$B$3:$B$1000)*1,ISNUMBER(SEARCH("nga",[1]OUT_TransportEnergyCons!$C$3:$C$1000))*1,[1]OUT_TransportEnergyCons!M$3:M$1000)</f>
        <v>0</v>
      </c>
      <c r="P1346" s="1" cm="1">
        <f t="array" ref="P1346">SUMPRODUCT(("T_B_u-ICEngaEXT"=[1]OUT_TransportEnergyCons!$A$3:$A$1000)*1,("Var_Fin"=[1]OUT_TransportEnergyCons!$B$3:$B$1000)*1,ISNUMBER(SEARCH("nga",[1]OUT_TransportEnergyCons!$C$3:$C$1000))*1,[1]OUT_TransportEnergyCons!N$3:N$1000)</f>
        <v>0</v>
      </c>
      <c r="Q1346" s="1" cm="1">
        <f t="array" ref="Q1346">SUMPRODUCT(("T_B_u-ICEngaEXT"=[1]OUT_TransportEnergyCons!$A$3:$A$1000)*1,("Var_Fin"=[1]OUT_TransportEnergyCons!$B$3:$B$1000)*1,ISNUMBER(SEARCH("nga",[1]OUT_TransportEnergyCons!$C$3:$C$1000))*1,[1]OUT_TransportEnergyCons!O$3:O$1000)</f>
        <v>0</v>
      </c>
      <c r="S1346" s="3"/>
    </row>
    <row r="1347" spans="2:19" x14ac:dyDescent="0.5">
      <c r="B1347" s="5" t="str">
        <f t="shared" si="1478"/>
        <v>SPS1</v>
      </c>
      <c r="C1347" s="5" t="str">
        <f t="shared" si="1479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5.4957929723060301E-5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2.1949127665840264E-4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0</v>
      </c>
      <c r="J1347" s="1" cm="1">
        <f t="array" ref="J1347">SUMPRODUCT(("T_B_u-ICEnga-S1"=[1]OUT_TransportEnergyCons!$A$3:$A$1000)*1,("Var_Fin"=[1]OUT_TransportEnergyCons!$B$3:$B$1000)*1,ISNUMBER(SEARCH("nga",[1]OUT_TransportEnergyCons!$C$3:$C$1000))*1,[1]OUT_TransportEnergyCons!H$3:H$1000)</f>
        <v>0</v>
      </c>
      <c r="K1347" s="1" cm="1">
        <f t="array" ref="K1347">SUMPRODUCT(("T_B_u-ICEnga-S1"=[1]OUT_TransportEnergyCons!$A$3:$A$1000)*1,("Var_Fin"=[1]OUT_TransportEnergyCons!$B$3:$B$1000)*1,ISNUMBER(SEARCH("nga",[1]OUT_TransportEnergyCons!$C$3:$C$1000))*1,[1]OUT_TransportEnergyCons!I$3:I$1000)</f>
        <v>0</v>
      </c>
      <c r="L1347" s="1" cm="1">
        <f t="array" ref="L1347">SUMPRODUCT(("T_B_u-ICEnga-S1"=[1]OUT_TransportEnergyCons!$A$3:$A$1000)*1,("Var_Fin"=[1]OUT_TransportEnergyCons!$B$3:$B$1000)*1,ISNUMBER(SEARCH("nga",[1]OUT_TransportEnergyCons!$C$3:$C$1000))*1,[1]OUT_TransportEnergyCons!J$3:J$1000)</f>
        <v>0</v>
      </c>
      <c r="M1347" s="1" cm="1">
        <f t="array" ref="M1347">SUMPRODUCT(("T_B_u-ICEnga-S1"=[1]OUT_TransportEnergyCons!$A$3:$A$1000)*1,("Var_Fin"=[1]OUT_TransportEnergyCons!$B$3:$B$1000)*1,ISNUMBER(SEARCH("nga",[1]OUT_TransportEnergyCons!$C$3:$C$1000))*1,[1]OUT_TransportEnergyCons!K$3:K$1000)</f>
        <v>0</v>
      </c>
      <c r="N1347" s="1" cm="1">
        <f t="array" ref="N1347">SUMPRODUCT(("T_B_u-ICEnga-S1"=[1]OUT_TransportEnergyCons!$A$3:$A$1000)*1,("Var_Fin"=[1]OUT_TransportEnergyCons!$B$3:$B$1000)*1,ISNUMBER(SEARCH("nga",[1]OUT_TransportEnergyCons!$C$3:$C$1000))*1,[1]OUT_TransportEnergyCons!L$3:L$1000)</f>
        <v>0</v>
      </c>
      <c r="O1347" s="1" cm="1">
        <f t="array" ref="O1347">SUMPRODUCT(("T_B_u-ICEnga-S1"=[1]OUT_TransportEnergyCons!$A$3:$A$1000)*1,("Var_Fin"=[1]OUT_TransportEnergyCons!$B$3:$B$1000)*1,ISNUMBER(SEARCH("nga",[1]OUT_TransportEnergyCons!$C$3:$C$1000))*1,[1]OUT_TransportEnergyCons!M$3:M$1000)</f>
        <v>0</v>
      </c>
      <c r="P1347" s="1" cm="1">
        <f t="array" ref="P1347">SUMPRODUCT(("T_B_u-ICEnga-S1"=[1]OUT_TransportEnergyCons!$A$3:$A$1000)*1,("Var_Fin"=[1]OUT_TransportEnergyCons!$B$3:$B$1000)*1,ISNUMBER(SEARCH("nga",[1]OUT_TransportEnergyCons!$C$3:$C$1000))*1,[1]OUT_TransportEnergyCons!N$3:N$1000)</f>
        <v>0</v>
      </c>
      <c r="Q1347" s="1" cm="1">
        <f t="array" ref="Q1347">SUMPRODUCT(("T_B_u-ICEnga-S1"=[1]OUT_TransportEnergyCons!$A$3:$A$1000)*1,("Var_Fin"=[1]OUT_TransportEnergyCons!$B$3:$B$1000)*1,ISNUMBER(SEARCH("nga",[1]OUT_TransportEnergyCons!$C$3:$C$1000))*1,[1]OUT_TransportEnergyCons!O$3:O$1000)</f>
        <v>0</v>
      </c>
      <c r="S1347" s="3"/>
    </row>
    <row r="1348" spans="2:19" x14ac:dyDescent="0.5">
      <c r="B1348" s="5" t="str">
        <f t="shared" si="1478"/>
        <v>SPS1</v>
      </c>
      <c r="C1348" s="5" t="str">
        <f t="shared" si="1479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4.037498227481781E-5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3.9260804390392164E-4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SUMPRODUCT(("T_B_u-ICEnga-S2"=[1]OUT_TransportEnergyCons!$A$3:$A$1000)*1,("Var_Fin"=[1]OUT_TransportEnergyCons!$B$3:$B$1000)*1,ISNUMBER(SEARCH("nga",[1]OUT_TransportEnergyCons!$C$3:$C$1000))*1,[1]OUT_TransportEnergyCons!H$3:H$1000)</f>
        <v>0</v>
      </c>
      <c r="K1348" s="1" cm="1">
        <f t="array" ref="K1348">SUMPRODUCT(("T_B_u-ICEnga-S2"=[1]OUT_TransportEnergyCons!$A$3:$A$1000)*1,("Var_Fin"=[1]OUT_TransportEnergyCons!$B$3:$B$1000)*1,ISNUMBER(SEARCH("nga",[1]OUT_TransportEnergyCons!$C$3:$C$1000))*1,[1]OUT_TransportEnergyCons!I$3:I$1000)</f>
        <v>0</v>
      </c>
      <c r="L1348" s="1" cm="1">
        <f t="array" ref="L1348">SUMPRODUCT(("T_B_u-ICEnga-S2"=[1]OUT_TransportEnergyCons!$A$3:$A$1000)*1,("Var_Fin"=[1]OUT_TransportEnergyCons!$B$3:$B$1000)*1,ISNUMBER(SEARCH("nga",[1]OUT_TransportEnergyCons!$C$3:$C$1000))*1,[1]OUT_TransportEnergyCons!J$3:J$1000)</f>
        <v>0</v>
      </c>
      <c r="M1348" s="1" cm="1">
        <f t="array" ref="M1348">SUMPRODUCT(("T_B_u-ICEnga-S2"=[1]OUT_TransportEnergyCons!$A$3:$A$1000)*1,("Var_Fin"=[1]OUT_TransportEnergyCons!$B$3:$B$1000)*1,ISNUMBER(SEARCH("nga",[1]OUT_TransportEnergyCons!$C$3:$C$1000))*1,[1]OUT_TransportEnergyCons!K$3:K$1000)</f>
        <v>0</v>
      </c>
      <c r="N1348" s="1" cm="1">
        <f t="array" ref="N1348">SUMPRODUCT(("T_B_u-ICEnga-S2"=[1]OUT_TransportEnergyCons!$A$3:$A$1000)*1,("Var_Fin"=[1]OUT_TransportEnergyCons!$B$3:$B$1000)*1,ISNUMBER(SEARCH("nga",[1]OUT_TransportEnergyCons!$C$3:$C$1000))*1,[1]OUT_TransportEnergyCons!L$3:L$1000)</f>
        <v>0</v>
      </c>
      <c r="O1348" s="1" cm="1">
        <f t="array" ref="O1348">SUMPRODUCT(("T_B_u-ICEnga-S2"=[1]OUT_TransportEnergyCons!$A$3:$A$1000)*1,("Var_Fin"=[1]OUT_TransportEnergyCons!$B$3:$B$1000)*1,ISNUMBER(SEARCH("nga",[1]OUT_TransportEnergyCons!$C$3:$C$1000))*1,[1]OUT_TransportEnergyCons!M$3:M$1000)</f>
        <v>0</v>
      </c>
      <c r="P1348" s="1" cm="1">
        <f t="array" ref="P1348">SUMPRODUCT(("T_B_u-ICEnga-S2"=[1]OUT_TransportEnergyCons!$A$3:$A$1000)*1,("Var_Fin"=[1]OUT_TransportEnergyCons!$B$3:$B$1000)*1,ISNUMBER(SEARCH("nga",[1]OUT_TransportEnergyCons!$C$3:$C$1000))*1,[1]OUT_TransportEnergyCons!N$3:N$1000)</f>
        <v>0</v>
      </c>
      <c r="Q1348" s="1" cm="1">
        <f t="array" ref="Q1348">SUMPRODUCT(("T_B_u-ICEnga-S2"=[1]OUT_TransportEnergyCons!$A$3:$A$1000)*1,("Var_Fin"=[1]OUT_TransportEnergyCons!$B$3:$B$1000)*1,ISNUMBER(SEARCH("nga",[1]OUT_TransportEnergyCons!$C$3:$C$1000))*1,[1]OUT_TransportEnergyCons!O$3:O$1000)</f>
        <v>0</v>
      </c>
      <c r="S1348" s="3"/>
    </row>
    <row r="1349" spans="2:19" x14ac:dyDescent="0.5">
      <c r="B1349" s="5" t="str">
        <f t="shared" si="1478"/>
        <v>SPS1</v>
      </c>
      <c r="C1349" s="5" t="str">
        <f t="shared" si="1479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3.0606737064476555E-5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6.0397249732019025E-3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0</v>
      </c>
      <c r="J1349" s="1" cm="1">
        <f t="array" ref="J1349">SUMPRODUCT(("T_B_u-ICEnga-S3"=[1]OUT_TransportEnergyCons!$A$3:$A$1000)*1,("Var_Fin"=[1]OUT_TransportEnergyCons!$B$3:$B$1000)*1,ISNUMBER(SEARCH("nga",[1]OUT_TransportEnergyCons!$C$3:$C$1000))*1,[1]OUT_TransportEnergyCons!H$3:H$1000)</f>
        <v>0</v>
      </c>
      <c r="K1349" s="1" cm="1">
        <f t="array" ref="K1349">SUMPRODUCT(("T_B_u-ICEnga-S3"=[1]OUT_TransportEnergyCons!$A$3:$A$1000)*1,("Var_Fin"=[1]OUT_TransportEnergyCons!$B$3:$B$1000)*1,ISNUMBER(SEARCH("nga",[1]OUT_TransportEnergyCons!$C$3:$C$1000))*1,[1]OUT_TransportEnergyCons!I$3:I$1000)</f>
        <v>0</v>
      </c>
      <c r="L1349" s="1" cm="1">
        <f t="array" ref="L1349">SUMPRODUCT(("T_B_u-ICEnga-S3"=[1]OUT_TransportEnergyCons!$A$3:$A$1000)*1,("Var_Fin"=[1]OUT_TransportEnergyCons!$B$3:$B$1000)*1,ISNUMBER(SEARCH("nga",[1]OUT_TransportEnergyCons!$C$3:$C$1000))*1,[1]OUT_TransportEnergyCons!J$3:J$1000)</f>
        <v>0</v>
      </c>
      <c r="M1349" s="1" cm="1">
        <f t="array" ref="M1349">SUMPRODUCT(("T_B_u-ICEnga-S3"=[1]OUT_TransportEnergyCons!$A$3:$A$1000)*1,("Var_Fin"=[1]OUT_TransportEnergyCons!$B$3:$B$1000)*1,ISNUMBER(SEARCH("nga",[1]OUT_TransportEnergyCons!$C$3:$C$1000))*1,[1]OUT_TransportEnergyCons!K$3:K$1000)</f>
        <v>0</v>
      </c>
      <c r="N1349" s="1" cm="1">
        <f t="array" ref="N1349">SUMPRODUCT(("T_B_u-ICEnga-S3"=[1]OUT_TransportEnergyCons!$A$3:$A$1000)*1,("Var_Fin"=[1]OUT_TransportEnergyCons!$B$3:$B$1000)*1,ISNUMBER(SEARCH("nga",[1]OUT_TransportEnergyCons!$C$3:$C$1000))*1,[1]OUT_TransportEnergyCons!L$3:L$1000)</f>
        <v>0</v>
      </c>
      <c r="O1349" s="1" cm="1">
        <f t="array" ref="O1349">SUMPRODUCT(("T_B_u-ICEnga-S3"=[1]OUT_TransportEnergyCons!$A$3:$A$1000)*1,("Var_Fin"=[1]OUT_TransportEnergyCons!$B$3:$B$1000)*1,ISNUMBER(SEARCH("nga",[1]OUT_TransportEnergyCons!$C$3:$C$1000))*1,[1]OUT_TransportEnergyCons!M$3:M$1000)</f>
        <v>0</v>
      </c>
      <c r="P1349" s="1" cm="1">
        <f t="array" ref="P1349">SUMPRODUCT(("T_B_u-ICEnga-S3"=[1]OUT_TransportEnergyCons!$A$3:$A$1000)*1,("Var_Fin"=[1]OUT_TransportEnergyCons!$B$3:$B$1000)*1,ISNUMBER(SEARCH("nga",[1]OUT_TransportEnergyCons!$C$3:$C$1000))*1,[1]OUT_TransportEnergyCons!N$3:N$1000)</f>
        <v>0</v>
      </c>
      <c r="Q1349" s="1" cm="1">
        <f t="array" ref="Q1349">SUMPRODUCT(("T_B_u-ICEnga-S3"=[1]OUT_TransportEnergyCons!$A$3:$A$1000)*1,("Var_Fin"=[1]OUT_TransportEnergyCons!$B$3:$B$1000)*1,ISNUMBER(SEARCH("nga",[1]OUT_TransportEnergyCons!$C$3:$C$1000))*1,[1]OUT_TransportEnergyCons!O$3:O$1000)</f>
        <v>0</v>
      </c>
      <c r="S1349" s="3"/>
    </row>
    <row r="1350" spans="2:19" x14ac:dyDescent="0.5">
      <c r="B1350" s="5" t="str">
        <f t="shared" si="1478"/>
        <v>SPS1</v>
      </c>
      <c r="C1350" s="5" t="str">
        <f t="shared" si="1479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0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1.06410391863441E-6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SUMPRODUCT(("T_B_u-ICEnga-S4"=[1]OUT_TransportEnergyCons!$A$3:$A$1000)*1,("Var_Fin"=[1]OUT_TransportEnergyCons!$B$3:$B$1000)*1,ISNUMBER(SEARCH("nga",[1]OUT_TransportEnergyCons!$C$3:$C$1000))*1,[1]OUT_TransportEnergyCons!H$3:H$1000)</f>
        <v>0</v>
      </c>
      <c r="K1350" s="1" cm="1">
        <f t="array" ref="K1350">SUMPRODUCT(("T_B_u-ICEnga-S4"=[1]OUT_TransportEnergyCons!$A$3:$A$1000)*1,("Var_Fin"=[1]OUT_TransportEnergyCons!$B$3:$B$1000)*1,ISNUMBER(SEARCH("nga",[1]OUT_TransportEnergyCons!$C$3:$C$1000))*1,[1]OUT_TransportEnergyCons!I$3:I$1000)</f>
        <v>0</v>
      </c>
      <c r="L1350" s="1" cm="1">
        <f t="array" ref="L1350">SUMPRODUCT(("T_B_u-ICEnga-S4"=[1]OUT_TransportEnergyCons!$A$3:$A$1000)*1,("Var_Fin"=[1]OUT_TransportEnergyCons!$B$3:$B$1000)*1,ISNUMBER(SEARCH("nga",[1]OUT_TransportEnergyCons!$C$3:$C$1000))*1,[1]OUT_TransportEnergyCons!J$3:J$1000)</f>
        <v>0</v>
      </c>
      <c r="M1350" s="1" cm="1">
        <f t="array" ref="M1350">SUMPRODUCT(("T_B_u-ICEnga-S4"=[1]OUT_TransportEnergyCons!$A$3:$A$1000)*1,("Var_Fin"=[1]OUT_TransportEnergyCons!$B$3:$B$1000)*1,ISNUMBER(SEARCH("nga",[1]OUT_TransportEnergyCons!$C$3:$C$1000))*1,[1]OUT_TransportEnergyCons!K$3:K$1000)</f>
        <v>0</v>
      </c>
      <c r="N1350" s="1" cm="1">
        <f t="array" ref="N1350">SUMPRODUCT(("T_B_u-ICEnga-S4"=[1]OUT_TransportEnergyCons!$A$3:$A$1000)*1,("Var_Fin"=[1]OUT_TransportEnergyCons!$B$3:$B$1000)*1,ISNUMBER(SEARCH("nga",[1]OUT_TransportEnergyCons!$C$3:$C$1000))*1,[1]OUT_TransportEnergyCons!L$3:L$1000)</f>
        <v>0</v>
      </c>
      <c r="O1350" s="1" cm="1">
        <f t="array" ref="O1350">SUMPRODUCT(("T_B_u-ICEnga-S4"=[1]OUT_TransportEnergyCons!$A$3:$A$1000)*1,("Var_Fin"=[1]OUT_TransportEnergyCons!$B$3:$B$1000)*1,ISNUMBER(SEARCH("nga",[1]OUT_TransportEnergyCons!$C$3:$C$1000))*1,[1]OUT_TransportEnergyCons!M$3:M$1000)</f>
        <v>0</v>
      </c>
      <c r="P1350" s="1" cm="1">
        <f t="array" ref="P1350">SUMPRODUCT(("T_B_u-ICEnga-S4"=[1]OUT_TransportEnergyCons!$A$3:$A$1000)*1,("Var_Fin"=[1]OUT_TransportEnergyCons!$B$3:$B$1000)*1,ISNUMBER(SEARCH("nga",[1]OUT_TransportEnergyCons!$C$3:$C$1000))*1,[1]OUT_TransportEnergyCons!N$3:N$1000)</f>
        <v>0</v>
      </c>
      <c r="Q1350" s="1" cm="1">
        <f t="array" ref="Q1350">SUMPRODUCT(("T_B_u-ICEnga-S4"=[1]OUT_TransportEnergyCons!$A$3:$A$1000)*1,("Var_Fin"=[1]OUT_TransportEnergyCons!$B$3:$B$1000)*1,ISNUMBER(SEARCH("nga",[1]OUT_TransportEnergyCons!$C$3:$C$1000))*1,[1]OUT_TransportEnergyCons!O$3:O$1000)</f>
        <v>0</v>
      </c>
      <c r="S1350" s="3"/>
    </row>
    <row r="1351" spans="2:19" x14ac:dyDescent="0.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0.29536598034197731</v>
      </c>
      <c r="G1351" s="3">
        <f t="shared" ref="G1351:K1351" si="1502">SUM(G1352:G1374)</f>
        <v>0.30113863634191312</v>
      </c>
      <c r="H1351" s="3">
        <f t="shared" si="1502"/>
        <v>0.30982304076987921</v>
      </c>
      <c r="I1351" s="3">
        <f t="shared" si="1502"/>
        <v>0.32430260571416059</v>
      </c>
      <c r="J1351" s="3">
        <f t="shared" si="1502"/>
        <v>0.33845662145760413</v>
      </c>
      <c r="K1351" s="3">
        <f t="shared" si="1502"/>
        <v>0.352847701790447</v>
      </c>
      <c r="L1351" s="3">
        <f t="shared" ref="L1351:O1351" si="1503">SUM(L1352:L1374)</f>
        <v>0.3651458241820903</v>
      </c>
      <c r="M1351" s="3">
        <f t="shared" si="1503"/>
        <v>0.37744603840408808</v>
      </c>
      <c r="N1351" s="3">
        <f t="shared" si="1503"/>
        <v>0.38803668084917015</v>
      </c>
      <c r="O1351" s="3">
        <f t="shared" si="1503"/>
        <v>0.39908241497074748</v>
      </c>
      <c r="P1351" s="3">
        <f>SUM(P1352:P1374)</f>
        <v>0.41127921766549647</v>
      </c>
      <c r="Q1351" s="3">
        <f>SUM(Q1352:Q1374)</f>
        <v>0.42532506078555199</v>
      </c>
      <c r="S1351" s="3"/>
    </row>
    <row r="1352" spans="2:19" x14ac:dyDescent="0.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1.9977069083028367E-3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1.6035614991149526E-3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1.0023590806008595E-3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SUMPRODUCT(("T_B_u-BeVELCEXT"=[1]OUT_TransportEnergyCons!$A$3:$A$1000)*1,("var_fout"=[1]OUT_TransportEnergyCons!$B$3:$B$1000)*1,ISNUMBER(SEARCH("tpbsu",[1]OUT_TransportEnergyCons!$C$3:$C$1000))*1,[1]OUT_TransportEnergyCons!H$3:H$1000)</f>
        <v>0</v>
      </c>
      <c r="K1352" s="1" cm="1">
        <f t="array" ref="K1352">SUMPRODUCT(("T_B_u-BeVELCEXT"=[1]OUT_TransportEnergyCons!$A$3:$A$1000)*1,("var_fout"=[1]OUT_TransportEnergyCons!$B$3:$B$1000)*1,ISNUMBER(SEARCH("tpbsu",[1]OUT_TransportEnergyCons!$C$3:$C$1000))*1,[1]OUT_TransportEnergyCons!I$3:I$1000)</f>
        <v>0</v>
      </c>
      <c r="L1352" s="1" cm="1">
        <f t="array" ref="L1352">SUMPRODUCT(("T_B_u-BeVELCEXT"=[1]OUT_TransportEnergyCons!$A$3:$A$1000)*1,("var_fout"=[1]OUT_TransportEnergyCons!$B$3:$B$1000)*1,ISNUMBER(SEARCH("tpbsu",[1]OUT_TransportEnergyCons!$C$3:$C$1000))*1,[1]OUT_TransportEnergyCons!J$3:J$1000)</f>
        <v>0</v>
      </c>
      <c r="M1352" s="1" cm="1">
        <f t="array" ref="M1352">SUMPRODUCT(("T_B_u-BeVELCEXT"=[1]OUT_TransportEnergyCons!$A$3:$A$1000)*1,("var_fout"=[1]OUT_TransportEnergyCons!$B$3:$B$1000)*1,ISNUMBER(SEARCH("tpbsu",[1]OUT_TransportEnergyCons!$C$3:$C$1000))*1,[1]OUT_TransportEnergyCons!K$3:K$1000)</f>
        <v>0</v>
      </c>
      <c r="N1352" s="1" cm="1">
        <f t="array" ref="N1352">SUMPRODUCT(("T_B_u-BeVELCEXT"=[1]OUT_TransportEnergyCons!$A$3:$A$1000)*1,("var_fout"=[1]OUT_TransportEnergyCons!$B$3:$B$1000)*1,ISNUMBER(SEARCH("tpbsu",[1]OUT_TransportEnergyCons!$C$3:$C$1000))*1,[1]OUT_TransportEnergyCons!L$3:L$1000)</f>
        <v>0</v>
      </c>
      <c r="O1352" s="1" cm="1">
        <f t="array" ref="O1352">SUMPRODUCT(("T_B_u-BeVELCEXT"=[1]OUT_TransportEnergyCons!$A$3:$A$1000)*1,("var_fout"=[1]OUT_TransportEnergyCons!$B$3:$B$1000)*1,ISNUMBER(SEARCH("tpbsu",[1]OUT_TransportEnergyCons!$C$3:$C$1000))*1,[1]OUT_TransportEnergyCons!M$3:M$1000)</f>
        <v>0</v>
      </c>
      <c r="P1352" s="1" cm="1">
        <f t="array" ref="P1352">SUMPRODUCT(("T_B_u-BeVELCEXT"=[1]OUT_TransportEnergyCons!$A$3:$A$1000)*1,("var_fout"=[1]OUT_TransportEnergyCons!$B$3:$B$1000)*1,ISNUMBER(SEARCH("tpbsu",[1]OUT_TransportEnergyCons!$C$3:$C$1000))*1,[1]OUT_TransportEnergyCons!N$3:N$1000)</f>
        <v>0</v>
      </c>
      <c r="Q1352" s="1" cm="1">
        <f t="array" ref="Q1352">SUMPRODUCT(("T_B_u-BeVELCEXT"=[1]OUT_TransportEnergyCons!$A$3:$A$1000)*1,("var_fout"=[1]OUT_TransportEnergyCons!$B$3:$B$1000)*1,ISNUMBER(SEARCH("tpbsu",[1]OUT_TransportEnergyCons!$C$3:$C$1000))*1,[1]OUT_TransportEnergyCons!O$3:O$1000)</f>
        <v>0</v>
      </c>
      <c r="S1352" s="3"/>
    </row>
    <row r="1353" spans="2:19" x14ac:dyDescent="0.5">
      <c r="B1353" s="5" t="str">
        <f t="shared" ref="B1353:B1374" si="1504">B1352</f>
        <v>SPS1</v>
      </c>
      <c r="C1353" s="5" t="str">
        <f t="shared" ref="C1353:C1374" si="1505">C1352</f>
        <v>CH</v>
      </c>
      <c r="D1353" t="s">
        <v>1350</v>
      </c>
      <c r="E1353" t="str">
        <f t="shared" ref="E1353:E1374" si="1506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9.2431491361494799E-8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1.0841835938607265E-4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3.9379126307292271E-4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0.10881901664100545</v>
      </c>
      <c r="J1353" s="1" cm="1">
        <f t="array" ref="J1353">SUMPRODUCT(("T_B_u-BEVELC-S1"=[1]OUT_TransportEnergyCons!$A$3:$A$1000)*1,("var_fout"=[1]OUT_TransportEnergyCons!$B$3:$B$1000)*1,ISNUMBER(SEARCH("tpbsu",[1]OUT_TransportEnergyCons!$C$3:$C$1000))*1,[1]OUT_TransportEnergyCons!H$3:H$1000)</f>
        <v>0.11505713571772808</v>
      </c>
      <c r="K1353" s="1" cm="1">
        <f t="array" ref="K1353">SUMPRODUCT(("T_B_u-BEVELC-S1"=[1]OUT_TransportEnergyCons!$A$3:$A$1000)*1,("var_fout"=[1]OUT_TransportEnergyCons!$B$3:$B$1000)*1,ISNUMBER(SEARCH("tpbsu",[1]OUT_TransportEnergyCons!$C$3:$C$1000))*1,[1]OUT_TransportEnergyCons!I$3:I$1000)</f>
        <v>0.12009092868063459</v>
      </c>
      <c r="L1353" s="1" cm="1">
        <f t="array" ref="L1353">SUMPRODUCT(("T_B_u-BEVELC-S1"=[1]OUT_TransportEnergyCons!$A$3:$A$1000)*1,("var_fout"=[1]OUT_TransportEnergyCons!$B$3:$B$1000)*1,ISNUMBER(SEARCH("tpbsu",[1]OUT_TransportEnergyCons!$C$3:$C$1000))*1,[1]OUT_TransportEnergyCons!J$3:J$1000)</f>
        <v>0.12427714252680883</v>
      </c>
      <c r="M1353" s="1" cm="1">
        <f t="array" ref="M1353">SUMPRODUCT(("T_B_u-BEVELC-S1"=[1]OUT_TransportEnergyCons!$A$3:$A$1000)*1,("var_fout"=[1]OUT_TransportEnergyCons!$B$3:$B$1000)*1,ISNUMBER(SEARCH("tpbsu",[1]OUT_TransportEnergyCons!$C$3:$C$1000))*1,[1]OUT_TransportEnergyCons!K$3:K$1000)</f>
        <v>0.1284573033205465</v>
      </c>
      <c r="N1353" s="1" cm="1">
        <f t="array" ref="N1353">SUMPRODUCT(("T_B_u-BEVELC-S1"=[1]OUT_TransportEnergyCons!$A$3:$A$1000)*1,("var_fout"=[1]OUT_TransportEnergyCons!$B$3:$B$1000)*1,ISNUMBER(SEARCH("tpbsu",[1]OUT_TransportEnergyCons!$C$3:$C$1000))*1,[1]OUT_TransportEnergyCons!L$3:L$1000)</f>
        <v>0.13206606546997496</v>
      </c>
      <c r="O1353" s="1" cm="1">
        <f t="array" ref="O1353">SUMPRODUCT(("T_B_u-BEVELC-S1"=[1]OUT_TransportEnergyCons!$A$3:$A$1000)*1,("var_fout"=[1]OUT_TransportEnergyCons!$B$3:$B$1000)*1,ISNUMBER(SEARCH("tpbsu",[1]OUT_TransportEnergyCons!$C$3:$C$1000))*1,[1]OUT_TransportEnergyCons!M$3:M$1000)</f>
        <v>0.13582263670749897</v>
      </c>
      <c r="P1353" s="1" cm="1">
        <f t="array" ref="P1353">SUMPRODUCT(("T_B_u-BEVELC-S1"=[1]OUT_TransportEnergyCons!$A$3:$A$1000)*1,("var_fout"=[1]OUT_TransportEnergyCons!$B$3:$B$1000)*1,ISNUMBER(SEARCH("tpbsu",[1]OUT_TransportEnergyCons!$C$3:$C$1000))*1,[1]OUT_TransportEnergyCons!N$3:N$1000)</f>
        <v>0.13997207659730437</v>
      </c>
      <c r="Q1353" s="1" cm="1">
        <f t="array" ref="Q1353">SUMPRODUCT(("T_B_u-BEVELC-S1"=[1]OUT_TransportEnergyCons!$A$3:$A$1000)*1,("var_fout"=[1]OUT_TransportEnergyCons!$B$3:$B$1000)*1,ISNUMBER(SEARCH("tpbsu",[1]OUT_TransportEnergyCons!$C$3:$C$1000))*1,[1]OUT_TransportEnergyCons!O$3:O$1000)</f>
        <v>0.14474223329538838</v>
      </c>
      <c r="S1353" s="3"/>
    </row>
    <row r="1354" spans="2:19" x14ac:dyDescent="0.5">
      <c r="B1354" s="5" t="str">
        <f t="shared" si="1504"/>
        <v>SPS1</v>
      </c>
      <c r="C1354" s="5" t="str">
        <f t="shared" si="1505"/>
        <v>CH</v>
      </c>
      <c r="D1354" t="s">
        <v>1351</v>
      </c>
      <c r="E1354" t="str">
        <f t="shared" si="1506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2.4692819996175559E-4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4.5912601321202416E-4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7.1307506270570356E-4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3.9833514087483916E-2</v>
      </c>
      <c r="J1354" s="1" cm="1">
        <f t="array" ref="J1354">SUMPRODUCT(("T_B_u-BEVELC-S2"=[1]OUT_TransportEnergyCons!$A$3:$A$1000)*1,("var_fout"=[1]OUT_TransportEnergyCons!$B$3:$B$1000)*1,ISNUMBER(SEARCH("tpbsu",[1]OUT_TransportEnergyCons!$C$3:$C$1000))*1,[1]OUT_TransportEnergyCons!H$3:H$1000)</f>
        <v>4.1572693669967117E-2</v>
      </c>
      <c r="K1354" s="1" cm="1">
        <f t="array" ref="K1354">SUMPRODUCT(("T_B_u-BEVELC-S2"=[1]OUT_TransportEnergyCons!$A$3:$A$1000)*1,("var_fout"=[1]OUT_TransportEnergyCons!$B$3:$B$1000)*1,ISNUMBER(SEARCH("tpbsu",[1]OUT_TransportEnergyCons!$C$3:$C$1000))*1,[1]OUT_TransportEnergyCons!I$3:I$1000)</f>
        <v>4.3340633233137554E-2</v>
      </c>
      <c r="L1354" s="1" cm="1">
        <f t="array" ref="L1354">SUMPRODUCT(("T_B_u-BEVELC-S2"=[1]OUT_TransportEnergyCons!$A$3:$A$1000)*1,("var_fout"=[1]OUT_TransportEnergyCons!$B$3:$B$1000)*1,ISNUMBER(SEARCH("tpbsu",[1]OUT_TransportEnergyCons!$C$3:$C$1000))*1,[1]OUT_TransportEnergyCons!J$3:J$1000)</f>
        <v>4.4851086288904184E-2</v>
      </c>
      <c r="M1354" s="1" cm="1">
        <f t="array" ref="M1354">SUMPRODUCT(("T_B_u-BEVELC-S2"=[1]OUT_TransportEnergyCons!$A$3:$A$1000)*1,("var_fout"=[1]OUT_TransportEnergyCons!$B$3:$B$1000)*1,ISNUMBER(SEARCH("tpbsu",[1]OUT_TransportEnergyCons!$C$3:$C$1000))*1,[1]OUT_TransportEnergyCons!K$3:K$1000)</f>
        <v>4.6362120092690536E-2</v>
      </c>
      <c r="N1354" s="1" cm="1">
        <f t="array" ref="N1354">SUMPRODUCT(("T_B_u-BEVELC-S2"=[1]OUT_TransportEnergyCons!$A$3:$A$1000)*1,("var_fout"=[1]OUT_TransportEnergyCons!$B$3:$B$1000)*1,ISNUMBER(SEARCH("tpbsu",[1]OUT_TransportEnergyCons!$C$3:$C$1000))*1,[1]OUT_TransportEnergyCons!L$3:L$1000)</f>
        <v>4.7663359530207547E-2</v>
      </c>
      <c r="O1354" s="1" cm="1">
        <f t="array" ref="O1354">SUMPRODUCT(("T_B_u-BEVELC-S2"=[1]OUT_TransportEnergyCons!$A$3:$A$1000)*1,("var_fout"=[1]OUT_TransportEnergyCons!$B$3:$B$1000)*1,ISNUMBER(SEARCH("tpbsu",[1]OUT_TransportEnergyCons!$C$3:$C$1000))*1,[1]OUT_TransportEnergyCons!M$3:M$1000)</f>
        <v>4.9020323755239237E-2</v>
      </c>
      <c r="P1354" s="1" cm="1">
        <f t="array" ref="P1354">SUMPRODUCT(("T_B_u-BEVELC-S2"=[1]OUT_TransportEnergyCons!$A$3:$A$1000)*1,("var_fout"=[1]OUT_TransportEnergyCons!$B$3:$B$1000)*1,ISNUMBER(SEARCH("tpbsu",[1]OUT_TransportEnergyCons!$C$3:$C$1000))*1,[1]OUT_TransportEnergyCons!N$3:N$1000)</f>
        <v>5.0518156710377203E-2</v>
      </c>
      <c r="Q1354" s="1" cm="1">
        <f t="array" ref="Q1354">SUMPRODUCT(("T_B_u-BEVELC-S2"=[1]OUT_TransportEnergyCons!$A$3:$A$1000)*1,("var_fout"=[1]OUT_TransportEnergyCons!$B$3:$B$1000)*1,ISNUMBER(SEARCH("tpbsu",[1]OUT_TransportEnergyCons!$C$3:$C$1000))*1,[1]OUT_TransportEnergyCons!O$3:O$1000)</f>
        <v>5.2243525856306809E-2</v>
      </c>
      <c r="S1354" s="3"/>
    </row>
    <row r="1355" spans="2:19" x14ac:dyDescent="0.5">
      <c r="B1355" s="5" t="str">
        <f t="shared" si="1504"/>
        <v>SPS1</v>
      </c>
      <c r="C1355" s="5" t="str">
        <f t="shared" si="1505"/>
        <v>CH</v>
      </c>
      <c r="D1355" t="s">
        <v>1352</v>
      </c>
      <c r="E1355" t="str">
        <f t="shared" si="1506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5.9713902371256111E-4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1.3404188790977066E-3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1.5244521059460212E-3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0.17409002802022175</v>
      </c>
      <c r="J1355" s="1" cm="1">
        <f t="array" ref="J1355">SUMPRODUCT(("T_B_u-BEVELC-S3"=[1]OUT_TransportEnergyCons!$A$3:$A$1000)*1,("var_fout"=[1]OUT_TransportEnergyCons!$B$3:$B$1000)*1,ISNUMBER(SEARCH("tpbsu",[1]OUT_TransportEnergyCons!$C$3:$C$1000))*1,[1]OUT_TransportEnergyCons!H$3:H$1000)</f>
        <v>0.18168537215538966</v>
      </c>
      <c r="K1355" s="1" cm="1">
        <f t="array" ref="K1355">SUMPRODUCT(("T_B_u-BEVELC-S3"=[1]OUT_TransportEnergyCons!$A$3:$A$1000)*1,("var_fout"=[1]OUT_TransportEnergyCons!$B$3:$B$1000)*1,ISNUMBER(SEARCH("tpbsu",[1]OUT_TransportEnergyCons!$C$3:$C$1000))*1,[1]OUT_TransportEnergyCons!I$3:I$1000)</f>
        <v>0.18941113497727979</v>
      </c>
      <c r="L1355" s="1" cm="1">
        <f t="array" ref="L1355">SUMPRODUCT(("T_B_u-BEVELC-S3"=[1]OUT_TransportEnergyCons!$A$3:$A$1000)*1,("var_fout"=[1]OUT_TransportEnergyCons!$B$3:$B$1000)*1,ISNUMBER(SEARCH("tpbsu",[1]OUT_TransportEnergyCons!$C$3:$C$1000))*1,[1]OUT_TransportEnergyCons!J$3:J$1000)</f>
        <v>0.19601269274967809</v>
      </c>
      <c r="M1355" s="1" cm="1">
        <f t="array" ref="M1355">SUMPRODUCT(("T_B_u-BEVELC-S3"=[1]OUT_TransportEnergyCons!$A$3:$A$1000)*1,("var_fout"=[1]OUT_TransportEnergyCons!$B$3:$B$1000)*1,ISNUMBER(SEARCH("tpbsu",[1]OUT_TransportEnergyCons!$C$3:$C$1000))*1,[1]OUT_TransportEnergyCons!K$3:K$1000)</f>
        <v>0.20261460559134309</v>
      </c>
      <c r="N1355" s="1" cm="1">
        <f t="array" ref="N1355">SUMPRODUCT(("T_B_u-BEVELC-S3"=[1]OUT_TransportEnergyCons!$A$3:$A$1000)*1,("var_fout"=[1]OUT_TransportEnergyCons!$B$3:$B$1000)*1,ISNUMBER(SEARCH("tpbsu",[1]OUT_TransportEnergyCons!$C$3:$C$1000))*1,[1]OUT_TransportEnergyCons!L$3:L$1000)</f>
        <v>0.20829995179788757</v>
      </c>
      <c r="O1355" s="1" cm="1">
        <f t="array" ref="O1355">SUMPRODUCT(("T_B_u-BEVELC-S3"=[1]OUT_TransportEnergyCons!$A$3:$A$1000)*1,("var_fout"=[1]OUT_TransportEnergyCons!$B$3:$B$1000)*1,ISNUMBER(SEARCH("tpbsu",[1]OUT_TransportEnergyCons!$C$3:$C$1000))*1,[1]OUT_TransportEnergyCons!M$3:M$1000)</f>
        <v>0.21422905572643205</v>
      </c>
      <c r="P1355" s="1" cm="1">
        <f t="array" ref="P1355">SUMPRODUCT(("T_B_u-BEVELC-S3"=[1]OUT_TransportEnergyCons!$A$3:$A$1000)*1,("var_fout"=[1]OUT_TransportEnergyCons!$B$3:$B$1000)*1,ISNUMBER(SEARCH("tpbsu",[1]OUT_TransportEnergyCons!$C$3:$C$1000))*1,[1]OUT_TransportEnergyCons!N$3:N$1000)</f>
        <v>0.22077585903896388</v>
      </c>
      <c r="Q1355" s="1" cm="1">
        <f t="array" ref="Q1355">SUMPRODUCT(("T_B_u-BEVELC-S3"=[1]OUT_TransportEnergyCons!$A$3:$A$1000)*1,("var_fout"=[1]OUT_TransportEnergyCons!$B$3:$B$1000)*1,ISNUMBER(SEARCH("tpbsu",[1]OUT_TransportEnergyCons!$C$3:$C$1000))*1,[1]OUT_TransportEnergyCons!O$3:O$1000)</f>
        <v>0.22831580906067417</v>
      </c>
      <c r="S1355" s="3"/>
    </row>
    <row r="1356" spans="2:19" x14ac:dyDescent="0.5">
      <c r="B1356" s="5" t="str">
        <f t="shared" si="1504"/>
        <v>SPS1</v>
      </c>
      <c r="C1356" s="5" t="str">
        <f t="shared" si="1505"/>
        <v>CH</v>
      </c>
      <c r="D1356" t="s">
        <v>1353</v>
      </c>
      <c r="E1356" t="str">
        <f t="shared" si="1506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8.6216920767161067E-6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3.6215986874951096E-6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1.2495884993505614E-5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1.5544229870570042E-3</v>
      </c>
      <c r="J1356" s="1" cm="1">
        <f t="array" ref="J1356">SUMPRODUCT(("T_B_u-BEVELC-S4"=[1]OUT_TransportEnergyCons!$A$3:$A$1000)*1,("var_fout"=[1]OUT_TransportEnergyCons!$B$3:$B$1000)*1,ISNUMBER(SEARCH("tpbsu",[1]OUT_TransportEnergyCons!$C$3:$C$1000))*1,[1]OUT_TransportEnergyCons!H$3:H$1000)</f>
        <v>1.4141991451926763E-4</v>
      </c>
      <c r="K1356" s="1" cm="1">
        <f t="array" ref="K1356">SUMPRODUCT(("T_B_u-BEVELC-S4"=[1]OUT_TransportEnergyCons!$A$3:$A$1000)*1,("var_fout"=[1]OUT_TransportEnergyCons!$B$3:$B$1000)*1,ISNUMBER(SEARCH("tpbsu",[1]OUT_TransportEnergyCons!$C$3:$C$1000))*1,[1]OUT_TransportEnergyCons!I$3:I$1000)</f>
        <v>5.004899395008476E-6</v>
      </c>
      <c r="L1356" s="1" cm="1">
        <f t="array" ref="L1356">SUMPRODUCT(("T_B_u-BEVELC-S4"=[1]OUT_TransportEnergyCons!$A$3:$A$1000)*1,("var_fout"=[1]OUT_TransportEnergyCons!$B$3:$B$1000)*1,ISNUMBER(SEARCH("tpbsu",[1]OUT_TransportEnergyCons!$C$3:$C$1000))*1,[1]OUT_TransportEnergyCons!J$3:J$1000)</f>
        <v>4.9026166991708669E-6</v>
      </c>
      <c r="M1356" s="1" cm="1">
        <f t="array" ref="M1356">SUMPRODUCT(("T_B_u-BEVELC-S4"=[1]OUT_TransportEnergyCons!$A$3:$A$1000)*1,("var_fout"=[1]OUT_TransportEnergyCons!$B$3:$B$1000)*1,ISNUMBER(SEARCH("tpbsu",[1]OUT_TransportEnergyCons!$C$3:$C$1000))*1,[1]OUT_TransportEnergyCons!K$3:K$1000)</f>
        <v>1.2009399507958597E-5</v>
      </c>
      <c r="N1356" s="1" cm="1">
        <f t="array" ref="N1356">SUMPRODUCT(("T_B_u-BEVELC-S4"=[1]OUT_TransportEnergyCons!$A$3:$A$1000)*1,("var_fout"=[1]OUT_TransportEnergyCons!$B$3:$B$1000)*1,ISNUMBER(SEARCH("tpbsu",[1]OUT_TransportEnergyCons!$C$3:$C$1000))*1,[1]OUT_TransportEnergyCons!L$3:L$1000)</f>
        <v>7.3040511000627399E-6</v>
      </c>
      <c r="O1356" s="1" cm="1">
        <f t="array" ref="O1356">SUMPRODUCT(("T_B_u-BEVELC-S4"=[1]OUT_TransportEnergyCons!$A$3:$A$1000)*1,("var_fout"=[1]OUT_TransportEnergyCons!$B$3:$B$1000)*1,ISNUMBER(SEARCH("tpbsu",[1]OUT_TransportEnergyCons!$C$3:$C$1000))*1,[1]OUT_TransportEnergyCons!M$3:M$1000)</f>
        <v>1.0398781577212697E-5</v>
      </c>
      <c r="P1356" s="1" cm="1">
        <f t="array" ref="P1356">SUMPRODUCT(("T_B_u-BEVELC-S4"=[1]OUT_TransportEnergyCons!$A$3:$A$1000)*1,("var_fout"=[1]OUT_TransportEnergyCons!$B$3:$B$1000)*1,ISNUMBER(SEARCH("tpbsu",[1]OUT_TransportEnergyCons!$C$3:$C$1000))*1,[1]OUT_TransportEnergyCons!N$3:N$1000)</f>
        <v>1.3125318850996957E-5</v>
      </c>
      <c r="Q1356" s="1" cm="1">
        <f t="array" ref="Q1356">SUMPRODUCT(("T_B_u-BEVELC-S4"=[1]OUT_TransportEnergyCons!$A$3:$A$1000)*1,("var_fout"=[1]OUT_TransportEnergyCons!$B$3:$B$1000)*1,ISNUMBER(SEARCH("tpbsu",[1]OUT_TransportEnergyCons!$C$3:$C$1000))*1,[1]OUT_TransportEnergyCons!O$3:O$1000)</f>
        <v>2.349257318264758E-5</v>
      </c>
      <c r="S1356" s="3"/>
    </row>
    <row r="1357" spans="2:19" x14ac:dyDescent="0.5">
      <c r="B1357" s="5" t="str">
        <f t="shared" si="1504"/>
        <v>SPS1</v>
      </c>
      <c r="C1357" s="5" t="str">
        <f t="shared" si="1505"/>
        <v>CH</v>
      </c>
      <c r="D1357" t="s">
        <v>1354</v>
      </c>
      <c r="E1357" t="str">
        <f t="shared" si="1506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0</v>
      </c>
      <c r="J1357" s="1" cm="1">
        <f t="array" ref="J1357">SUMPRODUCT(("T_B_u-FCLH2O-S1"=[1]OUT_TransportEnergyCons!$A$3:$A$1000)*1,("var_fout"=[1]OUT_TransportEnergyCons!$B$3:$B$1000)*1,ISNUMBER(SEARCH("tpbsu",[1]OUT_TransportEnergyCons!$C$3:$C$1000))*1,[1]OUT_TransportEnergyCons!H$3:H$1000)</f>
        <v>0</v>
      </c>
      <c r="K1357" s="1" cm="1">
        <f t="array" ref="K1357">SUMPRODUCT(("T_B_u-FCLH2O-S1"=[1]OUT_TransportEnergyCons!$A$3:$A$1000)*1,("var_fout"=[1]OUT_TransportEnergyCons!$B$3:$B$1000)*1,ISNUMBER(SEARCH("tpbsu",[1]OUT_TransportEnergyCons!$C$3:$C$1000))*1,[1]OUT_TransportEnergyCons!I$3:I$1000)</f>
        <v>0</v>
      </c>
      <c r="L1357" s="1" cm="1">
        <f t="array" ref="L1357">SUMPRODUCT(("T_B_u-FCLH2O-S1"=[1]OUT_TransportEnergyCons!$A$3:$A$1000)*1,("var_fout"=[1]OUT_TransportEnergyCons!$B$3:$B$1000)*1,ISNUMBER(SEARCH("tpbsu",[1]OUT_TransportEnergyCons!$C$3:$C$1000))*1,[1]OUT_TransportEnergyCons!J$3:J$1000)</f>
        <v>0</v>
      </c>
      <c r="M1357" s="1" cm="1">
        <f t="array" ref="M1357">SUMPRODUCT(("T_B_u-FCLH2O-S1"=[1]OUT_TransportEnergyCons!$A$3:$A$1000)*1,("var_fout"=[1]OUT_TransportEnergyCons!$B$3:$B$1000)*1,ISNUMBER(SEARCH("tpbsu",[1]OUT_TransportEnergyCons!$C$3:$C$1000))*1,[1]OUT_TransportEnergyCons!K$3:K$1000)</f>
        <v>0</v>
      </c>
      <c r="N1357" s="1" cm="1">
        <f t="array" ref="N1357">SUMPRODUCT(("T_B_u-FCLH2O-S1"=[1]OUT_TransportEnergyCons!$A$3:$A$1000)*1,("var_fout"=[1]OUT_TransportEnergyCons!$B$3:$B$1000)*1,ISNUMBER(SEARCH("tpbsu",[1]OUT_TransportEnergyCons!$C$3:$C$1000))*1,[1]OUT_TransportEnergyCons!L$3:L$1000)</f>
        <v>0</v>
      </c>
      <c r="O1357" s="1" cm="1">
        <f t="array" ref="O1357">SUMPRODUCT(("T_B_u-FCLH2O-S1"=[1]OUT_TransportEnergyCons!$A$3:$A$1000)*1,("var_fout"=[1]OUT_TransportEnergyCons!$B$3:$B$1000)*1,ISNUMBER(SEARCH("tpbsu",[1]OUT_TransportEnergyCons!$C$3:$C$1000))*1,[1]OUT_TransportEnergyCons!M$3:M$1000)</f>
        <v>0</v>
      </c>
      <c r="P1357" s="1" cm="1">
        <f t="array" ref="P1357">SUMPRODUCT(("T_B_u-FCLH2O-S1"=[1]OUT_TransportEnergyCons!$A$3:$A$1000)*1,("var_fout"=[1]OUT_TransportEnergyCons!$B$3:$B$1000)*1,ISNUMBER(SEARCH("tpbsu",[1]OUT_TransportEnergyCons!$C$3:$C$1000))*1,[1]OUT_TransportEnergyCons!N$3:N$1000)</f>
        <v>0</v>
      </c>
      <c r="Q1357" s="1" cm="1">
        <f t="array" ref="Q1357">SUMPRODUCT(("T_B_u-FCLH2O-S1"=[1]OUT_TransportEnergyCons!$A$3:$A$1000)*1,("var_fout"=[1]OUT_TransportEnergyCons!$B$3:$B$1000)*1,ISNUMBER(SEARCH("tpbsu",[1]OUT_TransportEnergyCons!$C$3:$C$1000))*1,[1]OUT_TransportEnergyCons!O$3:O$1000)</f>
        <v>0</v>
      </c>
      <c r="S1357" s="3"/>
    </row>
    <row r="1358" spans="2:19" x14ac:dyDescent="0.5">
      <c r="B1358" s="5" t="str">
        <f t="shared" si="1504"/>
        <v>SPS1</v>
      </c>
      <c r="C1358" s="5" t="str">
        <f t="shared" si="1505"/>
        <v>CH</v>
      </c>
      <c r="D1358" t="s">
        <v>1355</v>
      </c>
      <c r="E1358" t="str">
        <f t="shared" si="1506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SUMPRODUCT(("T_B_u-FCLH2O-S2"=[1]OUT_TransportEnergyCons!$A$3:$A$1000)*1,("var_fout"=[1]OUT_TransportEnergyCons!$B$3:$B$1000)*1,ISNUMBER(SEARCH("tpbsu",[1]OUT_TransportEnergyCons!$C$3:$C$1000))*1,[1]OUT_TransportEnergyCons!H$3:H$1000)</f>
        <v>0</v>
      </c>
      <c r="K1358" s="1" cm="1">
        <f t="array" ref="K1358">SUMPRODUCT(("T_B_u-FCLH2O-S2"=[1]OUT_TransportEnergyCons!$A$3:$A$1000)*1,("var_fout"=[1]OUT_TransportEnergyCons!$B$3:$B$1000)*1,ISNUMBER(SEARCH("tpbsu",[1]OUT_TransportEnergyCons!$C$3:$C$1000))*1,[1]OUT_TransportEnergyCons!I$3:I$1000)</f>
        <v>0</v>
      </c>
      <c r="L1358" s="1" cm="1">
        <f t="array" ref="L1358">SUMPRODUCT(("T_B_u-FCLH2O-S2"=[1]OUT_TransportEnergyCons!$A$3:$A$1000)*1,("var_fout"=[1]OUT_TransportEnergyCons!$B$3:$B$1000)*1,ISNUMBER(SEARCH("tpbsu",[1]OUT_TransportEnergyCons!$C$3:$C$1000))*1,[1]OUT_TransportEnergyCons!J$3:J$1000)</f>
        <v>0</v>
      </c>
      <c r="M1358" s="1" cm="1">
        <f t="array" ref="M1358">SUMPRODUCT(("T_B_u-FCLH2O-S2"=[1]OUT_TransportEnergyCons!$A$3:$A$1000)*1,("var_fout"=[1]OUT_TransportEnergyCons!$B$3:$B$1000)*1,ISNUMBER(SEARCH("tpbsu",[1]OUT_TransportEnergyCons!$C$3:$C$1000))*1,[1]OUT_TransportEnergyCons!K$3:K$1000)</f>
        <v>0</v>
      </c>
      <c r="N1358" s="1" cm="1">
        <f t="array" ref="N1358">SUMPRODUCT(("T_B_u-FCLH2O-S2"=[1]OUT_TransportEnergyCons!$A$3:$A$1000)*1,("var_fout"=[1]OUT_TransportEnergyCons!$B$3:$B$1000)*1,ISNUMBER(SEARCH("tpbsu",[1]OUT_TransportEnergyCons!$C$3:$C$1000))*1,[1]OUT_TransportEnergyCons!L$3:L$1000)</f>
        <v>0</v>
      </c>
      <c r="O1358" s="1" cm="1">
        <f t="array" ref="O1358">SUMPRODUCT(("T_B_u-FCLH2O-S2"=[1]OUT_TransportEnergyCons!$A$3:$A$1000)*1,("var_fout"=[1]OUT_TransportEnergyCons!$B$3:$B$1000)*1,ISNUMBER(SEARCH("tpbsu",[1]OUT_TransportEnergyCons!$C$3:$C$1000))*1,[1]OUT_TransportEnergyCons!M$3:M$1000)</f>
        <v>0</v>
      </c>
      <c r="P1358" s="1" cm="1">
        <f t="array" ref="P1358">SUMPRODUCT(("T_B_u-FCLH2O-S2"=[1]OUT_TransportEnergyCons!$A$3:$A$1000)*1,("var_fout"=[1]OUT_TransportEnergyCons!$B$3:$B$1000)*1,ISNUMBER(SEARCH("tpbsu",[1]OUT_TransportEnergyCons!$C$3:$C$1000))*1,[1]OUT_TransportEnergyCons!N$3:N$1000)</f>
        <v>0</v>
      </c>
      <c r="Q1358" s="1" cm="1">
        <f t="array" ref="Q1358">SUMPRODUCT(("T_B_u-FCLH2O-S2"=[1]OUT_TransportEnergyCons!$A$3:$A$1000)*1,("var_fout"=[1]OUT_TransportEnergyCons!$B$3:$B$1000)*1,ISNUMBER(SEARCH("tpbsu",[1]OUT_TransportEnergyCons!$C$3:$C$1000))*1,[1]OUT_TransportEnergyCons!O$3:O$1000)</f>
        <v>0</v>
      </c>
      <c r="S1358" s="3"/>
    </row>
    <row r="1359" spans="2:19" x14ac:dyDescent="0.5">
      <c r="B1359" s="5" t="str">
        <f t="shared" si="1504"/>
        <v>SPS1</v>
      </c>
      <c r="C1359" s="5" t="str">
        <f t="shared" si="1505"/>
        <v>CH</v>
      </c>
      <c r="D1359" t="s">
        <v>1356</v>
      </c>
      <c r="E1359" t="str">
        <f t="shared" si="1506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0</v>
      </c>
      <c r="J1359" s="1" cm="1">
        <f t="array" ref="J1359">SUMPRODUCT(("T_B_u-FCLH2O-S3"=[1]OUT_TransportEnergyCons!$A$3:$A$1000)*1,("var_fout"=[1]OUT_TransportEnergyCons!$B$3:$B$1000)*1,ISNUMBER(SEARCH("tpbsu",[1]OUT_TransportEnergyCons!$C$3:$C$1000))*1,[1]OUT_TransportEnergyCons!H$3:H$1000)</f>
        <v>0</v>
      </c>
      <c r="K1359" s="1" cm="1">
        <f t="array" ref="K1359">SUMPRODUCT(("T_B_u-FCLH2O-S3"=[1]OUT_TransportEnergyCons!$A$3:$A$1000)*1,("var_fout"=[1]OUT_TransportEnergyCons!$B$3:$B$1000)*1,ISNUMBER(SEARCH("tpbsu",[1]OUT_TransportEnergyCons!$C$3:$C$1000))*1,[1]OUT_TransportEnergyCons!I$3:I$1000)</f>
        <v>0</v>
      </c>
      <c r="L1359" s="1" cm="1">
        <f t="array" ref="L1359">SUMPRODUCT(("T_B_u-FCLH2O-S3"=[1]OUT_TransportEnergyCons!$A$3:$A$1000)*1,("var_fout"=[1]OUT_TransportEnergyCons!$B$3:$B$1000)*1,ISNUMBER(SEARCH("tpbsu",[1]OUT_TransportEnergyCons!$C$3:$C$1000))*1,[1]OUT_TransportEnergyCons!J$3:J$1000)</f>
        <v>0</v>
      </c>
      <c r="M1359" s="1" cm="1">
        <f t="array" ref="M1359">SUMPRODUCT(("T_B_u-FCLH2O-S3"=[1]OUT_TransportEnergyCons!$A$3:$A$1000)*1,("var_fout"=[1]OUT_TransportEnergyCons!$B$3:$B$1000)*1,ISNUMBER(SEARCH("tpbsu",[1]OUT_TransportEnergyCons!$C$3:$C$1000))*1,[1]OUT_TransportEnergyCons!K$3:K$1000)</f>
        <v>0</v>
      </c>
      <c r="N1359" s="1" cm="1">
        <f t="array" ref="N1359">SUMPRODUCT(("T_B_u-FCLH2O-S3"=[1]OUT_TransportEnergyCons!$A$3:$A$1000)*1,("var_fout"=[1]OUT_TransportEnergyCons!$B$3:$B$1000)*1,ISNUMBER(SEARCH("tpbsu",[1]OUT_TransportEnergyCons!$C$3:$C$1000))*1,[1]OUT_TransportEnergyCons!L$3:L$1000)</f>
        <v>0</v>
      </c>
      <c r="O1359" s="1" cm="1">
        <f t="array" ref="O1359">SUMPRODUCT(("T_B_u-FCLH2O-S3"=[1]OUT_TransportEnergyCons!$A$3:$A$1000)*1,("var_fout"=[1]OUT_TransportEnergyCons!$B$3:$B$1000)*1,ISNUMBER(SEARCH("tpbsu",[1]OUT_TransportEnergyCons!$C$3:$C$1000))*1,[1]OUT_TransportEnergyCons!M$3:M$1000)</f>
        <v>0</v>
      </c>
      <c r="P1359" s="1" cm="1">
        <f t="array" ref="P1359">SUMPRODUCT(("T_B_u-FCLH2O-S3"=[1]OUT_TransportEnergyCons!$A$3:$A$1000)*1,("var_fout"=[1]OUT_TransportEnergyCons!$B$3:$B$1000)*1,ISNUMBER(SEARCH("tpbsu",[1]OUT_TransportEnergyCons!$C$3:$C$1000))*1,[1]OUT_TransportEnergyCons!N$3:N$1000)</f>
        <v>0</v>
      </c>
      <c r="Q1359" s="1" cm="1">
        <f t="array" ref="Q1359">SUMPRODUCT(("T_B_u-FCLH2O-S3"=[1]OUT_TransportEnergyCons!$A$3:$A$1000)*1,("var_fout"=[1]OUT_TransportEnergyCons!$B$3:$B$1000)*1,ISNUMBER(SEARCH("tpbsu",[1]OUT_TransportEnergyCons!$C$3:$C$1000))*1,[1]OUT_TransportEnergyCons!O$3:O$1000)</f>
        <v>0</v>
      </c>
      <c r="S1359" s="3"/>
    </row>
    <row r="1360" spans="2:19" x14ac:dyDescent="0.5">
      <c r="B1360" s="5" t="str">
        <f t="shared" si="1504"/>
        <v>SPS1</v>
      </c>
      <c r="C1360" s="5" t="str">
        <f t="shared" si="1505"/>
        <v>CH</v>
      </c>
      <c r="D1360" t="s">
        <v>1357</v>
      </c>
      <c r="E1360" t="str">
        <f t="shared" si="1506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SUMPRODUCT(("T_B_u-FCLH2O-S4"=[1]OUT_TransportEnergyCons!$A$3:$A$1000)*1,("var_fout"=[1]OUT_TransportEnergyCons!$B$3:$B$1000)*1,ISNUMBER(SEARCH("tpbsu",[1]OUT_TransportEnergyCons!$C$3:$C$1000))*1,[1]OUT_TransportEnergyCons!H$3:H$1000)</f>
        <v>0</v>
      </c>
      <c r="K1360" s="1" cm="1">
        <f t="array" ref="K1360">SUMPRODUCT(("T_B_u-FCLH2O-S4"=[1]OUT_TransportEnergyCons!$A$3:$A$1000)*1,("var_fout"=[1]OUT_TransportEnergyCons!$B$3:$B$1000)*1,ISNUMBER(SEARCH("tpbsu",[1]OUT_TransportEnergyCons!$C$3:$C$1000))*1,[1]OUT_TransportEnergyCons!I$3:I$1000)</f>
        <v>0</v>
      </c>
      <c r="L1360" s="1" cm="1">
        <f t="array" ref="L1360">SUMPRODUCT(("T_B_u-FCLH2O-S4"=[1]OUT_TransportEnergyCons!$A$3:$A$1000)*1,("var_fout"=[1]OUT_TransportEnergyCons!$B$3:$B$1000)*1,ISNUMBER(SEARCH("tpbsu",[1]OUT_TransportEnergyCons!$C$3:$C$1000))*1,[1]OUT_TransportEnergyCons!J$3:J$1000)</f>
        <v>0</v>
      </c>
      <c r="M1360" s="1" cm="1">
        <f t="array" ref="M1360">SUMPRODUCT(("T_B_u-FCLH2O-S4"=[1]OUT_TransportEnergyCons!$A$3:$A$1000)*1,("var_fout"=[1]OUT_TransportEnergyCons!$B$3:$B$1000)*1,ISNUMBER(SEARCH("tpbsu",[1]OUT_TransportEnergyCons!$C$3:$C$1000))*1,[1]OUT_TransportEnergyCons!K$3:K$1000)</f>
        <v>0</v>
      </c>
      <c r="N1360" s="1" cm="1">
        <f t="array" ref="N1360">SUMPRODUCT(("T_B_u-FCLH2O-S4"=[1]OUT_TransportEnergyCons!$A$3:$A$1000)*1,("var_fout"=[1]OUT_TransportEnergyCons!$B$3:$B$1000)*1,ISNUMBER(SEARCH("tpbsu",[1]OUT_TransportEnergyCons!$C$3:$C$1000))*1,[1]OUT_TransportEnergyCons!L$3:L$1000)</f>
        <v>0</v>
      </c>
      <c r="O1360" s="1" cm="1">
        <f t="array" ref="O1360">SUMPRODUCT(("T_B_u-FCLH2O-S4"=[1]OUT_TransportEnergyCons!$A$3:$A$1000)*1,("var_fout"=[1]OUT_TransportEnergyCons!$B$3:$B$1000)*1,ISNUMBER(SEARCH("tpbsu",[1]OUT_TransportEnergyCons!$C$3:$C$1000))*1,[1]OUT_TransportEnergyCons!M$3:M$1000)</f>
        <v>0</v>
      </c>
      <c r="P1360" s="1" cm="1">
        <f t="array" ref="P1360">SUMPRODUCT(("T_B_u-FCLH2O-S4"=[1]OUT_TransportEnergyCons!$A$3:$A$1000)*1,("var_fout"=[1]OUT_TransportEnergyCons!$B$3:$B$1000)*1,ISNUMBER(SEARCH("tpbsu",[1]OUT_TransportEnergyCons!$C$3:$C$1000))*1,[1]OUT_TransportEnergyCons!N$3:N$1000)</f>
        <v>0</v>
      </c>
      <c r="Q1360" s="1" cm="1">
        <f t="array" ref="Q1360">SUMPRODUCT(("T_B_u-FCLH2O-S4"=[1]OUT_TransportEnergyCons!$A$3:$A$1000)*1,("var_fout"=[1]OUT_TransportEnergyCons!$B$3:$B$1000)*1,ISNUMBER(SEARCH("tpbsu",[1]OUT_TransportEnergyCons!$C$3:$C$1000))*1,[1]OUT_TransportEnergyCons!O$3:O$1000)</f>
        <v>0</v>
      </c>
      <c r="S1360" s="3"/>
    </row>
    <row r="1361" spans="2:19" x14ac:dyDescent="0.5">
      <c r="B1361" s="5" t="str">
        <f t="shared" si="1504"/>
        <v>SPS1</v>
      </c>
      <c r="C1361" s="5" t="str">
        <f t="shared" si="1505"/>
        <v>CH</v>
      </c>
      <c r="D1361" t="s">
        <v>1358</v>
      </c>
      <c r="E1361" t="str">
        <f t="shared" si="1506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1.007450956655985E-2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1.0098004727575034E-2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0</v>
      </c>
      <c r="J1361" s="1" cm="1">
        <f t="array" ref="J1361">SUMPRODUCT(("T_B_u-HYBDSL-S1"=[1]OUT_TransportEnergyCons!$A$3:$A$1000)*1,("var_fout"=[1]OUT_TransportEnergyCons!$B$3:$B$1000)*1,ISNUMBER(SEARCH("tpbsu",[1]OUT_TransportEnergyCons!$C$3:$C$1000))*1,[1]OUT_TransportEnergyCons!H$3:H$1000)</f>
        <v>0</v>
      </c>
      <c r="K1361" s="1" cm="1">
        <f t="array" ref="K1361">SUMPRODUCT(("T_B_u-HYBDSL-S1"=[1]OUT_TransportEnergyCons!$A$3:$A$1000)*1,("var_fout"=[1]OUT_TransportEnergyCons!$B$3:$B$1000)*1,ISNUMBER(SEARCH("tpbsu",[1]OUT_TransportEnergyCons!$C$3:$C$1000))*1,[1]OUT_TransportEnergyCons!I$3:I$1000)</f>
        <v>0</v>
      </c>
      <c r="L1361" s="1" cm="1">
        <f t="array" ref="L1361">SUMPRODUCT(("T_B_u-HYBDSL-S1"=[1]OUT_TransportEnergyCons!$A$3:$A$1000)*1,("var_fout"=[1]OUT_TransportEnergyCons!$B$3:$B$1000)*1,ISNUMBER(SEARCH("tpbsu",[1]OUT_TransportEnergyCons!$C$3:$C$1000))*1,[1]OUT_TransportEnergyCons!J$3:J$1000)</f>
        <v>0</v>
      </c>
      <c r="M1361" s="1" cm="1">
        <f t="array" ref="M1361">SUMPRODUCT(("T_B_u-HYBDSL-S1"=[1]OUT_TransportEnergyCons!$A$3:$A$1000)*1,("var_fout"=[1]OUT_TransportEnergyCons!$B$3:$B$1000)*1,ISNUMBER(SEARCH("tpbsu",[1]OUT_TransportEnergyCons!$C$3:$C$1000))*1,[1]OUT_TransportEnergyCons!K$3:K$1000)</f>
        <v>0</v>
      </c>
      <c r="N1361" s="1" cm="1">
        <f t="array" ref="N1361">SUMPRODUCT(("T_B_u-HYBDSL-S1"=[1]OUT_TransportEnergyCons!$A$3:$A$1000)*1,("var_fout"=[1]OUT_TransportEnergyCons!$B$3:$B$1000)*1,ISNUMBER(SEARCH("tpbsu",[1]OUT_TransportEnergyCons!$C$3:$C$1000))*1,[1]OUT_TransportEnergyCons!L$3:L$1000)</f>
        <v>0</v>
      </c>
      <c r="O1361" s="1" cm="1">
        <f t="array" ref="O1361">SUMPRODUCT(("T_B_u-HYBDSL-S1"=[1]OUT_TransportEnergyCons!$A$3:$A$1000)*1,("var_fout"=[1]OUT_TransportEnergyCons!$B$3:$B$1000)*1,ISNUMBER(SEARCH("tpbsu",[1]OUT_TransportEnergyCons!$C$3:$C$1000))*1,[1]OUT_TransportEnergyCons!M$3:M$1000)</f>
        <v>0</v>
      </c>
      <c r="P1361" s="1" cm="1">
        <f t="array" ref="P1361">SUMPRODUCT(("T_B_u-HYBDSL-S1"=[1]OUT_TransportEnergyCons!$A$3:$A$1000)*1,("var_fout"=[1]OUT_TransportEnergyCons!$B$3:$B$1000)*1,ISNUMBER(SEARCH("tpbsu",[1]OUT_TransportEnergyCons!$C$3:$C$1000))*1,[1]OUT_TransportEnergyCons!N$3:N$1000)</f>
        <v>0</v>
      </c>
      <c r="Q1361" s="1" cm="1">
        <f t="array" ref="Q1361">SUMPRODUCT(("T_B_u-HYBDSL-S1"=[1]OUT_TransportEnergyCons!$A$3:$A$1000)*1,("var_fout"=[1]OUT_TransportEnergyCons!$B$3:$B$1000)*1,ISNUMBER(SEARCH("tpbsu",[1]OUT_TransportEnergyCons!$C$3:$C$1000))*1,[1]OUT_TransportEnergyCons!O$3:O$1000)</f>
        <v>0</v>
      </c>
      <c r="S1361" s="3"/>
    </row>
    <row r="1362" spans="2:19" x14ac:dyDescent="0.5">
      <c r="B1362" s="5" t="str">
        <f t="shared" si="1504"/>
        <v>SPS1</v>
      </c>
      <c r="C1362" s="5" t="str">
        <f t="shared" si="1505"/>
        <v>CH</v>
      </c>
      <c r="D1362" t="s">
        <v>1359</v>
      </c>
      <c r="E1362" t="str">
        <f t="shared" si="1506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2.2728517745864231E-5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3.3439406406689304E-5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0</v>
      </c>
      <c r="J1362" s="1" cm="1">
        <f t="array" ref="J1362">SUMPRODUCT(("T_B_u-HYBDSL-S2"=[1]OUT_TransportEnergyCons!$A$3:$A$1000)*1,("var_fout"=[1]OUT_TransportEnergyCons!$B$3:$B$1000)*1,ISNUMBER(SEARCH("tpbsu",[1]OUT_TransportEnergyCons!$C$3:$C$1000))*1,[1]OUT_TransportEnergyCons!H$3:H$1000)</f>
        <v>0</v>
      </c>
      <c r="K1362" s="1" cm="1">
        <f t="array" ref="K1362">SUMPRODUCT(("T_B_u-HYBDSL-S2"=[1]OUT_TransportEnergyCons!$A$3:$A$1000)*1,("var_fout"=[1]OUT_TransportEnergyCons!$B$3:$B$1000)*1,ISNUMBER(SEARCH("tpbsu",[1]OUT_TransportEnergyCons!$C$3:$C$1000))*1,[1]OUT_TransportEnergyCons!I$3:I$1000)</f>
        <v>0</v>
      </c>
      <c r="L1362" s="1" cm="1">
        <f t="array" ref="L1362">SUMPRODUCT(("T_B_u-HYBDSL-S2"=[1]OUT_TransportEnergyCons!$A$3:$A$1000)*1,("var_fout"=[1]OUT_TransportEnergyCons!$B$3:$B$1000)*1,ISNUMBER(SEARCH("tpbsu",[1]OUT_TransportEnergyCons!$C$3:$C$1000))*1,[1]OUT_TransportEnergyCons!J$3:J$1000)</f>
        <v>0</v>
      </c>
      <c r="M1362" s="1" cm="1">
        <f t="array" ref="M1362">SUMPRODUCT(("T_B_u-HYBDSL-S2"=[1]OUT_TransportEnergyCons!$A$3:$A$1000)*1,("var_fout"=[1]OUT_TransportEnergyCons!$B$3:$B$1000)*1,ISNUMBER(SEARCH("tpbsu",[1]OUT_TransportEnergyCons!$C$3:$C$1000))*1,[1]OUT_TransportEnergyCons!K$3:K$1000)</f>
        <v>0</v>
      </c>
      <c r="N1362" s="1" cm="1">
        <f t="array" ref="N1362">SUMPRODUCT(("T_B_u-HYBDSL-S2"=[1]OUT_TransportEnergyCons!$A$3:$A$1000)*1,("var_fout"=[1]OUT_TransportEnergyCons!$B$3:$B$1000)*1,ISNUMBER(SEARCH("tpbsu",[1]OUT_TransportEnergyCons!$C$3:$C$1000))*1,[1]OUT_TransportEnergyCons!L$3:L$1000)</f>
        <v>0</v>
      </c>
      <c r="O1362" s="1" cm="1">
        <f t="array" ref="O1362">SUMPRODUCT(("T_B_u-HYBDSL-S2"=[1]OUT_TransportEnergyCons!$A$3:$A$1000)*1,("var_fout"=[1]OUT_TransportEnergyCons!$B$3:$B$1000)*1,ISNUMBER(SEARCH("tpbsu",[1]OUT_TransportEnergyCons!$C$3:$C$1000))*1,[1]OUT_TransportEnergyCons!M$3:M$1000)</f>
        <v>0</v>
      </c>
      <c r="P1362" s="1" cm="1">
        <f t="array" ref="P1362">SUMPRODUCT(("T_B_u-HYBDSL-S2"=[1]OUT_TransportEnergyCons!$A$3:$A$1000)*1,("var_fout"=[1]OUT_TransportEnergyCons!$B$3:$B$1000)*1,ISNUMBER(SEARCH("tpbsu",[1]OUT_TransportEnergyCons!$C$3:$C$1000))*1,[1]OUT_TransportEnergyCons!N$3:N$1000)</f>
        <v>0</v>
      </c>
      <c r="Q1362" s="1" cm="1">
        <f t="array" ref="Q1362">SUMPRODUCT(("T_B_u-HYBDSL-S2"=[1]OUT_TransportEnergyCons!$A$3:$A$1000)*1,("var_fout"=[1]OUT_TransportEnergyCons!$B$3:$B$1000)*1,ISNUMBER(SEARCH("tpbsu",[1]OUT_TransportEnergyCons!$C$3:$C$1000))*1,[1]OUT_TransportEnergyCons!O$3:O$1000)</f>
        <v>0</v>
      </c>
      <c r="S1362" s="3"/>
    </row>
    <row r="1363" spans="2:19" x14ac:dyDescent="0.5">
      <c r="B1363" s="5" t="str">
        <f t="shared" si="1504"/>
        <v>SPS1</v>
      </c>
      <c r="C1363" s="5" t="str">
        <f t="shared" si="1505"/>
        <v>CH</v>
      </c>
      <c r="D1363" t="s">
        <v>1360</v>
      </c>
      <c r="E1363" t="str">
        <f t="shared" si="1506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1.5558359633918514E-5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2.194498296482896E-5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0</v>
      </c>
      <c r="J1363" s="1" cm="1">
        <f t="array" ref="J1363">SUMPRODUCT(("T_B_u-HYBDSL-S3"=[1]OUT_TransportEnergyCons!$A$3:$A$1000)*1,("var_fout"=[1]OUT_TransportEnergyCons!$B$3:$B$1000)*1,ISNUMBER(SEARCH("tpbsu",[1]OUT_TransportEnergyCons!$C$3:$C$1000))*1,[1]OUT_TransportEnergyCons!H$3:H$1000)</f>
        <v>0</v>
      </c>
      <c r="K1363" s="1" cm="1">
        <f t="array" ref="K1363">SUMPRODUCT(("T_B_u-HYBDSL-S3"=[1]OUT_TransportEnergyCons!$A$3:$A$1000)*1,("var_fout"=[1]OUT_TransportEnergyCons!$B$3:$B$1000)*1,ISNUMBER(SEARCH("tpbsu",[1]OUT_TransportEnergyCons!$C$3:$C$1000))*1,[1]OUT_TransportEnergyCons!I$3:I$1000)</f>
        <v>0</v>
      </c>
      <c r="L1363" s="1" cm="1">
        <f t="array" ref="L1363">SUMPRODUCT(("T_B_u-HYBDSL-S3"=[1]OUT_TransportEnergyCons!$A$3:$A$1000)*1,("var_fout"=[1]OUT_TransportEnergyCons!$B$3:$B$1000)*1,ISNUMBER(SEARCH("tpbsu",[1]OUT_TransportEnergyCons!$C$3:$C$1000))*1,[1]OUT_TransportEnergyCons!J$3:J$1000)</f>
        <v>0</v>
      </c>
      <c r="M1363" s="1" cm="1">
        <f t="array" ref="M1363">SUMPRODUCT(("T_B_u-HYBDSL-S3"=[1]OUT_TransportEnergyCons!$A$3:$A$1000)*1,("var_fout"=[1]OUT_TransportEnergyCons!$B$3:$B$1000)*1,ISNUMBER(SEARCH("tpbsu",[1]OUT_TransportEnergyCons!$C$3:$C$1000))*1,[1]OUT_TransportEnergyCons!K$3:K$1000)</f>
        <v>0</v>
      </c>
      <c r="N1363" s="1" cm="1">
        <f t="array" ref="N1363">SUMPRODUCT(("T_B_u-HYBDSL-S3"=[1]OUT_TransportEnergyCons!$A$3:$A$1000)*1,("var_fout"=[1]OUT_TransportEnergyCons!$B$3:$B$1000)*1,ISNUMBER(SEARCH("tpbsu",[1]OUT_TransportEnergyCons!$C$3:$C$1000))*1,[1]OUT_TransportEnergyCons!L$3:L$1000)</f>
        <v>0</v>
      </c>
      <c r="O1363" s="1" cm="1">
        <f t="array" ref="O1363">SUMPRODUCT(("T_B_u-HYBDSL-S3"=[1]OUT_TransportEnergyCons!$A$3:$A$1000)*1,("var_fout"=[1]OUT_TransportEnergyCons!$B$3:$B$1000)*1,ISNUMBER(SEARCH("tpbsu",[1]OUT_TransportEnergyCons!$C$3:$C$1000))*1,[1]OUT_TransportEnergyCons!M$3:M$1000)</f>
        <v>0</v>
      </c>
      <c r="P1363" s="1" cm="1">
        <f t="array" ref="P1363">SUMPRODUCT(("T_B_u-HYBDSL-S3"=[1]OUT_TransportEnergyCons!$A$3:$A$1000)*1,("var_fout"=[1]OUT_TransportEnergyCons!$B$3:$B$1000)*1,ISNUMBER(SEARCH("tpbsu",[1]OUT_TransportEnergyCons!$C$3:$C$1000))*1,[1]OUT_TransportEnergyCons!N$3:N$1000)</f>
        <v>0</v>
      </c>
      <c r="Q1363" s="1" cm="1">
        <f t="array" ref="Q1363">SUMPRODUCT(("T_B_u-HYBDSL-S3"=[1]OUT_TransportEnergyCons!$A$3:$A$1000)*1,("var_fout"=[1]OUT_TransportEnergyCons!$B$3:$B$1000)*1,ISNUMBER(SEARCH("tpbsu",[1]OUT_TransportEnergyCons!$C$3:$C$1000))*1,[1]OUT_TransportEnergyCons!O$3:O$1000)</f>
        <v>0</v>
      </c>
      <c r="S1363" s="3"/>
    </row>
    <row r="1364" spans="2:19" x14ac:dyDescent="0.5">
      <c r="B1364" s="5" t="str">
        <f t="shared" si="1504"/>
        <v>SPS1</v>
      </c>
      <c r="C1364" s="5" t="str">
        <f t="shared" si="1505"/>
        <v>CH</v>
      </c>
      <c r="D1364" t="s">
        <v>1361</v>
      </c>
      <c r="E1364" t="str">
        <f t="shared" si="1506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1.3427797423652672E-7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2.346150392507812E-7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0</v>
      </c>
      <c r="J1364" s="1" cm="1">
        <f t="array" ref="J1364">SUMPRODUCT(("T_B_u-HYBDSL-S4"=[1]OUT_TransportEnergyCons!$A$3:$A$1000)*1,("var_fout"=[1]OUT_TransportEnergyCons!$B$3:$B$1000)*1,ISNUMBER(SEARCH("tpbsu",[1]OUT_TransportEnergyCons!$C$3:$C$1000))*1,[1]OUT_TransportEnergyCons!H$3:H$1000)</f>
        <v>0</v>
      </c>
      <c r="K1364" s="1" cm="1">
        <f t="array" ref="K1364">SUMPRODUCT(("T_B_u-HYBDSL-S4"=[1]OUT_TransportEnergyCons!$A$3:$A$1000)*1,("var_fout"=[1]OUT_TransportEnergyCons!$B$3:$B$1000)*1,ISNUMBER(SEARCH("tpbsu",[1]OUT_TransportEnergyCons!$C$3:$C$1000))*1,[1]OUT_TransportEnergyCons!I$3:I$1000)</f>
        <v>0</v>
      </c>
      <c r="L1364" s="1" cm="1">
        <f t="array" ref="L1364">SUMPRODUCT(("T_B_u-HYBDSL-S4"=[1]OUT_TransportEnergyCons!$A$3:$A$1000)*1,("var_fout"=[1]OUT_TransportEnergyCons!$B$3:$B$1000)*1,ISNUMBER(SEARCH("tpbsu",[1]OUT_TransportEnergyCons!$C$3:$C$1000))*1,[1]OUT_TransportEnergyCons!J$3:J$1000)</f>
        <v>0</v>
      </c>
      <c r="M1364" s="1" cm="1">
        <f t="array" ref="M1364">SUMPRODUCT(("T_B_u-HYBDSL-S4"=[1]OUT_TransportEnergyCons!$A$3:$A$1000)*1,("var_fout"=[1]OUT_TransportEnergyCons!$B$3:$B$1000)*1,ISNUMBER(SEARCH("tpbsu",[1]OUT_TransportEnergyCons!$C$3:$C$1000))*1,[1]OUT_TransportEnergyCons!K$3:K$1000)</f>
        <v>0</v>
      </c>
      <c r="N1364" s="1" cm="1">
        <f t="array" ref="N1364">SUMPRODUCT(("T_B_u-HYBDSL-S4"=[1]OUT_TransportEnergyCons!$A$3:$A$1000)*1,("var_fout"=[1]OUT_TransportEnergyCons!$B$3:$B$1000)*1,ISNUMBER(SEARCH("tpbsu",[1]OUT_TransportEnergyCons!$C$3:$C$1000))*1,[1]OUT_TransportEnergyCons!L$3:L$1000)</f>
        <v>0</v>
      </c>
      <c r="O1364" s="1" cm="1">
        <f t="array" ref="O1364">SUMPRODUCT(("T_B_u-HYBDSL-S4"=[1]OUT_TransportEnergyCons!$A$3:$A$1000)*1,("var_fout"=[1]OUT_TransportEnergyCons!$B$3:$B$1000)*1,ISNUMBER(SEARCH("tpbsu",[1]OUT_TransportEnergyCons!$C$3:$C$1000))*1,[1]OUT_TransportEnergyCons!M$3:M$1000)</f>
        <v>0</v>
      </c>
      <c r="P1364" s="1" cm="1">
        <f t="array" ref="P1364">SUMPRODUCT(("T_B_u-HYBDSL-S4"=[1]OUT_TransportEnergyCons!$A$3:$A$1000)*1,("var_fout"=[1]OUT_TransportEnergyCons!$B$3:$B$1000)*1,ISNUMBER(SEARCH("tpbsu",[1]OUT_TransportEnergyCons!$C$3:$C$1000))*1,[1]OUT_TransportEnergyCons!N$3:N$1000)</f>
        <v>0</v>
      </c>
      <c r="Q1364" s="1" cm="1">
        <f t="array" ref="Q1364">SUMPRODUCT(("T_B_u-HYBDSL-S4"=[1]OUT_TransportEnergyCons!$A$3:$A$1000)*1,("var_fout"=[1]OUT_TransportEnergyCons!$B$3:$B$1000)*1,ISNUMBER(SEARCH("tpbsu",[1]OUT_TransportEnergyCons!$C$3:$C$1000))*1,[1]OUT_TransportEnergyCons!O$3:O$1000)</f>
        <v>0</v>
      </c>
      <c r="S1364" s="3"/>
    </row>
    <row r="1365" spans="2:19" x14ac:dyDescent="0.5">
      <c r="B1365" s="5" t="str">
        <f t="shared" si="1504"/>
        <v>SPS1</v>
      </c>
      <c r="C1365" s="5" t="str">
        <f t="shared" si="1505"/>
        <v>CH</v>
      </c>
      <c r="D1365" t="s">
        <v>2001</v>
      </c>
      <c r="E1365" t="str">
        <f t="shared" si="1506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0.24221765986603999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0.19378276208091391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0.12111386778171548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SUMPRODUCT(("T_B_u-ICEDSLEXT"=[1]OUT_TransportEnergyCons!$A$3:$A$1000)*1,("var_fout"=[1]OUT_TransportEnergyCons!$B$3:$B$1000)*1,ISNUMBER(SEARCH("tpbsu",[1]OUT_TransportEnergyCons!$C$3:$C$1000))*1,[1]OUT_TransportEnergyCons!H$3:H$1000)</f>
        <v>0</v>
      </c>
      <c r="K1365" s="1" cm="1">
        <f t="array" ref="K1365">SUMPRODUCT(("T_B_u-ICEDSLEXT"=[1]OUT_TransportEnergyCons!$A$3:$A$1000)*1,("var_fout"=[1]OUT_TransportEnergyCons!$B$3:$B$1000)*1,ISNUMBER(SEARCH("tpbsu",[1]OUT_TransportEnergyCons!$C$3:$C$1000))*1,[1]OUT_TransportEnergyCons!I$3:I$1000)</f>
        <v>0</v>
      </c>
      <c r="L1365" s="1" cm="1">
        <f t="array" ref="L1365">SUMPRODUCT(("T_B_u-ICEDSLEXT"=[1]OUT_TransportEnergyCons!$A$3:$A$1000)*1,("var_fout"=[1]OUT_TransportEnergyCons!$B$3:$B$1000)*1,ISNUMBER(SEARCH("tpbsu",[1]OUT_TransportEnergyCons!$C$3:$C$1000))*1,[1]OUT_TransportEnergyCons!J$3:J$1000)</f>
        <v>0</v>
      </c>
      <c r="M1365" s="1" cm="1">
        <f t="array" ref="M1365">SUMPRODUCT(("T_B_u-ICEDSLEXT"=[1]OUT_TransportEnergyCons!$A$3:$A$1000)*1,("var_fout"=[1]OUT_TransportEnergyCons!$B$3:$B$1000)*1,ISNUMBER(SEARCH("tpbsu",[1]OUT_TransportEnergyCons!$C$3:$C$1000))*1,[1]OUT_TransportEnergyCons!K$3:K$1000)</f>
        <v>0</v>
      </c>
      <c r="N1365" s="1" cm="1">
        <f t="array" ref="N1365">SUMPRODUCT(("T_B_u-ICEDSLEXT"=[1]OUT_TransportEnergyCons!$A$3:$A$1000)*1,("var_fout"=[1]OUT_TransportEnergyCons!$B$3:$B$1000)*1,ISNUMBER(SEARCH("tpbsu",[1]OUT_TransportEnergyCons!$C$3:$C$1000))*1,[1]OUT_TransportEnergyCons!L$3:L$1000)</f>
        <v>0</v>
      </c>
      <c r="O1365" s="1" cm="1">
        <f t="array" ref="O1365">SUMPRODUCT(("T_B_u-ICEDSLEXT"=[1]OUT_TransportEnergyCons!$A$3:$A$1000)*1,("var_fout"=[1]OUT_TransportEnergyCons!$B$3:$B$1000)*1,ISNUMBER(SEARCH("tpbsu",[1]OUT_TransportEnergyCons!$C$3:$C$1000))*1,[1]OUT_TransportEnergyCons!M$3:M$1000)</f>
        <v>0</v>
      </c>
      <c r="P1365" s="1" cm="1">
        <f t="array" ref="P1365">SUMPRODUCT(("T_B_u-ICEDSLEXT"=[1]OUT_TransportEnergyCons!$A$3:$A$1000)*1,("var_fout"=[1]OUT_TransportEnergyCons!$B$3:$B$1000)*1,ISNUMBER(SEARCH("tpbsu",[1]OUT_TransportEnergyCons!$C$3:$C$1000))*1,[1]OUT_TransportEnergyCons!N$3:N$1000)</f>
        <v>0</v>
      </c>
      <c r="Q1365" s="1" cm="1">
        <f t="array" ref="Q1365">SUMPRODUCT(("T_B_u-ICEDSLEXT"=[1]OUT_TransportEnergyCons!$A$3:$A$1000)*1,("var_fout"=[1]OUT_TransportEnergyCons!$B$3:$B$1000)*1,ISNUMBER(SEARCH("tpbsu",[1]OUT_TransportEnergyCons!$C$3:$C$1000))*1,[1]OUT_TransportEnergyCons!O$3:O$1000)</f>
        <v>0</v>
      </c>
      <c r="S1365" s="3"/>
    </row>
    <row r="1366" spans="2:19" x14ac:dyDescent="0.5">
      <c r="B1366" s="5" t="str">
        <f t="shared" si="1504"/>
        <v>SPS1</v>
      </c>
      <c r="C1366" s="5" t="str">
        <f t="shared" si="1505"/>
        <v>CH</v>
      </c>
      <c r="D1366" t="s">
        <v>1362</v>
      </c>
      <c r="E1366" t="str">
        <f t="shared" si="1506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3.236253274833215E-5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2.4582584215239778E-2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5.2591111251090034E-2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5.6239783924800164E-6</v>
      </c>
      <c r="J1366" s="1" cm="1">
        <f t="array" ref="J1366">SUMPRODUCT(("T_B_u-ICEDSL-S1"=[1]OUT_TransportEnergyCons!$A$3:$A$1000)*1,("var_fout"=[1]OUT_TransportEnergyCons!$B$3:$B$1000)*1,ISNUMBER(SEARCH("tpbsu",[1]OUT_TransportEnergyCons!$C$3:$C$1000))*1,[1]OUT_TransportEnergyCons!H$3:H$1000)</f>
        <v>0</v>
      </c>
      <c r="K1366" s="1" cm="1">
        <f t="array" ref="K1366">SUMPRODUCT(("T_B_u-ICEDSL-S1"=[1]OUT_TransportEnergyCons!$A$3:$A$1000)*1,("var_fout"=[1]OUT_TransportEnergyCons!$B$3:$B$1000)*1,ISNUMBER(SEARCH("tpbsu",[1]OUT_TransportEnergyCons!$C$3:$C$1000))*1,[1]OUT_TransportEnergyCons!I$3:I$1000)</f>
        <v>0</v>
      </c>
      <c r="L1366" s="1" cm="1">
        <f t="array" ref="L1366">SUMPRODUCT(("T_B_u-ICEDSL-S1"=[1]OUT_TransportEnergyCons!$A$3:$A$1000)*1,("var_fout"=[1]OUT_TransportEnergyCons!$B$3:$B$1000)*1,ISNUMBER(SEARCH("tpbsu",[1]OUT_TransportEnergyCons!$C$3:$C$1000))*1,[1]OUT_TransportEnergyCons!J$3:J$1000)</f>
        <v>0</v>
      </c>
      <c r="M1366" s="1" cm="1">
        <f t="array" ref="M1366">SUMPRODUCT(("T_B_u-ICEDSL-S1"=[1]OUT_TransportEnergyCons!$A$3:$A$1000)*1,("var_fout"=[1]OUT_TransportEnergyCons!$B$3:$B$1000)*1,ISNUMBER(SEARCH("tpbsu",[1]OUT_TransportEnergyCons!$C$3:$C$1000))*1,[1]OUT_TransportEnergyCons!K$3:K$1000)</f>
        <v>0</v>
      </c>
      <c r="N1366" s="1" cm="1">
        <f t="array" ref="N1366">SUMPRODUCT(("T_B_u-ICEDSL-S1"=[1]OUT_TransportEnergyCons!$A$3:$A$1000)*1,("var_fout"=[1]OUT_TransportEnergyCons!$B$3:$B$1000)*1,ISNUMBER(SEARCH("tpbsu",[1]OUT_TransportEnergyCons!$C$3:$C$1000))*1,[1]OUT_TransportEnergyCons!L$3:L$1000)</f>
        <v>0</v>
      </c>
      <c r="O1366" s="1" cm="1">
        <f t="array" ref="O1366">SUMPRODUCT(("T_B_u-ICEDSL-S1"=[1]OUT_TransportEnergyCons!$A$3:$A$1000)*1,("var_fout"=[1]OUT_TransportEnergyCons!$B$3:$B$1000)*1,ISNUMBER(SEARCH("tpbsu",[1]OUT_TransportEnergyCons!$C$3:$C$1000))*1,[1]OUT_TransportEnergyCons!M$3:M$1000)</f>
        <v>0</v>
      </c>
      <c r="P1366" s="1" cm="1">
        <f t="array" ref="P1366">SUMPRODUCT(("T_B_u-ICEDSL-S1"=[1]OUT_TransportEnergyCons!$A$3:$A$1000)*1,("var_fout"=[1]OUT_TransportEnergyCons!$B$3:$B$1000)*1,ISNUMBER(SEARCH("tpbsu",[1]OUT_TransportEnergyCons!$C$3:$C$1000))*1,[1]OUT_TransportEnergyCons!N$3:N$1000)</f>
        <v>0</v>
      </c>
      <c r="Q1366" s="1" cm="1">
        <f t="array" ref="Q1366">SUMPRODUCT(("T_B_u-ICEDSL-S1"=[1]OUT_TransportEnergyCons!$A$3:$A$1000)*1,("var_fout"=[1]OUT_TransportEnergyCons!$B$3:$B$1000)*1,ISNUMBER(SEARCH("tpbsu",[1]OUT_TransportEnergyCons!$C$3:$C$1000))*1,[1]OUT_TransportEnergyCons!O$3:O$1000)</f>
        <v>0</v>
      </c>
      <c r="S1366" s="3"/>
    </row>
    <row r="1367" spans="2:19" x14ac:dyDescent="0.5">
      <c r="B1367" s="5" t="str">
        <f t="shared" si="1504"/>
        <v>SPS1</v>
      </c>
      <c r="C1367" s="5" t="str">
        <f t="shared" si="1505"/>
        <v>CH</v>
      </c>
      <c r="D1367" t="s">
        <v>1363</v>
      </c>
      <c r="E1367" t="str">
        <f t="shared" si="1506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9.7013293323655429E-3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1.2070181207925645E-2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2.2004068024178449E-2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SUMPRODUCT(("T_B_u-ICEDSL-S2"=[1]OUT_TransportEnergyCons!$A$3:$A$1000)*1,("var_fout"=[1]OUT_TransportEnergyCons!$B$3:$B$1000)*1,ISNUMBER(SEARCH("tpbsu",[1]OUT_TransportEnergyCons!$C$3:$C$1000))*1,[1]OUT_TransportEnergyCons!H$3:H$1000)</f>
        <v>0</v>
      </c>
      <c r="K1367" s="1" cm="1">
        <f t="array" ref="K1367">SUMPRODUCT(("T_B_u-ICEDSL-S2"=[1]OUT_TransportEnergyCons!$A$3:$A$1000)*1,("var_fout"=[1]OUT_TransportEnergyCons!$B$3:$B$1000)*1,ISNUMBER(SEARCH("tpbsu",[1]OUT_TransportEnergyCons!$C$3:$C$1000))*1,[1]OUT_TransportEnergyCons!I$3:I$1000)</f>
        <v>0</v>
      </c>
      <c r="L1367" s="1" cm="1">
        <f t="array" ref="L1367">SUMPRODUCT(("T_B_u-ICEDSL-S2"=[1]OUT_TransportEnergyCons!$A$3:$A$1000)*1,("var_fout"=[1]OUT_TransportEnergyCons!$B$3:$B$1000)*1,ISNUMBER(SEARCH("tpbsu",[1]OUT_TransportEnergyCons!$C$3:$C$1000))*1,[1]OUT_TransportEnergyCons!J$3:J$1000)</f>
        <v>0</v>
      </c>
      <c r="M1367" s="1" cm="1">
        <f t="array" ref="M1367">SUMPRODUCT(("T_B_u-ICEDSL-S2"=[1]OUT_TransportEnergyCons!$A$3:$A$1000)*1,("var_fout"=[1]OUT_TransportEnergyCons!$B$3:$B$1000)*1,ISNUMBER(SEARCH("tpbsu",[1]OUT_TransportEnergyCons!$C$3:$C$1000))*1,[1]OUT_TransportEnergyCons!K$3:K$1000)</f>
        <v>0</v>
      </c>
      <c r="N1367" s="1" cm="1">
        <f t="array" ref="N1367">SUMPRODUCT(("T_B_u-ICEDSL-S2"=[1]OUT_TransportEnergyCons!$A$3:$A$1000)*1,("var_fout"=[1]OUT_TransportEnergyCons!$B$3:$B$1000)*1,ISNUMBER(SEARCH("tpbsu",[1]OUT_TransportEnergyCons!$C$3:$C$1000))*1,[1]OUT_TransportEnergyCons!L$3:L$1000)</f>
        <v>0</v>
      </c>
      <c r="O1367" s="1" cm="1">
        <f t="array" ref="O1367">SUMPRODUCT(("T_B_u-ICEDSL-S2"=[1]OUT_TransportEnergyCons!$A$3:$A$1000)*1,("var_fout"=[1]OUT_TransportEnergyCons!$B$3:$B$1000)*1,ISNUMBER(SEARCH("tpbsu",[1]OUT_TransportEnergyCons!$C$3:$C$1000))*1,[1]OUT_TransportEnergyCons!M$3:M$1000)</f>
        <v>0</v>
      </c>
      <c r="P1367" s="1" cm="1">
        <f t="array" ref="P1367">SUMPRODUCT(("T_B_u-ICEDSL-S2"=[1]OUT_TransportEnergyCons!$A$3:$A$1000)*1,("var_fout"=[1]OUT_TransportEnergyCons!$B$3:$B$1000)*1,ISNUMBER(SEARCH("tpbsu",[1]OUT_TransportEnergyCons!$C$3:$C$1000))*1,[1]OUT_TransportEnergyCons!N$3:N$1000)</f>
        <v>0</v>
      </c>
      <c r="Q1367" s="1" cm="1">
        <f t="array" ref="Q1367">SUMPRODUCT(("T_B_u-ICEDSL-S2"=[1]OUT_TransportEnergyCons!$A$3:$A$1000)*1,("var_fout"=[1]OUT_TransportEnergyCons!$B$3:$B$1000)*1,ISNUMBER(SEARCH("tpbsu",[1]OUT_TransportEnergyCons!$C$3:$C$1000))*1,[1]OUT_TransportEnergyCons!O$3:O$1000)</f>
        <v>0</v>
      </c>
      <c r="S1367" s="3"/>
    </row>
    <row r="1368" spans="2:19" x14ac:dyDescent="0.5">
      <c r="B1368" s="5" t="str">
        <f t="shared" si="1504"/>
        <v>SPS1</v>
      </c>
      <c r="C1368" s="5" t="str">
        <f t="shared" si="1505"/>
        <v>CH</v>
      </c>
      <c r="D1368" t="s">
        <v>1364</v>
      </c>
      <c r="E1368" t="str">
        <f t="shared" si="1506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3.6025324485543866E-2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5.3514447765440266E-2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9.7674407033897334E-2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SUMPRODUCT(("T_B_u-ICEDSL-S3"=[1]OUT_TransportEnergyCons!$A$3:$A$1000)*1,("var_fout"=[1]OUT_TransportEnergyCons!$B$3:$B$1000)*1,ISNUMBER(SEARCH("tpbsu",[1]OUT_TransportEnergyCons!$C$3:$C$1000))*1,[1]OUT_TransportEnergyCons!H$3:H$1000)</f>
        <v>0</v>
      </c>
      <c r="K1368" s="1" cm="1">
        <f t="array" ref="K1368">SUMPRODUCT(("T_B_u-ICEDSL-S3"=[1]OUT_TransportEnergyCons!$A$3:$A$1000)*1,("var_fout"=[1]OUT_TransportEnergyCons!$B$3:$B$1000)*1,ISNUMBER(SEARCH("tpbsu",[1]OUT_TransportEnergyCons!$C$3:$C$1000))*1,[1]OUT_TransportEnergyCons!I$3:I$1000)</f>
        <v>0</v>
      </c>
      <c r="L1368" s="1" cm="1">
        <f t="array" ref="L1368">SUMPRODUCT(("T_B_u-ICEDSL-S3"=[1]OUT_TransportEnergyCons!$A$3:$A$1000)*1,("var_fout"=[1]OUT_TransportEnergyCons!$B$3:$B$1000)*1,ISNUMBER(SEARCH("tpbsu",[1]OUT_TransportEnergyCons!$C$3:$C$1000))*1,[1]OUT_TransportEnergyCons!J$3:J$1000)</f>
        <v>0</v>
      </c>
      <c r="M1368" s="1" cm="1">
        <f t="array" ref="M1368">SUMPRODUCT(("T_B_u-ICEDSL-S3"=[1]OUT_TransportEnergyCons!$A$3:$A$1000)*1,("var_fout"=[1]OUT_TransportEnergyCons!$B$3:$B$1000)*1,ISNUMBER(SEARCH("tpbsu",[1]OUT_TransportEnergyCons!$C$3:$C$1000))*1,[1]OUT_TransportEnergyCons!K$3:K$1000)</f>
        <v>0</v>
      </c>
      <c r="N1368" s="1" cm="1">
        <f t="array" ref="N1368">SUMPRODUCT(("T_B_u-ICEDSL-S3"=[1]OUT_TransportEnergyCons!$A$3:$A$1000)*1,("var_fout"=[1]OUT_TransportEnergyCons!$B$3:$B$1000)*1,ISNUMBER(SEARCH("tpbsu",[1]OUT_TransportEnergyCons!$C$3:$C$1000))*1,[1]OUT_TransportEnergyCons!L$3:L$1000)</f>
        <v>0</v>
      </c>
      <c r="O1368" s="1" cm="1">
        <f t="array" ref="O1368">SUMPRODUCT(("T_B_u-ICEDSL-S3"=[1]OUT_TransportEnergyCons!$A$3:$A$1000)*1,("var_fout"=[1]OUT_TransportEnergyCons!$B$3:$B$1000)*1,ISNUMBER(SEARCH("tpbsu",[1]OUT_TransportEnergyCons!$C$3:$C$1000))*1,[1]OUT_TransportEnergyCons!M$3:M$1000)</f>
        <v>0</v>
      </c>
      <c r="P1368" s="1" cm="1">
        <f t="array" ref="P1368">SUMPRODUCT(("T_B_u-ICEDSL-S3"=[1]OUT_TransportEnergyCons!$A$3:$A$1000)*1,("var_fout"=[1]OUT_TransportEnergyCons!$B$3:$B$1000)*1,ISNUMBER(SEARCH("tpbsu",[1]OUT_TransportEnergyCons!$C$3:$C$1000))*1,[1]OUT_TransportEnergyCons!N$3:N$1000)</f>
        <v>0</v>
      </c>
      <c r="Q1368" s="1" cm="1">
        <f t="array" ref="Q1368">SUMPRODUCT(("T_B_u-ICEDSL-S3"=[1]OUT_TransportEnergyCons!$A$3:$A$1000)*1,("var_fout"=[1]OUT_TransportEnergyCons!$B$3:$B$1000)*1,ISNUMBER(SEARCH("tpbsu",[1]OUT_TransportEnergyCons!$C$3:$C$1000))*1,[1]OUT_TransportEnergyCons!O$3:O$1000)</f>
        <v>0</v>
      </c>
      <c r="S1368" s="3"/>
    </row>
    <row r="1369" spans="2:19" x14ac:dyDescent="0.5">
      <c r="B1369" s="5" t="str">
        <f t="shared" si="1504"/>
        <v>SPS1</v>
      </c>
      <c r="C1369" s="5" t="str">
        <f t="shared" si="1505"/>
        <v>CH</v>
      </c>
      <c r="D1369" t="s">
        <v>1365</v>
      </c>
      <c r="E1369" t="str">
        <f t="shared" si="1506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1.1448126484982601E-4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2.7665780960865893E-6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2.7007186522759334E-6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SUMPRODUCT(("T_B_u-ICEDSL-S4"=[1]OUT_TransportEnergyCons!$A$3:$A$1000)*1,("var_fout"=[1]OUT_TransportEnergyCons!$B$3:$B$1000)*1,ISNUMBER(SEARCH("tpbsu",[1]OUT_TransportEnergyCons!$C$3:$C$1000))*1,[1]OUT_TransportEnergyCons!H$3:H$1000)</f>
        <v>0</v>
      </c>
      <c r="K1369" s="1" cm="1">
        <f t="array" ref="K1369">SUMPRODUCT(("T_B_u-ICEDSL-S4"=[1]OUT_TransportEnergyCons!$A$3:$A$1000)*1,("var_fout"=[1]OUT_TransportEnergyCons!$B$3:$B$1000)*1,ISNUMBER(SEARCH("tpbsu",[1]OUT_TransportEnergyCons!$C$3:$C$1000))*1,[1]OUT_TransportEnergyCons!I$3:I$1000)</f>
        <v>0</v>
      </c>
      <c r="L1369" s="1" cm="1">
        <f t="array" ref="L1369">SUMPRODUCT(("T_B_u-ICEDSL-S4"=[1]OUT_TransportEnergyCons!$A$3:$A$1000)*1,("var_fout"=[1]OUT_TransportEnergyCons!$B$3:$B$1000)*1,ISNUMBER(SEARCH("tpbsu",[1]OUT_TransportEnergyCons!$C$3:$C$1000))*1,[1]OUT_TransportEnergyCons!J$3:J$1000)</f>
        <v>0</v>
      </c>
      <c r="M1369" s="1" cm="1">
        <f t="array" ref="M1369">SUMPRODUCT(("T_B_u-ICEDSL-S4"=[1]OUT_TransportEnergyCons!$A$3:$A$1000)*1,("var_fout"=[1]OUT_TransportEnergyCons!$B$3:$B$1000)*1,ISNUMBER(SEARCH("tpbsu",[1]OUT_TransportEnergyCons!$C$3:$C$1000))*1,[1]OUT_TransportEnergyCons!K$3:K$1000)</f>
        <v>0</v>
      </c>
      <c r="N1369" s="1" cm="1">
        <f t="array" ref="N1369">SUMPRODUCT(("T_B_u-ICEDSL-S4"=[1]OUT_TransportEnergyCons!$A$3:$A$1000)*1,("var_fout"=[1]OUT_TransportEnergyCons!$B$3:$B$1000)*1,ISNUMBER(SEARCH("tpbsu",[1]OUT_TransportEnergyCons!$C$3:$C$1000))*1,[1]OUT_TransportEnergyCons!L$3:L$1000)</f>
        <v>0</v>
      </c>
      <c r="O1369" s="1" cm="1">
        <f t="array" ref="O1369">SUMPRODUCT(("T_B_u-ICEDSL-S4"=[1]OUT_TransportEnergyCons!$A$3:$A$1000)*1,("var_fout"=[1]OUT_TransportEnergyCons!$B$3:$B$1000)*1,ISNUMBER(SEARCH("tpbsu",[1]OUT_TransportEnergyCons!$C$3:$C$1000))*1,[1]OUT_TransportEnergyCons!M$3:M$1000)</f>
        <v>0</v>
      </c>
      <c r="P1369" s="1" cm="1">
        <f t="array" ref="P1369">SUMPRODUCT(("T_B_u-ICEDSL-S4"=[1]OUT_TransportEnergyCons!$A$3:$A$1000)*1,("var_fout"=[1]OUT_TransportEnergyCons!$B$3:$B$1000)*1,ISNUMBER(SEARCH("tpbsu",[1]OUT_TransportEnergyCons!$C$3:$C$1000))*1,[1]OUT_TransportEnergyCons!N$3:N$1000)</f>
        <v>0</v>
      </c>
      <c r="Q1369" s="1" cm="1">
        <f t="array" ref="Q1369">SUMPRODUCT(("T_B_u-ICEDSL-S4"=[1]OUT_TransportEnergyCons!$A$3:$A$1000)*1,("var_fout"=[1]OUT_TransportEnergyCons!$B$3:$B$1000)*1,ISNUMBER(SEARCH("tpbsu",[1]OUT_TransportEnergyCons!$C$3:$C$1000))*1,[1]OUT_TransportEnergyCons!O$3:O$1000)</f>
        <v>0</v>
      </c>
      <c r="S1369" s="3"/>
    </row>
    <row r="1370" spans="2:19" x14ac:dyDescent="0.5">
      <c r="B1370" s="5" t="str">
        <f t="shared" si="1504"/>
        <v>SPS1</v>
      </c>
      <c r="C1370" s="5" t="str">
        <f t="shared" si="1505"/>
        <v>CH</v>
      </c>
      <c r="D1370" t="s">
        <v>2005</v>
      </c>
      <c r="E1370" t="str">
        <f t="shared" si="1506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4.4243346048845385E-3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3.546050724500116E-3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2.2163842211323074E-3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SUMPRODUCT(("T_B_u-ICEngaEXT"=[1]OUT_TransportEnergyCons!$A$3:$A$1000)*1,("var_fout"=[1]OUT_TransportEnergyCons!$B$3:$B$1000)*1,ISNUMBER(SEARCH("tpbsu",[1]OUT_TransportEnergyCons!$C$3:$C$1000))*1,[1]OUT_TransportEnergyCons!H$3:H$1000)</f>
        <v>0</v>
      </c>
      <c r="K1370" s="1" cm="1">
        <f t="array" ref="K1370">SUMPRODUCT(("T_B_u-ICEngaEXT"=[1]OUT_TransportEnergyCons!$A$3:$A$1000)*1,("var_fout"=[1]OUT_TransportEnergyCons!$B$3:$B$1000)*1,ISNUMBER(SEARCH("tpbsu",[1]OUT_TransportEnergyCons!$C$3:$C$1000))*1,[1]OUT_TransportEnergyCons!I$3:I$1000)</f>
        <v>0</v>
      </c>
      <c r="L1370" s="1" cm="1">
        <f t="array" ref="L1370">SUMPRODUCT(("T_B_u-ICEngaEXT"=[1]OUT_TransportEnergyCons!$A$3:$A$1000)*1,("var_fout"=[1]OUT_TransportEnergyCons!$B$3:$B$1000)*1,ISNUMBER(SEARCH("tpbsu",[1]OUT_TransportEnergyCons!$C$3:$C$1000))*1,[1]OUT_TransportEnergyCons!J$3:J$1000)</f>
        <v>0</v>
      </c>
      <c r="M1370" s="1" cm="1">
        <f t="array" ref="M1370">SUMPRODUCT(("T_B_u-ICEngaEXT"=[1]OUT_TransportEnergyCons!$A$3:$A$1000)*1,("var_fout"=[1]OUT_TransportEnergyCons!$B$3:$B$1000)*1,ISNUMBER(SEARCH("tpbsu",[1]OUT_TransportEnergyCons!$C$3:$C$1000))*1,[1]OUT_TransportEnergyCons!K$3:K$1000)</f>
        <v>0</v>
      </c>
      <c r="N1370" s="1" cm="1">
        <f t="array" ref="N1370">SUMPRODUCT(("T_B_u-ICEngaEXT"=[1]OUT_TransportEnergyCons!$A$3:$A$1000)*1,("var_fout"=[1]OUT_TransportEnergyCons!$B$3:$B$1000)*1,ISNUMBER(SEARCH("tpbsu",[1]OUT_TransportEnergyCons!$C$3:$C$1000))*1,[1]OUT_TransportEnergyCons!L$3:L$1000)</f>
        <v>0</v>
      </c>
      <c r="O1370" s="1" cm="1">
        <f t="array" ref="O1370">SUMPRODUCT(("T_B_u-ICEngaEXT"=[1]OUT_TransportEnergyCons!$A$3:$A$1000)*1,("var_fout"=[1]OUT_TransportEnergyCons!$B$3:$B$1000)*1,ISNUMBER(SEARCH("tpbsu",[1]OUT_TransportEnergyCons!$C$3:$C$1000))*1,[1]OUT_TransportEnergyCons!M$3:M$1000)</f>
        <v>0</v>
      </c>
      <c r="P1370" s="1" cm="1">
        <f t="array" ref="P1370">SUMPRODUCT(("T_B_u-ICEngaEXT"=[1]OUT_TransportEnergyCons!$A$3:$A$1000)*1,("var_fout"=[1]OUT_TransportEnergyCons!$B$3:$B$1000)*1,ISNUMBER(SEARCH("tpbsu",[1]OUT_TransportEnergyCons!$C$3:$C$1000))*1,[1]OUT_TransportEnergyCons!N$3:N$1000)</f>
        <v>0</v>
      </c>
      <c r="Q1370" s="1" cm="1">
        <f t="array" ref="Q1370">SUMPRODUCT(("T_B_u-ICEngaEXT"=[1]OUT_TransportEnergyCons!$A$3:$A$1000)*1,("var_fout"=[1]OUT_TransportEnergyCons!$B$3:$B$1000)*1,ISNUMBER(SEARCH("tpbsu",[1]OUT_TransportEnergyCons!$C$3:$C$1000))*1,[1]OUT_TransportEnergyCons!O$3:O$1000)</f>
        <v>0</v>
      </c>
      <c r="S1370" s="3"/>
    </row>
    <row r="1371" spans="2:19" x14ac:dyDescent="0.5">
      <c r="B1371" s="5" t="str">
        <f t="shared" si="1504"/>
        <v>SPS1</v>
      </c>
      <c r="C1371" s="5" t="str">
        <f t="shared" si="1505"/>
        <v>CH</v>
      </c>
      <c r="D1371" t="s">
        <v>1366</v>
      </c>
      <c r="E1371" t="str">
        <f t="shared" si="1506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6.6080051604116091E-6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2.7406350122076166E-5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0</v>
      </c>
      <c r="J1371" s="1" cm="1">
        <f t="array" ref="J1371">SUMPRODUCT(("T_B_u-ICEnga-S1"=[1]OUT_TransportEnergyCons!$A$3:$A$1000)*1,("var_fout"=[1]OUT_TransportEnergyCons!$B$3:$B$1000)*1,ISNUMBER(SEARCH("tpbsu",[1]OUT_TransportEnergyCons!$C$3:$C$1000))*1,[1]OUT_TransportEnergyCons!H$3:H$1000)</f>
        <v>0</v>
      </c>
      <c r="K1371" s="1" cm="1">
        <f t="array" ref="K1371">SUMPRODUCT(("T_B_u-ICEnga-S1"=[1]OUT_TransportEnergyCons!$A$3:$A$1000)*1,("var_fout"=[1]OUT_TransportEnergyCons!$B$3:$B$1000)*1,ISNUMBER(SEARCH("tpbsu",[1]OUT_TransportEnergyCons!$C$3:$C$1000))*1,[1]OUT_TransportEnergyCons!I$3:I$1000)</f>
        <v>0</v>
      </c>
      <c r="L1371" s="1" cm="1">
        <f t="array" ref="L1371">SUMPRODUCT(("T_B_u-ICEnga-S1"=[1]OUT_TransportEnergyCons!$A$3:$A$1000)*1,("var_fout"=[1]OUT_TransportEnergyCons!$B$3:$B$1000)*1,ISNUMBER(SEARCH("tpbsu",[1]OUT_TransportEnergyCons!$C$3:$C$1000))*1,[1]OUT_TransportEnergyCons!J$3:J$1000)</f>
        <v>0</v>
      </c>
      <c r="M1371" s="1" cm="1">
        <f t="array" ref="M1371">SUMPRODUCT(("T_B_u-ICEnga-S1"=[1]OUT_TransportEnergyCons!$A$3:$A$1000)*1,("var_fout"=[1]OUT_TransportEnergyCons!$B$3:$B$1000)*1,ISNUMBER(SEARCH("tpbsu",[1]OUT_TransportEnergyCons!$C$3:$C$1000))*1,[1]OUT_TransportEnergyCons!K$3:K$1000)</f>
        <v>0</v>
      </c>
      <c r="N1371" s="1" cm="1">
        <f t="array" ref="N1371">SUMPRODUCT(("T_B_u-ICEnga-S1"=[1]OUT_TransportEnergyCons!$A$3:$A$1000)*1,("var_fout"=[1]OUT_TransportEnergyCons!$B$3:$B$1000)*1,ISNUMBER(SEARCH("tpbsu",[1]OUT_TransportEnergyCons!$C$3:$C$1000))*1,[1]OUT_TransportEnergyCons!L$3:L$1000)</f>
        <v>0</v>
      </c>
      <c r="O1371" s="1" cm="1">
        <f t="array" ref="O1371">SUMPRODUCT(("T_B_u-ICEnga-S1"=[1]OUT_TransportEnergyCons!$A$3:$A$1000)*1,("var_fout"=[1]OUT_TransportEnergyCons!$B$3:$B$1000)*1,ISNUMBER(SEARCH("tpbsu",[1]OUT_TransportEnergyCons!$C$3:$C$1000))*1,[1]OUT_TransportEnergyCons!M$3:M$1000)</f>
        <v>0</v>
      </c>
      <c r="P1371" s="1" cm="1">
        <f t="array" ref="P1371">SUMPRODUCT(("T_B_u-ICEnga-S1"=[1]OUT_TransportEnergyCons!$A$3:$A$1000)*1,("var_fout"=[1]OUT_TransportEnergyCons!$B$3:$B$1000)*1,ISNUMBER(SEARCH("tpbsu",[1]OUT_TransportEnergyCons!$C$3:$C$1000))*1,[1]OUT_TransportEnergyCons!N$3:N$1000)</f>
        <v>0</v>
      </c>
      <c r="Q1371" s="1" cm="1">
        <f t="array" ref="Q1371">SUMPRODUCT(("T_B_u-ICEnga-S1"=[1]OUT_TransportEnergyCons!$A$3:$A$1000)*1,("var_fout"=[1]OUT_TransportEnergyCons!$B$3:$B$1000)*1,ISNUMBER(SEARCH("tpbsu",[1]OUT_TransportEnergyCons!$C$3:$C$1000))*1,[1]OUT_TransportEnergyCons!O$3:O$1000)</f>
        <v>0</v>
      </c>
      <c r="S1371" s="3"/>
    </row>
    <row r="1372" spans="2:19" x14ac:dyDescent="0.5">
      <c r="B1372" s="5" t="str">
        <f t="shared" si="1504"/>
        <v>SPS1</v>
      </c>
      <c r="C1372" s="5" t="str">
        <f t="shared" si="1505"/>
        <v>CH</v>
      </c>
      <c r="D1372" t="s">
        <v>1367</v>
      </c>
      <c r="E1372" t="str">
        <f t="shared" si="1506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3.4317958213255684E-6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3.4881386203783153E-5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SUMPRODUCT(("T_B_u-ICEnga-S2"=[1]OUT_TransportEnergyCons!$A$3:$A$1000)*1,("var_fout"=[1]OUT_TransportEnergyCons!$B$3:$B$1000)*1,ISNUMBER(SEARCH("tpbsu",[1]OUT_TransportEnergyCons!$C$3:$C$1000))*1,[1]OUT_TransportEnergyCons!H$3:H$1000)</f>
        <v>0</v>
      </c>
      <c r="K1372" s="1" cm="1">
        <f t="array" ref="K1372">SUMPRODUCT(("T_B_u-ICEnga-S2"=[1]OUT_TransportEnergyCons!$A$3:$A$1000)*1,("var_fout"=[1]OUT_TransportEnergyCons!$B$3:$B$1000)*1,ISNUMBER(SEARCH("tpbsu",[1]OUT_TransportEnergyCons!$C$3:$C$1000))*1,[1]OUT_TransportEnergyCons!I$3:I$1000)</f>
        <v>0</v>
      </c>
      <c r="L1372" s="1" cm="1">
        <f t="array" ref="L1372">SUMPRODUCT(("T_B_u-ICEnga-S2"=[1]OUT_TransportEnergyCons!$A$3:$A$1000)*1,("var_fout"=[1]OUT_TransportEnergyCons!$B$3:$B$1000)*1,ISNUMBER(SEARCH("tpbsu",[1]OUT_TransportEnergyCons!$C$3:$C$1000))*1,[1]OUT_TransportEnergyCons!J$3:J$1000)</f>
        <v>0</v>
      </c>
      <c r="M1372" s="1" cm="1">
        <f t="array" ref="M1372">SUMPRODUCT(("T_B_u-ICEnga-S2"=[1]OUT_TransportEnergyCons!$A$3:$A$1000)*1,("var_fout"=[1]OUT_TransportEnergyCons!$B$3:$B$1000)*1,ISNUMBER(SEARCH("tpbsu",[1]OUT_TransportEnergyCons!$C$3:$C$1000))*1,[1]OUT_TransportEnergyCons!K$3:K$1000)</f>
        <v>0</v>
      </c>
      <c r="N1372" s="1" cm="1">
        <f t="array" ref="N1372">SUMPRODUCT(("T_B_u-ICEnga-S2"=[1]OUT_TransportEnergyCons!$A$3:$A$1000)*1,("var_fout"=[1]OUT_TransportEnergyCons!$B$3:$B$1000)*1,ISNUMBER(SEARCH("tpbsu",[1]OUT_TransportEnergyCons!$C$3:$C$1000))*1,[1]OUT_TransportEnergyCons!L$3:L$1000)</f>
        <v>0</v>
      </c>
      <c r="O1372" s="1" cm="1">
        <f t="array" ref="O1372">SUMPRODUCT(("T_B_u-ICEnga-S2"=[1]OUT_TransportEnergyCons!$A$3:$A$1000)*1,("var_fout"=[1]OUT_TransportEnergyCons!$B$3:$B$1000)*1,ISNUMBER(SEARCH("tpbsu",[1]OUT_TransportEnergyCons!$C$3:$C$1000))*1,[1]OUT_TransportEnergyCons!M$3:M$1000)</f>
        <v>0</v>
      </c>
      <c r="P1372" s="1" cm="1">
        <f t="array" ref="P1372">SUMPRODUCT(("T_B_u-ICEnga-S2"=[1]OUT_TransportEnergyCons!$A$3:$A$1000)*1,("var_fout"=[1]OUT_TransportEnergyCons!$B$3:$B$1000)*1,ISNUMBER(SEARCH("tpbsu",[1]OUT_TransportEnergyCons!$C$3:$C$1000))*1,[1]OUT_TransportEnergyCons!N$3:N$1000)</f>
        <v>0</v>
      </c>
      <c r="Q1372" s="1" cm="1">
        <f t="array" ref="Q1372">SUMPRODUCT(("T_B_u-ICEnga-S2"=[1]OUT_TransportEnergyCons!$A$3:$A$1000)*1,("var_fout"=[1]OUT_TransportEnergyCons!$B$3:$B$1000)*1,ISNUMBER(SEARCH("tpbsu",[1]OUT_TransportEnergyCons!$C$3:$C$1000))*1,[1]OUT_TransportEnergyCons!O$3:O$1000)</f>
        <v>0</v>
      </c>
      <c r="S1372" s="3"/>
    </row>
    <row r="1373" spans="2:19" x14ac:dyDescent="0.5">
      <c r="B1373" s="5" t="str">
        <f t="shared" si="1504"/>
        <v>SPS1</v>
      </c>
      <c r="C1373" s="5" t="str">
        <f t="shared" si="1505"/>
        <v>CH</v>
      </c>
      <c r="D1373" t="s">
        <v>1368</v>
      </c>
      <c r="E1373" t="str">
        <f t="shared" si="1506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1.7268974034648899E-6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3.5837465661215956E-4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0</v>
      </c>
      <c r="J1373" s="1" cm="1">
        <f t="array" ref="J1373">SUMPRODUCT(("T_B_u-ICEnga-S3"=[1]OUT_TransportEnergyCons!$A$3:$A$1000)*1,("var_fout"=[1]OUT_TransportEnergyCons!$B$3:$B$1000)*1,ISNUMBER(SEARCH("tpbsu",[1]OUT_TransportEnergyCons!$C$3:$C$1000))*1,[1]OUT_TransportEnergyCons!H$3:H$1000)</f>
        <v>0</v>
      </c>
      <c r="K1373" s="1" cm="1">
        <f t="array" ref="K1373">SUMPRODUCT(("T_B_u-ICEnga-S3"=[1]OUT_TransportEnergyCons!$A$3:$A$1000)*1,("var_fout"=[1]OUT_TransportEnergyCons!$B$3:$B$1000)*1,ISNUMBER(SEARCH("tpbsu",[1]OUT_TransportEnergyCons!$C$3:$C$1000))*1,[1]OUT_TransportEnergyCons!I$3:I$1000)</f>
        <v>0</v>
      </c>
      <c r="L1373" s="1" cm="1">
        <f t="array" ref="L1373">SUMPRODUCT(("T_B_u-ICEnga-S3"=[1]OUT_TransportEnergyCons!$A$3:$A$1000)*1,("var_fout"=[1]OUT_TransportEnergyCons!$B$3:$B$1000)*1,ISNUMBER(SEARCH("tpbsu",[1]OUT_TransportEnergyCons!$C$3:$C$1000))*1,[1]OUT_TransportEnergyCons!J$3:J$1000)</f>
        <v>0</v>
      </c>
      <c r="M1373" s="1" cm="1">
        <f t="array" ref="M1373">SUMPRODUCT(("T_B_u-ICEnga-S3"=[1]OUT_TransportEnergyCons!$A$3:$A$1000)*1,("var_fout"=[1]OUT_TransportEnergyCons!$B$3:$B$1000)*1,ISNUMBER(SEARCH("tpbsu",[1]OUT_TransportEnergyCons!$C$3:$C$1000))*1,[1]OUT_TransportEnergyCons!K$3:K$1000)</f>
        <v>0</v>
      </c>
      <c r="N1373" s="1" cm="1">
        <f t="array" ref="N1373">SUMPRODUCT(("T_B_u-ICEnga-S3"=[1]OUT_TransportEnergyCons!$A$3:$A$1000)*1,("var_fout"=[1]OUT_TransportEnergyCons!$B$3:$B$1000)*1,ISNUMBER(SEARCH("tpbsu",[1]OUT_TransportEnergyCons!$C$3:$C$1000))*1,[1]OUT_TransportEnergyCons!L$3:L$1000)</f>
        <v>0</v>
      </c>
      <c r="O1373" s="1" cm="1">
        <f t="array" ref="O1373">SUMPRODUCT(("T_B_u-ICEnga-S3"=[1]OUT_TransportEnergyCons!$A$3:$A$1000)*1,("var_fout"=[1]OUT_TransportEnergyCons!$B$3:$B$1000)*1,ISNUMBER(SEARCH("tpbsu",[1]OUT_TransportEnergyCons!$C$3:$C$1000))*1,[1]OUT_TransportEnergyCons!M$3:M$1000)</f>
        <v>0</v>
      </c>
      <c r="P1373" s="1" cm="1">
        <f t="array" ref="P1373">SUMPRODUCT(("T_B_u-ICEnga-S3"=[1]OUT_TransportEnergyCons!$A$3:$A$1000)*1,("var_fout"=[1]OUT_TransportEnergyCons!$B$3:$B$1000)*1,ISNUMBER(SEARCH("tpbsu",[1]OUT_TransportEnergyCons!$C$3:$C$1000))*1,[1]OUT_TransportEnergyCons!N$3:N$1000)</f>
        <v>0</v>
      </c>
      <c r="Q1373" s="1" cm="1">
        <f t="array" ref="Q1373">SUMPRODUCT(("T_B_u-ICEnga-S3"=[1]OUT_TransportEnergyCons!$A$3:$A$1000)*1,("var_fout"=[1]OUT_TransportEnergyCons!$B$3:$B$1000)*1,ISNUMBER(SEARCH("tpbsu",[1]OUT_TransportEnergyCons!$C$3:$C$1000))*1,[1]OUT_TransportEnergyCons!O$3:O$1000)</f>
        <v>0</v>
      </c>
      <c r="S1373" s="3"/>
    </row>
    <row r="1374" spans="2:19" x14ac:dyDescent="0.5">
      <c r="B1374" s="5" t="str">
        <f t="shared" si="1504"/>
        <v>SPS1</v>
      </c>
      <c r="C1374" s="5" t="str">
        <f t="shared" si="1505"/>
        <v>CH</v>
      </c>
      <c r="D1374" t="s">
        <v>1369</v>
      </c>
      <c r="E1374" t="str">
        <f t="shared" si="1506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0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4.2216970512889299E-8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SUMPRODUCT(("T_B_u-ICEnga-S4"=[1]OUT_TransportEnergyCons!$A$3:$A$1000)*1,("var_fout"=[1]OUT_TransportEnergyCons!$B$3:$B$1000)*1,ISNUMBER(SEARCH("tpbsu",[1]OUT_TransportEnergyCons!$C$3:$C$1000))*1,[1]OUT_TransportEnergyCons!H$3:H$1000)</f>
        <v>0</v>
      </c>
      <c r="K1374" s="1" cm="1">
        <f t="array" ref="K1374">SUMPRODUCT(("T_B_u-ICEnga-S4"=[1]OUT_TransportEnergyCons!$A$3:$A$1000)*1,("var_fout"=[1]OUT_TransportEnergyCons!$B$3:$B$1000)*1,ISNUMBER(SEARCH("tpbsu",[1]OUT_TransportEnergyCons!$C$3:$C$1000))*1,[1]OUT_TransportEnergyCons!I$3:I$1000)</f>
        <v>0</v>
      </c>
      <c r="L1374" s="1" cm="1">
        <f t="array" ref="L1374">SUMPRODUCT(("T_B_u-ICEnga-S4"=[1]OUT_TransportEnergyCons!$A$3:$A$1000)*1,("var_fout"=[1]OUT_TransportEnergyCons!$B$3:$B$1000)*1,ISNUMBER(SEARCH("tpbsu",[1]OUT_TransportEnergyCons!$C$3:$C$1000))*1,[1]OUT_TransportEnergyCons!J$3:J$1000)</f>
        <v>0</v>
      </c>
      <c r="M1374" s="1" cm="1">
        <f t="array" ref="M1374">SUMPRODUCT(("T_B_u-ICEnga-S4"=[1]OUT_TransportEnergyCons!$A$3:$A$1000)*1,("var_fout"=[1]OUT_TransportEnergyCons!$B$3:$B$1000)*1,ISNUMBER(SEARCH("tpbsu",[1]OUT_TransportEnergyCons!$C$3:$C$1000))*1,[1]OUT_TransportEnergyCons!K$3:K$1000)</f>
        <v>0</v>
      </c>
      <c r="N1374" s="1" cm="1">
        <f t="array" ref="N1374">SUMPRODUCT(("T_B_u-ICEnga-S4"=[1]OUT_TransportEnergyCons!$A$3:$A$1000)*1,("var_fout"=[1]OUT_TransportEnergyCons!$B$3:$B$1000)*1,ISNUMBER(SEARCH("tpbsu",[1]OUT_TransportEnergyCons!$C$3:$C$1000))*1,[1]OUT_TransportEnergyCons!L$3:L$1000)</f>
        <v>0</v>
      </c>
      <c r="O1374" s="1" cm="1">
        <f t="array" ref="O1374">SUMPRODUCT(("T_B_u-ICEnga-S4"=[1]OUT_TransportEnergyCons!$A$3:$A$1000)*1,("var_fout"=[1]OUT_TransportEnergyCons!$B$3:$B$1000)*1,ISNUMBER(SEARCH("tpbsu",[1]OUT_TransportEnergyCons!$C$3:$C$1000))*1,[1]OUT_TransportEnergyCons!M$3:M$1000)</f>
        <v>0</v>
      </c>
      <c r="P1374" s="1" cm="1">
        <f t="array" ref="P1374">SUMPRODUCT(("T_B_u-ICEnga-S4"=[1]OUT_TransportEnergyCons!$A$3:$A$1000)*1,("var_fout"=[1]OUT_TransportEnergyCons!$B$3:$B$1000)*1,ISNUMBER(SEARCH("tpbsu",[1]OUT_TransportEnergyCons!$C$3:$C$1000))*1,[1]OUT_TransportEnergyCons!N$3:N$1000)</f>
        <v>0</v>
      </c>
      <c r="Q1374" s="1" cm="1">
        <f t="array" ref="Q1374">SUMPRODUCT(("T_B_u-ICEnga-S4"=[1]OUT_TransportEnergyCons!$A$3:$A$1000)*1,("var_fout"=[1]OUT_TransportEnergyCons!$B$3:$B$1000)*1,ISNUMBER(SEARCH("tpbsu",[1]OUT_TransportEnergyCons!$C$3:$C$1000))*1,[1]OUT_TransportEnergyCons!O$3:O$1000)</f>
        <v>0</v>
      </c>
      <c r="S1374" s="3"/>
    </row>
    <row r="1375" spans="2:19" x14ac:dyDescent="0.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0" t="s">
        <v>292</v>
      </c>
      <c r="G1375" s="20" t="s">
        <v>292</v>
      </c>
      <c r="H1375" s="20" t="s">
        <v>292</v>
      </c>
      <c r="I1375" s="20" t="s">
        <v>292</v>
      </c>
      <c r="J1375" s="20" t="s">
        <v>292</v>
      </c>
      <c r="K1375" s="20" t="s">
        <v>292</v>
      </c>
      <c r="L1375" s="20" t="s">
        <v>292</v>
      </c>
      <c r="M1375" s="20" t="s">
        <v>292</v>
      </c>
      <c r="N1375" s="20" t="s">
        <v>292</v>
      </c>
      <c r="O1375" s="20" t="s">
        <v>292</v>
      </c>
      <c r="P1375" s="20" t="s">
        <v>292</v>
      </c>
      <c r="Q1375" s="20" t="s">
        <v>292</v>
      </c>
      <c r="S1375" s="3"/>
    </row>
    <row r="1376" spans="2:19" x14ac:dyDescent="0.5">
      <c r="B1376" s="5" t="str">
        <f t="shared" ref="B1376:B1398" si="1507">B1375</f>
        <v>SPS1</v>
      </c>
      <c r="C1376" s="5" t="str">
        <f t="shared" ref="C1376:C1398" si="1508">C1375</f>
        <v>CH</v>
      </c>
      <c r="D1376" t="s">
        <v>1371</v>
      </c>
      <c r="E1376" t="s">
        <v>1229</v>
      </c>
      <c r="F1376" s="1">
        <f>IFERROR(F1352/F1317,"-")</f>
        <v>4.190604214466032</v>
      </c>
      <c r="G1376" s="1">
        <f t="shared" ref="G1376:K1376" si="1509">IFERROR(G1352/G1317,"-")</f>
        <v>3.3737507326839369</v>
      </c>
      <c r="H1376" s="1">
        <f t="shared" si="1509"/>
        <v>2.1484705100107919</v>
      </c>
      <c r="I1376" s="1" t="str">
        <f t="shared" si="1509"/>
        <v>-</v>
      </c>
      <c r="J1376" s="1" t="str">
        <f t="shared" si="1509"/>
        <v>-</v>
      </c>
      <c r="K1376" s="1" t="str">
        <f t="shared" si="1509"/>
        <v>-</v>
      </c>
      <c r="L1376" s="1" t="str">
        <f t="shared" ref="L1376:O1376" si="1510">IFERROR(L1352/L1317,"-")</f>
        <v>-</v>
      </c>
      <c r="M1376" s="1" t="str">
        <f t="shared" si="1510"/>
        <v>-</v>
      </c>
      <c r="N1376" s="1" t="str">
        <f t="shared" si="1510"/>
        <v>-</v>
      </c>
      <c r="O1376" s="1" t="str">
        <f t="shared" si="1510"/>
        <v>-</v>
      </c>
      <c r="P1376" s="1" t="str">
        <f t="shared" ref="P1376:Q1380" si="1511">IFERROR(P1352/P1317,"-")</f>
        <v>-</v>
      </c>
      <c r="Q1376" s="1" t="str">
        <f t="shared" si="1511"/>
        <v>-</v>
      </c>
      <c r="S1376" s="3"/>
    </row>
    <row r="1377" spans="2:19" x14ac:dyDescent="0.5">
      <c r="B1377" s="5" t="str">
        <f t="shared" si="1507"/>
        <v>SPS1</v>
      </c>
      <c r="C1377" s="5" t="str">
        <f t="shared" si="1508"/>
        <v>CH</v>
      </c>
      <c r="D1377" t="s">
        <v>1372</v>
      </c>
      <c r="E1377" t="s">
        <v>1229</v>
      </c>
      <c r="F1377" s="1">
        <f t="shared" ref="F1377:K1377" si="1512">IFERROR(F1353/F1318,"-")</f>
        <v>0.3786932170187175</v>
      </c>
      <c r="G1377" s="1">
        <f t="shared" si="1512"/>
        <v>0.39240966528017646</v>
      </c>
      <c r="H1377" s="1">
        <f t="shared" si="1512"/>
        <v>0.40719168251964927</v>
      </c>
      <c r="I1377" s="1">
        <f t="shared" si="1512"/>
        <v>0.44733135161094784</v>
      </c>
      <c r="J1377" s="1">
        <f t="shared" si="1512"/>
        <v>0.47108018255594897</v>
      </c>
      <c r="K1377" s="1">
        <f t="shared" si="1512"/>
        <v>0.47626779973223909</v>
      </c>
      <c r="L1377" s="1">
        <f t="shared" ref="L1377:O1377" si="1513">IFERROR(L1353/L1318,"-")</f>
        <v>0.49670288583926908</v>
      </c>
      <c r="M1377" s="1">
        <f t="shared" si="1513"/>
        <v>0.53117278871733142</v>
      </c>
      <c r="N1377" s="1">
        <f t="shared" si="1513"/>
        <v>0.53856719558614585</v>
      </c>
      <c r="O1377" s="1">
        <f t="shared" si="1513"/>
        <v>0.54235716283703539</v>
      </c>
      <c r="P1377" s="1">
        <f t="shared" si="1511"/>
        <v>0.54235716283703561</v>
      </c>
      <c r="Q1377" s="1">
        <f t="shared" si="1511"/>
        <v>0.54235716283703539</v>
      </c>
      <c r="S1377" s="3"/>
    </row>
    <row r="1378" spans="2:19" x14ac:dyDescent="0.5">
      <c r="B1378" s="5" t="str">
        <f t="shared" si="1507"/>
        <v>SPS1</v>
      </c>
      <c r="C1378" s="5" t="str">
        <f t="shared" si="1508"/>
        <v>CH</v>
      </c>
      <c r="D1378" t="s">
        <v>1373</v>
      </c>
      <c r="E1378" t="s">
        <v>1229</v>
      </c>
      <c r="F1378" s="1">
        <f t="shared" ref="F1378:K1378" si="1514">IFERROR(F1354/F1319,"-")</f>
        <v>0.27518070496490665</v>
      </c>
      <c r="G1378" s="1">
        <f t="shared" si="1514"/>
        <v>0.27734290034365888</v>
      </c>
      <c r="H1378" s="1">
        <f t="shared" si="1514"/>
        <v>0.28486233693358715</v>
      </c>
      <c r="I1378" s="1">
        <f t="shared" si="1514"/>
        <v>0.32410224178839731</v>
      </c>
      <c r="J1378" s="1">
        <f t="shared" si="1514"/>
        <v>0.33978235043621074</v>
      </c>
      <c r="K1378" s="1">
        <f t="shared" si="1514"/>
        <v>0.34337475666435746</v>
      </c>
      <c r="L1378" s="1">
        <f t="shared" ref="L1378:O1378" si="1515">IFERROR(L1354/L1319,"-")</f>
        <v>0.35772409056977128</v>
      </c>
      <c r="M1378" s="1">
        <f t="shared" si="1515"/>
        <v>0.38355411576066234</v>
      </c>
      <c r="N1378" s="1">
        <f t="shared" si="1515"/>
        <v>0.38911918095517101</v>
      </c>
      <c r="O1378" s="1">
        <f t="shared" si="1515"/>
        <v>0.39241606511730975</v>
      </c>
      <c r="P1378" s="1">
        <f t="shared" si="1511"/>
        <v>0.39241606511730903</v>
      </c>
      <c r="Q1378" s="1">
        <f t="shared" si="1511"/>
        <v>0.39241606511731086</v>
      </c>
      <c r="S1378" s="3"/>
    </row>
    <row r="1379" spans="2:19" x14ac:dyDescent="0.5">
      <c r="B1379" s="5" t="str">
        <f t="shared" si="1507"/>
        <v>SPS1</v>
      </c>
      <c r="C1379" s="5" t="str">
        <f t="shared" si="1508"/>
        <v>CH</v>
      </c>
      <c r="D1379" t="s">
        <v>1374</v>
      </c>
      <c r="E1379" t="s">
        <v>1229</v>
      </c>
      <c r="F1379" s="1">
        <f t="shared" ref="F1379:K1379" si="1516">IFERROR(F1355/F1320,"-")</f>
        <v>0.18297040713439924</v>
      </c>
      <c r="G1379" s="1">
        <f t="shared" si="1516"/>
        <v>0.18470223124857102</v>
      </c>
      <c r="H1379" s="1">
        <f t="shared" si="1516"/>
        <v>0.18633830672205839</v>
      </c>
      <c r="I1379" s="1">
        <f t="shared" si="1516"/>
        <v>0.21589814781977867</v>
      </c>
      <c r="J1379" s="1">
        <f t="shared" si="1516"/>
        <v>0.21934574421414882</v>
      </c>
      <c r="K1379" s="1">
        <f t="shared" si="1516"/>
        <v>0.23564328469674006</v>
      </c>
      <c r="L1379" s="1">
        <f t="shared" ref="L1379:O1379" si="1517">IFERROR(L1355/L1320,"-")</f>
        <v>0.24260580140927779</v>
      </c>
      <c r="M1379" s="1">
        <f t="shared" si="1517"/>
        <v>0.25789310635891061</v>
      </c>
      <c r="N1379" s="1">
        <f t="shared" si="1517"/>
        <v>0.26149883645333394</v>
      </c>
      <c r="O1379" s="1">
        <f t="shared" si="1517"/>
        <v>0.26214281836713815</v>
      </c>
      <c r="P1379" s="1">
        <f t="shared" si="1511"/>
        <v>0.26214281836713837</v>
      </c>
      <c r="Q1379" s="1">
        <f t="shared" si="1511"/>
        <v>0.26214281836713782</v>
      </c>
      <c r="S1379" s="3"/>
    </row>
    <row r="1380" spans="2:19" x14ac:dyDescent="0.5">
      <c r="B1380" s="5" t="str">
        <f t="shared" si="1507"/>
        <v>SPS1</v>
      </c>
      <c r="C1380" s="5" t="str">
        <f t="shared" si="1508"/>
        <v>CH</v>
      </c>
      <c r="D1380" t="s">
        <v>1375</v>
      </c>
      <c r="E1380" t="s">
        <v>1229</v>
      </c>
      <c r="F1380" s="1">
        <f t="shared" ref="F1380:K1380" si="1518">IFERROR(F1356/F1321,"-")</f>
        <v>0.12198710645807108</v>
      </c>
      <c r="G1380" s="1">
        <f t="shared" si="1518"/>
        <v>0.125946864917972</v>
      </c>
      <c r="H1380" s="1">
        <f t="shared" si="1518"/>
        <v>0.12884216993759373</v>
      </c>
      <c r="I1380" s="1">
        <f t="shared" si="1518"/>
        <v>0.14419217872443729</v>
      </c>
      <c r="J1380" s="1">
        <f t="shared" si="1518"/>
        <v>0.14457880523641403</v>
      </c>
      <c r="K1380" s="1">
        <f t="shared" si="1518"/>
        <v>0.15791939456071916</v>
      </c>
      <c r="L1380" s="1">
        <f t="shared" ref="L1380:O1380" si="1519">IFERROR(L1356/L1321,"-")</f>
        <v>0.16581419471587869</v>
      </c>
      <c r="M1380" s="1">
        <f t="shared" si="1519"/>
        <v>0.17249217012312004</v>
      </c>
      <c r="N1380" s="1">
        <f t="shared" si="1519"/>
        <v>0.17547614587850288</v>
      </c>
      <c r="O1380" s="1">
        <f t="shared" si="1519"/>
        <v>0.17547614587850302</v>
      </c>
      <c r="P1380" s="1">
        <f t="shared" si="1511"/>
        <v>0.17547614587850302</v>
      </c>
      <c r="Q1380" s="1">
        <f t="shared" si="1511"/>
        <v>0.17547614587850296</v>
      </c>
      <c r="S1380" s="3"/>
    </row>
    <row r="1381" spans="2:19" x14ac:dyDescent="0.5">
      <c r="B1381" s="5" t="str">
        <f t="shared" si="1507"/>
        <v>SPS1</v>
      </c>
      <c r="C1381" s="5" t="str">
        <f t="shared" si="1508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520">IFERROR(G1357/G1323,"-")</f>
        <v>-</v>
      </c>
      <c r="H1381" s="1" t="str">
        <f t="shared" si="1520"/>
        <v>-</v>
      </c>
      <c r="I1381" s="1" t="str">
        <f t="shared" si="1520"/>
        <v>-</v>
      </c>
      <c r="J1381" s="1" t="str">
        <f t="shared" si="1520"/>
        <v>-</v>
      </c>
      <c r="K1381" s="1" t="str">
        <f t="shared" si="1520"/>
        <v>-</v>
      </c>
      <c r="L1381" s="1" t="str">
        <f t="shared" ref="L1381:O1381" si="1521">IFERROR(L1357/L1323,"-")</f>
        <v>-</v>
      </c>
      <c r="M1381" s="1" t="str">
        <f t="shared" si="1521"/>
        <v>-</v>
      </c>
      <c r="N1381" s="1" t="str">
        <f t="shared" si="1521"/>
        <v>-</v>
      </c>
      <c r="O1381" s="1" t="str">
        <f t="shared" si="1521"/>
        <v>-</v>
      </c>
      <c r="P1381" s="1" t="str">
        <f t="shared" ref="P1381:Q1384" si="1522">IFERROR(P1357/P1323,"-")</f>
        <v>-</v>
      </c>
      <c r="Q1381" s="1" t="str">
        <f t="shared" si="1522"/>
        <v>-</v>
      </c>
      <c r="S1381" s="3"/>
    </row>
    <row r="1382" spans="2:19" x14ac:dyDescent="0.5">
      <c r="B1382" s="5" t="str">
        <f t="shared" si="1507"/>
        <v>SPS1</v>
      </c>
      <c r="C1382" s="5" t="str">
        <f t="shared" si="1508"/>
        <v>CH</v>
      </c>
      <c r="D1382" t="s">
        <v>1377</v>
      </c>
      <c r="E1382" t="s">
        <v>1229</v>
      </c>
      <c r="F1382" s="1" t="str">
        <f t="shared" ref="F1382:K1382" si="1523">IFERROR(F1358/F1324,"-")</f>
        <v>-</v>
      </c>
      <c r="G1382" s="1" t="str">
        <f t="shared" si="1523"/>
        <v>-</v>
      </c>
      <c r="H1382" s="1" t="str">
        <f t="shared" si="1523"/>
        <v>-</v>
      </c>
      <c r="I1382" s="1" t="str">
        <f t="shared" si="1523"/>
        <v>-</v>
      </c>
      <c r="J1382" s="1" t="str">
        <f t="shared" si="1523"/>
        <v>-</v>
      </c>
      <c r="K1382" s="1" t="str">
        <f t="shared" si="1523"/>
        <v>-</v>
      </c>
      <c r="L1382" s="1" t="str">
        <f t="shared" ref="L1382:O1382" si="1524">IFERROR(L1358/L1324,"-")</f>
        <v>-</v>
      </c>
      <c r="M1382" s="1" t="str">
        <f t="shared" si="1524"/>
        <v>-</v>
      </c>
      <c r="N1382" s="1" t="str">
        <f t="shared" si="1524"/>
        <v>-</v>
      </c>
      <c r="O1382" s="1" t="str">
        <f t="shared" si="1524"/>
        <v>-</v>
      </c>
      <c r="P1382" s="1" t="str">
        <f t="shared" si="1522"/>
        <v>-</v>
      </c>
      <c r="Q1382" s="1" t="str">
        <f t="shared" si="1522"/>
        <v>-</v>
      </c>
      <c r="S1382" s="3"/>
    </row>
    <row r="1383" spans="2:19" x14ac:dyDescent="0.5">
      <c r="B1383" s="5" t="str">
        <f t="shared" si="1507"/>
        <v>SPS1</v>
      </c>
      <c r="C1383" s="5" t="str">
        <f t="shared" si="1508"/>
        <v>CH</v>
      </c>
      <c r="D1383" t="s">
        <v>1378</v>
      </c>
      <c r="E1383" t="s">
        <v>1229</v>
      </c>
      <c r="F1383" s="1" t="str">
        <f t="shared" ref="F1383:K1383" si="1525">IFERROR(F1359/F1325,"-")</f>
        <v>-</v>
      </c>
      <c r="G1383" s="1" t="str">
        <f t="shared" si="1525"/>
        <v>-</v>
      </c>
      <c r="H1383" s="1" t="str">
        <f t="shared" si="1525"/>
        <v>-</v>
      </c>
      <c r="I1383" s="1" t="str">
        <f t="shared" si="1525"/>
        <v>-</v>
      </c>
      <c r="J1383" s="1" t="str">
        <f t="shared" si="1525"/>
        <v>-</v>
      </c>
      <c r="K1383" s="1" t="str">
        <f t="shared" si="1525"/>
        <v>-</v>
      </c>
      <c r="L1383" s="1" t="str">
        <f t="shared" ref="L1383:O1383" si="1526">IFERROR(L1359/L1325,"-")</f>
        <v>-</v>
      </c>
      <c r="M1383" s="1" t="str">
        <f t="shared" si="1526"/>
        <v>-</v>
      </c>
      <c r="N1383" s="1" t="str">
        <f t="shared" si="1526"/>
        <v>-</v>
      </c>
      <c r="O1383" s="1" t="str">
        <f t="shared" si="1526"/>
        <v>-</v>
      </c>
      <c r="P1383" s="1" t="str">
        <f t="shared" si="1522"/>
        <v>-</v>
      </c>
      <c r="Q1383" s="1" t="str">
        <f t="shared" si="1522"/>
        <v>-</v>
      </c>
      <c r="S1383" s="3"/>
    </row>
    <row r="1384" spans="2:19" x14ac:dyDescent="0.5">
      <c r="B1384" s="5" t="str">
        <f t="shared" si="1507"/>
        <v>SPS1</v>
      </c>
      <c r="C1384" s="5" t="str">
        <f t="shared" si="1508"/>
        <v>CH</v>
      </c>
      <c r="D1384" t="s">
        <v>1379</v>
      </c>
      <c r="E1384" t="s">
        <v>1229</v>
      </c>
      <c r="F1384" s="1" t="str">
        <f t="shared" ref="F1384:K1384" si="1527">IFERROR(F1360/F1326,"-")</f>
        <v>-</v>
      </c>
      <c r="G1384" s="1" t="str">
        <f t="shared" si="1527"/>
        <v>-</v>
      </c>
      <c r="H1384" s="1" t="str">
        <f t="shared" si="1527"/>
        <v>-</v>
      </c>
      <c r="I1384" s="1" t="str">
        <f t="shared" si="1527"/>
        <v>-</v>
      </c>
      <c r="J1384" s="1" t="str">
        <f t="shared" si="1527"/>
        <v>-</v>
      </c>
      <c r="K1384" s="1" t="str">
        <f t="shared" si="1527"/>
        <v>-</v>
      </c>
      <c r="L1384" s="1" t="str">
        <f t="shared" ref="L1384:O1384" si="1528">IFERROR(L1360/L1326,"-")</f>
        <v>-</v>
      </c>
      <c r="M1384" s="1" t="str">
        <f t="shared" si="1528"/>
        <v>-</v>
      </c>
      <c r="N1384" s="1" t="str">
        <f t="shared" si="1528"/>
        <v>-</v>
      </c>
      <c r="O1384" s="1" t="str">
        <f t="shared" si="1528"/>
        <v>-</v>
      </c>
      <c r="P1384" s="1" t="str">
        <f t="shared" si="1522"/>
        <v>-</v>
      </c>
      <c r="Q1384" s="1" t="str">
        <f t="shared" si="1522"/>
        <v>-</v>
      </c>
      <c r="S1384" s="3"/>
    </row>
    <row r="1385" spans="2:19" x14ac:dyDescent="0.5">
      <c r="B1385" s="5" t="str">
        <f t="shared" si="1507"/>
        <v>SPS1</v>
      </c>
      <c r="C1385" s="5" t="str">
        <f t="shared" si="1508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529">IFERROR(G1361/G1332,"-")</f>
        <v>0.16251369968883844</v>
      </c>
      <c r="H1385" s="1">
        <f t="shared" si="1529"/>
        <v>0.16253257681102418</v>
      </c>
      <c r="I1385" s="1" t="str">
        <f t="shared" si="1529"/>
        <v>-</v>
      </c>
      <c r="J1385" s="1" t="str">
        <f t="shared" si="1529"/>
        <v>-</v>
      </c>
      <c r="K1385" s="1" t="str">
        <f t="shared" si="1529"/>
        <v>-</v>
      </c>
      <c r="L1385" s="1" t="str">
        <f t="shared" ref="L1385:O1385" si="1530">IFERROR(L1361/L1332,"-")</f>
        <v>-</v>
      </c>
      <c r="M1385" s="1" t="str">
        <f t="shared" si="1530"/>
        <v>-</v>
      </c>
      <c r="N1385" s="1" t="str">
        <f t="shared" si="1530"/>
        <v>-</v>
      </c>
      <c r="O1385" s="1" t="str">
        <f t="shared" si="1530"/>
        <v>-</v>
      </c>
      <c r="P1385" s="1" t="str">
        <f t="shared" ref="P1385:Q1393" si="1531">IFERROR(P1361/P1332,"-")</f>
        <v>-</v>
      </c>
      <c r="Q1385" s="1" t="str">
        <f t="shared" si="1531"/>
        <v>-</v>
      </c>
      <c r="S1385" s="3"/>
    </row>
    <row r="1386" spans="2:19" x14ac:dyDescent="0.5">
      <c r="B1386" s="5" t="str">
        <f t="shared" si="1507"/>
        <v>SPS1</v>
      </c>
      <c r="C1386" s="5" t="str">
        <f t="shared" si="1508"/>
        <v>CH</v>
      </c>
      <c r="D1386" t="s">
        <v>1381</v>
      </c>
      <c r="E1386" t="s">
        <v>1229</v>
      </c>
      <c r="F1386" s="1" t="str">
        <f t="shared" ref="F1386:K1386" si="1532">IFERROR(F1362/F1333,"-")</f>
        <v>-</v>
      </c>
      <c r="G1386" s="1">
        <f t="shared" si="1532"/>
        <v>0.1164939343574414</v>
      </c>
      <c r="H1386" s="1">
        <f t="shared" si="1532"/>
        <v>0.11827420622273307</v>
      </c>
      <c r="I1386" s="1" t="str">
        <f t="shared" si="1532"/>
        <v>-</v>
      </c>
      <c r="J1386" s="1" t="str">
        <f t="shared" si="1532"/>
        <v>-</v>
      </c>
      <c r="K1386" s="1" t="str">
        <f t="shared" si="1532"/>
        <v>-</v>
      </c>
      <c r="L1386" s="1" t="str">
        <f t="shared" ref="L1386:O1386" si="1533">IFERROR(L1362/L1333,"-")</f>
        <v>-</v>
      </c>
      <c r="M1386" s="1" t="str">
        <f t="shared" si="1533"/>
        <v>-</v>
      </c>
      <c r="N1386" s="1" t="str">
        <f t="shared" si="1533"/>
        <v>-</v>
      </c>
      <c r="O1386" s="1" t="str">
        <f t="shared" si="1533"/>
        <v>-</v>
      </c>
      <c r="P1386" s="1" t="str">
        <f t="shared" si="1531"/>
        <v>-</v>
      </c>
      <c r="Q1386" s="1" t="str">
        <f t="shared" si="1531"/>
        <v>-</v>
      </c>
      <c r="S1386" s="3"/>
    </row>
    <row r="1387" spans="2:19" x14ac:dyDescent="0.5">
      <c r="B1387" s="5" t="str">
        <f t="shared" si="1507"/>
        <v>SPS1</v>
      </c>
      <c r="C1387" s="5" t="str">
        <f t="shared" si="1508"/>
        <v>CH</v>
      </c>
      <c r="D1387" t="s">
        <v>1382</v>
      </c>
      <c r="E1387" t="s">
        <v>1229</v>
      </c>
      <c r="F1387" s="1" t="str">
        <f t="shared" ref="F1387:K1387" si="1534">IFERROR(F1363/F1334,"-")</f>
        <v>-</v>
      </c>
      <c r="G1387" s="1">
        <f t="shared" si="1534"/>
        <v>7.8235828164578899E-2</v>
      </c>
      <c r="H1387" s="1">
        <f t="shared" si="1534"/>
        <v>7.9319675848670806E-2</v>
      </c>
      <c r="I1387" s="1" t="str">
        <f t="shared" si="1534"/>
        <v>-</v>
      </c>
      <c r="J1387" s="1" t="str">
        <f t="shared" si="1534"/>
        <v>-</v>
      </c>
      <c r="K1387" s="1" t="str">
        <f t="shared" si="1534"/>
        <v>-</v>
      </c>
      <c r="L1387" s="1" t="str">
        <f t="shared" ref="L1387:O1387" si="1535">IFERROR(L1363/L1334,"-")</f>
        <v>-</v>
      </c>
      <c r="M1387" s="1" t="str">
        <f t="shared" si="1535"/>
        <v>-</v>
      </c>
      <c r="N1387" s="1" t="str">
        <f t="shared" si="1535"/>
        <v>-</v>
      </c>
      <c r="O1387" s="1" t="str">
        <f t="shared" si="1535"/>
        <v>-</v>
      </c>
      <c r="P1387" s="1" t="str">
        <f t="shared" si="1531"/>
        <v>-</v>
      </c>
      <c r="Q1387" s="1" t="str">
        <f t="shared" si="1531"/>
        <v>-</v>
      </c>
      <c r="S1387" s="3"/>
    </row>
    <row r="1388" spans="2:19" x14ac:dyDescent="0.5">
      <c r="B1388" s="5" t="str">
        <f t="shared" si="1507"/>
        <v>SPS1</v>
      </c>
      <c r="C1388" s="5" t="str">
        <f t="shared" si="1508"/>
        <v>CH</v>
      </c>
      <c r="D1388" t="s">
        <v>1383</v>
      </c>
      <c r="E1388" t="s">
        <v>1229</v>
      </c>
      <c r="F1388" s="1" t="str">
        <f t="shared" ref="F1388:K1388" si="1536">IFERROR(F1364/F1335,"-")</f>
        <v>-</v>
      </c>
      <c r="G1388" s="1">
        <f t="shared" si="1536"/>
        <v>5.2751439830497793E-2</v>
      </c>
      <c r="H1388" s="1">
        <f t="shared" si="1536"/>
        <v>5.3711703346940212E-2</v>
      </c>
      <c r="I1388" s="1" t="str">
        <f t="shared" si="1536"/>
        <v>-</v>
      </c>
      <c r="J1388" s="1" t="str">
        <f t="shared" si="1536"/>
        <v>-</v>
      </c>
      <c r="K1388" s="1" t="str">
        <f t="shared" si="1536"/>
        <v>-</v>
      </c>
      <c r="L1388" s="1" t="str">
        <f t="shared" ref="L1388:O1388" si="1537">IFERROR(L1364/L1335,"-")</f>
        <v>-</v>
      </c>
      <c r="M1388" s="1" t="str">
        <f t="shared" si="1537"/>
        <v>-</v>
      </c>
      <c r="N1388" s="1" t="str">
        <f t="shared" si="1537"/>
        <v>-</v>
      </c>
      <c r="O1388" s="1" t="str">
        <f t="shared" si="1537"/>
        <v>-</v>
      </c>
      <c r="P1388" s="1" t="str">
        <f t="shared" si="1531"/>
        <v>-</v>
      </c>
      <c r="Q1388" s="1" t="str">
        <f t="shared" si="1531"/>
        <v>-</v>
      </c>
      <c r="S1388" s="3"/>
    </row>
    <row r="1389" spans="2:19" x14ac:dyDescent="0.5">
      <c r="B1389" s="5" t="str">
        <f t="shared" si="1507"/>
        <v>SPS1</v>
      </c>
      <c r="C1389" s="5" t="str">
        <f t="shared" si="1508"/>
        <v>CH</v>
      </c>
      <c r="D1389" t="s">
        <v>2002</v>
      </c>
      <c r="E1389" t="s">
        <v>1229</v>
      </c>
      <c r="F1389" s="1">
        <f>IFERROR(F1365/F1336,"-")</f>
        <v>13.968680714886816</v>
      </c>
      <c r="G1389" s="1">
        <f t="shared" ref="G1389:K1389" si="1538">IFERROR(G1365/G1336,"-")</f>
        <v>11.189596541502643</v>
      </c>
      <c r="H1389" s="1">
        <f t="shared" si="1538"/>
        <v>7.0209702814264281</v>
      </c>
      <c r="I1389" s="1" t="str">
        <f t="shared" si="1538"/>
        <v>-</v>
      </c>
      <c r="J1389" s="1" t="str">
        <f t="shared" si="1538"/>
        <v>-</v>
      </c>
      <c r="K1389" s="1" t="str">
        <f t="shared" si="1538"/>
        <v>-</v>
      </c>
      <c r="L1389" s="1" t="str">
        <f t="shared" ref="L1389:O1389" si="1539">IFERROR(L1365/L1336,"-")</f>
        <v>-</v>
      </c>
      <c r="M1389" s="1" t="str">
        <f t="shared" si="1539"/>
        <v>-</v>
      </c>
      <c r="N1389" s="1" t="str">
        <f t="shared" si="1539"/>
        <v>-</v>
      </c>
      <c r="O1389" s="1" t="str">
        <f t="shared" si="1539"/>
        <v>-</v>
      </c>
      <c r="P1389" s="1" t="str">
        <f t="shared" si="1531"/>
        <v>-</v>
      </c>
      <c r="Q1389" s="1" t="str">
        <f t="shared" si="1531"/>
        <v>-</v>
      </c>
      <c r="S1389" s="3"/>
    </row>
    <row r="1390" spans="2:19" x14ac:dyDescent="0.5">
      <c r="B1390" s="5" t="str">
        <f t="shared" si="1507"/>
        <v>SPS1</v>
      </c>
      <c r="C1390" s="5" t="str">
        <f t="shared" si="1508"/>
        <v>CH</v>
      </c>
      <c r="D1390" t="s">
        <v>1384</v>
      </c>
      <c r="E1390" t="s">
        <v>1229</v>
      </c>
      <c r="F1390" s="1">
        <f t="shared" ref="F1390:K1390" si="1540">IFERROR(F1366/F1337,"-")</f>
        <v>0.12391916748597501</v>
      </c>
      <c r="G1390" s="1">
        <f t="shared" si="1540"/>
        <v>0.12850912330844838</v>
      </c>
      <c r="H1390" s="1">
        <f t="shared" si="1540"/>
        <v>0.13209430898084867</v>
      </c>
      <c r="I1390" s="1">
        <f t="shared" si="1540"/>
        <v>0.12391916748597487</v>
      </c>
      <c r="J1390" s="1" t="str">
        <f t="shared" si="1540"/>
        <v>-</v>
      </c>
      <c r="K1390" s="1" t="str">
        <f t="shared" si="1540"/>
        <v>-</v>
      </c>
      <c r="L1390" s="1" t="str">
        <f t="shared" ref="L1390:O1390" si="1541">IFERROR(L1366/L1337,"-")</f>
        <v>-</v>
      </c>
      <c r="M1390" s="1" t="str">
        <f t="shared" si="1541"/>
        <v>-</v>
      </c>
      <c r="N1390" s="1" t="str">
        <f t="shared" si="1541"/>
        <v>-</v>
      </c>
      <c r="O1390" s="1" t="str">
        <f t="shared" si="1541"/>
        <v>-</v>
      </c>
      <c r="P1390" s="1" t="str">
        <f t="shared" si="1531"/>
        <v>-</v>
      </c>
      <c r="Q1390" s="1" t="str">
        <f t="shared" si="1531"/>
        <v>-</v>
      </c>
      <c r="S1390" s="3"/>
    </row>
    <row r="1391" spans="2:19" x14ac:dyDescent="0.5">
      <c r="B1391" s="5" t="str">
        <f t="shared" si="1507"/>
        <v>SPS1</v>
      </c>
      <c r="C1391" s="5" t="str">
        <f t="shared" si="1508"/>
        <v>CH</v>
      </c>
      <c r="D1391" t="s">
        <v>1385</v>
      </c>
      <c r="E1391" t="s">
        <v>1229</v>
      </c>
      <c r="F1391" s="1">
        <f t="shared" ref="F1391:K1391" si="1542">IFERROR(F1367/F1338,"-")</f>
        <v>8.7465847585616666E-2</v>
      </c>
      <c r="G1391" s="1">
        <f t="shared" si="1542"/>
        <v>8.7820690109485372E-2</v>
      </c>
      <c r="H1391" s="1">
        <f t="shared" si="1542"/>
        <v>9.0992804519859097E-2</v>
      </c>
      <c r="I1391" s="1" t="str">
        <f t="shared" si="1542"/>
        <v>-</v>
      </c>
      <c r="J1391" s="1" t="str">
        <f t="shared" si="1542"/>
        <v>-</v>
      </c>
      <c r="K1391" s="1" t="str">
        <f t="shared" si="1542"/>
        <v>-</v>
      </c>
      <c r="L1391" s="1" t="str">
        <f t="shared" ref="L1391:O1391" si="1543">IFERROR(L1367/L1338,"-")</f>
        <v>-</v>
      </c>
      <c r="M1391" s="1" t="str">
        <f t="shared" si="1543"/>
        <v>-</v>
      </c>
      <c r="N1391" s="1" t="str">
        <f t="shared" si="1543"/>
        <v>-</v>
      </c>
      <c r="O1391" s="1" t="str">
        <f t="shared" si="1543"/>
        <v>-</v>
      </c>
      <c r="P1391" s="1" t="str">
        <f t="shared" si="1531"/>
        <v>-</v>
      </c>
      <c r="Q1391" s="1" t="str">
        <f t="shared" si="1531"/>
        <v>-</v>
      </c>
      <c r="S1391" s="3"/>
    </row>
    <row r="1392" spans="2:19" x14ac:dyDescent="0.5">
      <c r="B1392" s="5" t="str">
        <f t="shared" si="1507"/>
        <v>SPS1</v>
      </c>
      <c r="C1392" s="5" t="str">
        <f t="shared" si="1508"/>
        <v>CH</v>
      </c>
      <c r="D1392" t="s">
        <v>1386</v>
      </c>
      <c r="E1392" t="s">
        <v>1229</v>
      </c>
      <c r="F1392" s="1">
        <f t="shared" ref="F1392:K1392" si="1544">IFERROR(F1368/F1339,"-")</f>
        <v>5.7949527986548739E-2</v>
      </c>
      <c r="G1392" s="1">
        <f t="shared" si="1544"/>
        <v>5.8206889010973456E-2</v>
      </c>
      <c r="H1392" s="1">
        <f t="shared" si="1544"/>
        <v>6.0305852059772812E-2</v>
      </c>
      <c r="I1392" s="1" t="str">
        <f t="shared" si="1544"/>
        <v>-</v>
      </c>
      <c r="J1392" s="1" t="str">
        <f t="shared" si="1544"/>
        <v>-</v>
      </c>
      <c r="K1392" s="1" t="str">
        <f t="shared" si="1544"/>
        <v>-</v>
      </c>
      <c r="L1392" s="1" t="str">
        <f t="shared" ref="L1392:O1392" si="1545">IFERROR(L1368/L1339,"-")</f>
        <v>-</v>
      </c>
      <c r="M1392" s="1" t="str">
        <f t="shared" si="1545"/>
        <v>-</v>
      </c>
      <c r="N1392" s="1" t="str">
        <f t="shared" si="1545"/>
        <v>-</v>
      </c>
      <c r="O1392" s="1" t="str">
        <f t="shared" si="1545"/>
        <v>-</v>
      </c>
      <c r="P1392" s="1" t="str">
        <f t="shared" si="1531"/>
        <v>-</v>
      </c>
      <c r="Q1392" s="1" t="str">
        <f t="shared" si="1531"/>
        <v>-</v>
      </c>
      <c r="S1392" s="3"/>
    </row>
    <row r="1393" spans="2:19" x14ac:dyDescent="0.5">
      <c r="B1393" s="5" t="str">
        <f t="shared" si="1507"/>
        <v>SPS1</v>
      </c>
      <c r="C1393" s="5" t="str">
        <f t="shared" si="1508"/>
        <v>CH</v>
      </c>
      <c r="D1393" t="s">
        <v>1387</v>
      </c>
      <c r="E1393" t="s">
        <v>1229</v>
      </c>
      <c r="F1393" s="1">
        <f t="shared" ref="F1393:K1393" si="1546">IFERROR(F1369/F1340,"-")</f>
        <v>3.8646481387947525E-2</v>
      </c>
      <c r="G1393" s="1">
        <f t="shared" si="1546"/>
        <v>3.8839846327200694E-2</v>
      </c>
      <c r="H1393" s="1">
        <f t="shared" si="1546"/>
        <v>3.908475473383731E-2</v>
      </c>
      <c r="I1393" s="1" t="str">
        <f t="shared" si="1546"/>
        <v>-</v>
      </c>
      <c r="J1393" s="1" t="str">
        <f t="shared" si="1546"/>
        <v>-</v>
      </c>
      <c r="K1393" s="1" t="str">
        <f t="shared" si="1546"/>
        <v>-</v>
      </c>
      <c r="L1393" s="1" t="str">
        <f t="shared" ref="L1393:O1393" si="1547">IFERROR(L1369/L1340,"-")</f>
        <v>-</v>
      </c>
      <c r="M1393" s="1" t="str">
        <f t="shared" si="1547"/>
        <v>-</v>
      </c>
      <c r="N1393" s="1" t="str">
        <f t="shared" si="1547"/>
        <v>-</v>
      </c>
      <c r="O1393" s="1" t="str">
        <f t="shared" si="1547"/>
        <v>-</v>
      </c>
      <c r="P1393" s="1" t="str">
        <f t="shared" si="1531"/>
        <v>-</v>
      </c>
      <c r="Q1393" s="1" t="str">
        <f t="shared" si="1531"/>
        <v>-</v>
      </c>
      <c r="S1393" s="3"/>
    </row>
    <row r="1394" spans="2:19" x14ac:dyDescent="0.5">
      <c r="B1394" s="5" t="str">
        <f t="shared" si="1507"/>
        <v>SPS1</v>
      </c>
      <c r="C1394" s="5" t="str">
        <f t="shared" si="1508"/>
        <v>CH</v>
      </c>
      <c r="D1394" t="s">
        <v>2006</v>
      </c>
      <c r="E1394" t="s">
        <v>1229</v>
      </c>
      <c r="F1394" s="1">
        <f>IFERROR(F1370/F1346,"-")</f>
        <v>13.968680714886801</v>
      </c>
      <c r="G1394" s="1">
        <f t="shared" ref="G1394:K1394" si="1548">IFERROR(G1370/G1346,"-")</f>
        <v>11.186996076539074</v>
      </c>
      <c r="H1394" s="1">
        <f t="shared" si="1548"/>
        <v>7.0144691190174759</v>
      </c>
      <c r="I1394" s="1" t="str">
        <f t="shared" si="1548"/>
        <v>-</v>
      </c>
      <c r="J1394" s="1" t="str">
        <f t="shared" si="1548"/>
        <v>-</v>
      </c>
      <c r="K1394" s="1" t="str">
        <f t="shared" si="1548"/>
        <v>-</v>
      </c>
      <c r="L1394" s="1" t="str">
        <f t="shared" ref="L1394:O1394" si="1549">IFERROR(L1370/L1346,"-")</f>
        <v>-</v>
      </c>
      <c r="M1394" s="1" t="str">
        <f t="shared" si="1549"/>
        <v>-</v>
      </c>
      <c r="N1394" s="1" t="str">
        <f t="shared" si="1549"/>
        <v>-</v>
      </c>
      <c r="O1394" s="1" t="str">
        <f t="shared" si="1549"/>
        <v>-</v>
      </c>
      <c r="P1394" s="1" t="str">
        <f t="shared" ref="P1394:Q1398" si="1550">IFERROR(P1370/P1346,"-")</f>
        <v>-</v>
      </c>
      <c r="Q1394" s="1" t="str">
        <f t="shared" si="1550"/>
        <v>-</v>
      </c>
      <c r="S1394" s="3"/>
    </row>
    <row r="1395" spans="2:19" x14ac:dyDescent="0.5">
      <c r="B1395" s="5" t="str">
        <f t="shared" si="1507"/>
        <v>SPS1</v>
      </c>
      <c r="C1395" s="5" t="str">
        <f t="shared" si="1508"/>
        <v>CH</v>
      </c>
      <c r="D1395" t="s">
        <v>1388</v>
      </c>
      <c r="E1395" t="s">
        <v>1229</v>
      </c>
      <c r="F1395" s="1" t="str">
        <f t="shared" ref="F1395:K1395" si="1551">IFERROR(F1371/F1347,"-")</f>
        <v>-</v>
      </c>
      <c r="G1395" s="1">
        <f t="shared" si="1551"/>
        <v>0.12023751974847217</v>
      </c>
      <c r="H1395" s="1">
        <f t="shared" si="1551"/>
        <v>0.12486304940824165</v>
      </c>
      <c r="I1395" s="1" t="str">
        <f t="shared" si="1551"/>
        <v>-</v>
      </c>
      <c r="J1395" s="1" t="str">
        <f t="shared" si="1551"/>
        <v>-</v>
      </c>
      <c r="K1395" s="1" t="str">
        <f t="shared" si="1551"/>
        <v>-</v>
      </c>
      <c r="L1395" s="1" t="str">
        <f t="shared" ref="L1395:O1395" si="1552">IFERROR(L1371/L1347,"-")</f>
        <v>-</v>
      </c>
      <c r="M1395" s="1" t="str">
        <f t="shared" si="1552"/>
        <v>-</v>
      </c>
      <c r="N1395" s="1" t="str">
        <f t="shared" si="1552"/>
        <v>-</v>
      </c>
      <c r="O1395" s="1" t="str">
        <f t="shared" si="1552"/>
        <v>-</v>
      </c>
      <c r="P1395" s="1" t="str">
        <f t="shared" si="1550"/>
        <v>-</v>
      </c>
      <c r="Q1395" s="1" t="str">
        <f t="shared" si="1550"/>
        <v>-</v>
      </c>
      <c r="S1395" s="3"/>
    </row>
    <row r="1396" spans="2:19" x14ac:dyDescent="0.5">
      <c r="B1396" s="5" t="str">
        <f t="shared" si="1507"/>
        <v>SPS1</v>
      </c>
      <c r="C1396" s="5" t="str">
        <f t="shared" si="1508"/>
        <v>CH</v>
      </c>
      <c r="D1396" t="s">
        <v>1389</v>
      </c>
      <c r="E1396" t="s">
        <v>1229</v>
      </c>
      <c r="F1396" s="1" t="str">
        <f t="shared" ref="F1396:K1396" si="1553">IFERROR(F1372/F1348,"-")</f>
        <v>-</v>
      </c>
      <c r="G1396" s="1">
        <f t="shared" si="1553"/>
        <v>8.4998076233608805E-2</v>
      </c>
      <c r="H1396" s="1">
        <f t="shared" si="1553"/>
        <v>8.8845317220039605E-2</v>
      </c>
      <c r="I1396" s="1" t="str">
        <f t="shared" si="1553"/>
        <v>-</v>
      </c>
      <c r="J1396" s="1" t="str">
        <f t="shared" si="1553"/>
        <v>-</v>
      </c>
      <c r="K1396" s="1" t="str">
        <f t="shared" si="1553"/>
        <v>-</v>
      </c>
      <c r="L1396" s="1" t="str">
        <f t="shared" ref="L1396:O1396" si="1554">IFERROR(L1372/L1348,"-")</f>
        <v>-</v>
      </c>
      <c r="M1396" s="1" t="str">
        <f t="shared" si="1554"/>
        <v>-</v>
      </c>
      <c r="N1396" s="1" t="str">
        <f t="shared" si="1554"/>
        <v>-</v>
      </c>
      <c r="O1396" s="1" t="str">
        <f t="shared" si="1554"/>
        <v>-</v>
      </c>
      <c r="P1396" s="1" t="str">
        <f t="shared" si="1550"/>
        <v>-</v>
      </c>
      <c r="Q1396" s="1" t="str">
        <f t="shared" si="1550"/>
        <v>-</v>
      </c>
      <c r="S1396" s="3"/>
    </row>
    <row r="1397" spans="2:19" x14ac:dyDescent="0.5">
      <c r="B1397" s="5" t="str">
        <f t="shared" si="1507"/>
        <v>SPS1</v>
      </c>
      <c r="C1397" s="5" t="str">
        <f t="shared" si="1508"/>
        <v>CH</v>
      </c>
      <c r="D1397" t="s">
        <v>1390</v>
      </c>
      <c r="E1397" t="s">
        <v>1229</v>
      </c>
      <c r="F1397" s="1" t="str">
        <f t="shared" ref="F1397:K1397" si="1555">IFERROR(F1373/F1349,"-")</f>
        <v>-</v>
      </c>
      <c r="G1397" s="1">
        <f t="shared" si="1555"/>
        <v>5.6422133461237152E-2</v>
      </c>
      <c r="H1397" s="1">
        <f t="shared" si="1555"/>
        <v>5.9336254250360453E-2</v>
      </c>
      <c r="I1397" s="1" t="str">
        <f t="shared" si="1555"/>
        <v>-</v>
      </c>
      <c r="J1397" s="1" t="str">
        <f t="shared" si="1555"/>
        <v>-</v>
      </c>
      <c r="K1397" s="1" t="str">
        <f t="shared" si="1555"/>
        <v>-</v>
      </c>
      <c r="L1397" s="1" t="str">
        <f t="shared" ref="L1397:O1397" si="1556">IFERROR(L1373/L1349,"-")</f>
        <v>-</v>
      </c>
      <c r="M1397" s="1" t="str">
        <f t="shared" si="1556"/>
        <v>-</v>
      </c>
      <c r="N1397" s="1" t="str">
        <f t="shared" si="1556"/>
        <v>-</v>
      </c>
      <c r="O1397" s="1" t="str">
        <f t="shared" si="1556"/>
        <v>-</v>
      </c>
      <c r="P1397" s="1" t="str">
        <f t="shared" si="1550"/>
        <v>-</v>
      </c>
      <c r="Q1397" s="1" t="str">
        <f t="shared" si="1550"/>
        <v>-</v>
      </c>
      <c r="S1397" s="3"/>
    </row>
    <row r="1398" spans="2:19" x14ac:dyDescent="0.5">
      <c r="B1398" s="5" t="str">
        <f t="shared" si="1507"/>
        <v>SPS1</v>
      </c>
      <c r="C1398" s="5" t="str">
        <f t="shared" si="1508"/>
        <v>CH</v>
      </c>
      <c r="D1398" t="s">
        <v>1391</v>
      </c>
      <c r="E1398" t="s">
        <v>1229</v>
      </c>
      <c r="F1398" s="1" t="str">
        <f t="shared" ref="F1398:K1398" si="1557">IFERROR(F1374/F1350,"-")</f>
        <v>-</v>
      </c>
      <c r="G1398" s="1" t="str">
        <f t="shared" si="1557"/>
        <v>-</v>
      </c>
      <c r="H1398" s="1">
        <f t="shared" si="1557"/>
        <v>3.967372901611653E-2</v>
      </c>
      <c r="I1398" s="1" t="str">
        <f t="shared" si="1557"/>
        <v>-</v>
      </c>
      <c r="J1398" s="1" t="str">
        <f t="shared" si="1557"/>
        <v>-</v>
      </c>
      <c r="K1398" s="1" t="str">
        <f t="shared" si="1557"/>
        <v>-</v>
      </c>
      <c r="L1398" s="1" t="str">
        <f t="shared" ref="L1398:O1398" si="1558">IFERROR(L1374/L1350,"-")</f>
        <v>-</v>
      </c>
      <c r="M1398" s="1" t="str">
        <f t="shared" si="1558"/>
        <v>-</v>
      </c>
      <c r="N1398" s="1" t="str">
        <f t="shared" si="1558"/>
        <v>-</v>
      </c>
      <c r="O1398" s="1" t="str">
        <f t="shared" si="1558"/>
        <v>-</v>
      </c>
      <c r="P1398" s="1" t="str">
        <f t="shared" si="1550"/>
        <v>-</v>
      </c>
      <c r="Q1398" s="1" t="str">
        <f t="shared" si="1550"/>
        <v>-</v>
      </c>
      <c r="S1398" s="3"/>
    </row>
    <row r="1399" spans="2:19" x14ac:dyDescent="0.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0.81330980001142106</v>
      </c>
      <c r="G1399" s="3">
        <f t="shared" ref="G1399" si="1559">G1400+G1406+G1411+G1425</f>
        <v>0.84726194168337576</v>
      </c>
      <c r="H1399" s="3">
        <f t="shared" ref="H1399" si="1560">H1400+H1406+H1411+H1425</f>
        <v>1.0414232642934478</v>
      </c>
      <c r="I1399" s="3">
        <f t="shared" ref="I1399" si="1561">I1400+I1406+I1411+I1425</f>
        <v>0.38725488538233332</v>
      </c>
      <c r="J1399" s="3">
        <f t="shared" ref="J1399" si="1562">J1400+J1406+J1411+J1425</f>
        <v>0.37060064846031077</v>
      </c>
      <c r="K1399" s="3">
        <f t="shared" ref="K1399" si="1563">K1400+K1406+K1411+K1425</f>
        <v>0.35418178932826988</v>
      </c>
      <c r="L1399" s="3">
        <f t="shared" ref="L1399:O1399" si="1564">L1400+L1406+L1411+L1425</f>
        <v>0.34369089528269392</v>
      </c>
      <c r="M1399" s="3">
        <f t="shared" si="1564"/>
        <v>0.3243013639728855</v>
      </c>
      <c r="N1399" s="3">
        <f t="shared" si="1564"/>
        <v>0.32674793417775128</v>
      </c>
      <c r="O1399" s="3">
        <f t="shared" si="1564"/>
        <v>0.33439283829578864</v>
      </c>
      <c r="P1399" s="3">
        <f>P1400+P1406+P1411+P1425</f>
        <v>0.34366379132748892</v>
      </c>
      <c r="Q1399" s="3">
        <f>Q1400+Q1406+Q1411+Q1425</f>
        <v>0.35258899723054005</v>
      </c>
      <c r="S1399" s="3"/>
    </row>
    <row r="1400" spans="2:19" x14ac:dyDescent="0.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1.0165738437077024E-3</v>
      </c>
      <c r="G1400" s="1">
        <f t="shared" ref="G1400" si="1565">SUM(G1401:G1405)</f>
        <v>1.7180652267349626E-3</v>
      </c>
      <c r="H1400" s="1">
        <f t="shared" ref="H1400" si="1566">SUM(H1401:H1405)</f>
        <v>2.2020128470662008E-3</v>
      </c>
      <c r="I1400" s="1">
        <f t="shared" ref="I1400" si="1567">SUM(I1401:I1405)</f>
        <v>0.37502199779898643</v>
      </c>
      <c r="J1400" s="1">
        <f t="shared" ref="J1400" si="1568">SUM(J1401:J1405)</f>
        <v>0.37060064846031077</v>
      </c>
      <c r="K1400" s="1">
        <f t="shared" ref="K1400" si="1569">SUM(K1401:K1405)</f>
        <v>0.35418178932826988</v>
      </c>
      <c r="L1400" s="1">
        <f t="shared" ref="L1400:O1400" si="1570">SUM(L1401:L1405)</f>
        <v>0.34194858084546653</v>
      </c>
      <c r="M1400" s="1">
        <f t="shared" si="1570"/>
        <v>0.32255723841365008</v>
      </c>
      <c r="N1400" s="1">
        <f t="shared" si="1570"/>
        <v>0.32674793417775128</v>
      </c>
      <c r="O1400" s="1">
        <f t="shared" si="1570"/>
        <v>0.33439283829578864</v>
      </c>
      <c r="P1400" s="1">
        <f>SUM(P1401:P1405)</f>
        <v>0.34366379132748892</v>
      </c>
      <c r="Q1400" s="1">
        <f>SUM(Q1401:Q1405)</f>
        <v>0.35258899723054005</v>
      </c>
      <c r="S1400" s="3"/>
    </row>
    <row r="1401" spans="2:19" x14ac:dyDescent="0.5">
      <c r="B1401" s="5" t="str">
        <f t="shared" ref="B1401:B1434" si="1571">B1400</f>
        <v>SPS1</v>
      </c>
      <c r="C1401" s="5" t="str">
        <f t="shared" ref="C1401:C1434" si="1572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SUMPRODUCT(("T_B_c-BeVELCEXT"=[1]OUT_TransportEnergyCons!$A$3:$A$1000)*1,("Var_Fin"=[1]OUT_TransportEnergyCons!$B$3:$B$1000)*1,ISNUMBER(SEARCH("ELC",[1]OUT_TransportEnergyCons!$C$3:$C$1000))*1,[1]OUT_TransportEnergyCons!H$3:H$1000)</f>
        <v>0</v>
      </c>
      <c r="K1401" s="1" cm="1">
        <f t="array" ref="K1401">SUMPRODUCT(("T_B_c-BeVELCEXT"=[1]OUT_TransportEnergyCons!$A$3:$A$1000)*1,("Var_Fin"=[1]OUT_TransportEnergyCons!$B$3:$B$1000)*1,ISNUMBER(SEARCH("ELC",[1]OUT_TransportEnergyCons!$C$3:$C$1000))*1,[1]OUT_TransportEnergyCons!I$3:I$1000)</f>
        <v>0</v>
      </c>
      <c r="L1401" s="1" cm="1">
        <f t="array" ref="L1401">SUMPRODUCT(("T_B_c-BeVELCEXT"=[1]OUT_TransportEnergyCons!$A$3:$A$1000)*1,("Var_Fin"=[1]OUT_TransportEnergyCons!$B$3:$B$1000)*1,ISNUMBER(SEARCH("ELC",[1]OUT_TransportEnergyCons!$C$3:$C$1000))*1,[1]OUT_TransportEnergyCons!J$3:J$1000)</f>
        <v>0</v>
      </c>
      <c r="M1401" s="1" cm="1">
        <f t="array" ref="M1401">SUMPRODUCT(("T_B_c-BeVELCEXT"=[1]OUT_TransportEnergyCons!$A$3:$A$1000)*1,("Var_Fin"=[1]OUT_TransportEnergyCons!$B$3:$B$1000)*1,ISNUMBER(SEARCH("ELC",[1]OUT_TransportEnergyCons!$C$3:$C$1000))*1,[1]OUT_TransportEnergyCons!K$3:K$1000)</f>
        <v>0</v>
      </c>
      <c r="N1401" s="1" cm="1">
        <f t="array" ref="N1401">SUMPRODUCT(("T_B_c-BeVELCEXT"=[1]OUT_TransportEnergyCons!$A$3:$A$1000)*1,("Var_Fin"=[1]OUT_TransportEnergyCons!$B$3:$B$1000)*1,ISNUMBER(SEARCH("ELC",[1]OUT_TransportEnergyCons!$C$3:$C$1000))*1,[1]OUT_TransportEnergyCons!L$3:L$1000)</f>
        <v>0</v>
      </c>
      <c r="O1401" s="1" cm="1">
        <f t="array" ref="O1401">SUMPRODUCT(("T_B_c-BeVELCEXT"=[1]OUT_TransportEnergyCons!$A$3:$A$1000)*1,("Var_Fin"=[1]OUT_TransportEnergyCons!$B$3:$B$1000)*1,ISNUMBER(SEARCH("ELC",[1]OUT_TransportEnergyCons!$C$3:$C$1000))*1,[1]OUT_TransportEnergyCons!M$3:M$1000)</f>
        <v>0</v>
      </c>
      <c r="P1401" s="1" cm="1">
        <f t="array" ref="P1401">SUMPRODUCT(("T_B_c-BeVELCEXT"=[1]OUT_TransportEnergyCons!$A$3:$A$1000)*1,("Var_Fin"=[1]OUT_TransportEnergyCons!$B$3:$B$1000)*1,ISNUMBER(SEARCH("ELC",[1]OUT_TransportEnergyCons!$C$3:$C$1000))*1,[1]OUT_TransportEnergyCons!N$3:N$1000)</f>
        <v>0</v>
      </c>
      <c r="Q1401" s="1" cm="1">
        <f t="array" ref="Q1401">SUMPRODUCT(("T_B_c-BeVELCEXT"=[1]OUT_TransportEnergyCons!$A$3:$A$1000)*1,("Var_Fin"=[1]OUT_TransportEnergyCons!$B$3:$B$1000)*1,ISNUMBER(SEARCH("ELC",[1]OUT_TransportEnergyCons!$C$3:$C$1000))*1,[1]OUT_TransportEnergyCons!O$3:O$1000)</f>
        <v>0</v>
      </c>
      <c r="S1401" s="3"/>
    </row>
    <row r="1402" spans="2:19" x14ac:dyDescent="0.5">
      <c r="B1402" s="5" t="str">
        <f t="shared" si="1571"/>
        <v>SPS1</v>
      </c>
      <c r="C1402" s="5" t="str">
        <f t="shared" si="1572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3.5289922878758653E-4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9.8864194930145337E-4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1.3515129527813441E-3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0.14119233032347361</v>
      </c>
      <c r="J1402" s="1" cm="1">
        <f t="array" ref="J1402">SUMPRODUCT(("T_B_c-BEVELC-S1"=[1]OUT_TransportEnergyCons!$A$3:$A$1000)*1,("Var_Fin"=[1]OUT_TransportEnergyCons!$B$3:$B$1000)*1,ISNUMBER(SEARCH("ELC",[1]OUT_TransportEnergyCons!$C$3:$C$1000))*1,[1]OUT_TransportEnergyCons!H$3:H$1000)</f>
        <v>0.13768022963894239</v>
      </c>
      <c r="K1402" s="1" cm="1">
        <f t="array" ref="K1402">SUMPRODUCT(("T_B_c-BEVELC-S1"=[1]OUT_TransportEnergyCons!$A$3:$A$1000)*1,("Var_Fin"=[1]OUT_TransportEnergyCons!$B$3:$B$1000)*1,ISNUMBER(SEARCH("ELC",[1]OUT_TransportEnergyCons!$C$3:$C$1000))*1,[1]OUT_TransportEnergyCons!I$3:I$1000)</f>
        <v>0.13766086395576446</v>
      </c>
      <c r="L1402" s="1" cm="1">
        <f t="array" ref="L1402">SUMPRODUCT(("T_B_c-BEVELC-S1"=[1]OUT_TransportEnergyCons!$A$3:$A$1000)*1,("Var_Fin"=[1]OUT_TransportEnergyCons!$B$3:$B$1000)*1,ISNUMBER(SEARCH("ELC",[1]OUT_TransportEnergyCons!$C$3:$C$1000))*1,[1]OUT_TransportEnergyCons!J$3:J$1000)</f>
        <v>0.13135487438159352</v>
      </c>
      <c r="M1402" s="1" cm="1">
        <f t="array" ref="M1402">SUMPRODUCT(("T_B_c-BEVELC-S1"=[1]OUT_TransportEnergyCons!$A$3:$A$1000)*1,("Var_Fin"=[1]OUT_TransportEnergyCons!$B$3:$B$1000)*1,ISNUMBER(SEARCH("ELC",[1]OUT_TransportEnergyCons!$C$3:$C$1000))*1,[1]OUT_TransportEnergyCons!K$3:K$1000)</f>
        <v>0.1222794088277388</v>
      </c>
      <c r="N1402" s="1" cm="1">
        <f t="array" ref="N1402">SUMPRODUCT(("T_B_c-BEVELC-S1"=[1]OUT_TransportEnergyCons!$A$3:$A$1000)*1,("Var_Fin"=[1]OUT_TransportEnergyCons!$B$3:$B$1000)*1,ISNUMBER(SEARCH("ELC",[1]OUT_TransportEnergyCons!$C$3:$C$1000))*1,[1]OUT_TransportEnergyCons!L$3:L$1000)</f>
        <v>0.12518455567373743</v>
      </c>
      <c r="O1402" s="1" cm="1">
        <f t="array" ref="O1402">SUMPRODUCT(("T_B_c-BEVELC-S1"=[1]OUT_TransportEnergyCons!$A$3:$A$1000)*1,("Var_Fin"=[1]OUT_TransportEnergyCons!$B$3:$B$1000)*1,ISNUMBER(SEARCH("ELC",[1]OUT_TransportEnergyCons!$C$3:$C$1000))*1,[1]OUT_TransportEnergyCons!M$3:M$1000)</f>
        <v>0.12768268391168899</v>
      </c>
      <c r="P1402" s="1" cm="1">
        <f t="array" ref="P1402">SUMPRODUCT(("T_B_c-BEVELC-S1"=[1]OUT_TransportEnergyCons!$A$3:$A$1000)*1,("Var_Fin"=[1]OUT_TransportEnergyCons!$B$3:$B$1000)*1,ISNUMBER(SEARCH("ELC",[1]OUT_TransportEnergyCons!$C$3:$C$1000))*1,[1]OUT_TransportEnergyCons!N$3:N$1000)</f>
        <v>0.13120858506784683</v>
      </c>
      <c r="Q1402" s="1" cm="1">
        <f t="array" ref="Q1402">SUMPRODUCT(("T_B_c-BEVELC-S1"=[1]OUT_TransportEnergyCons!$A$3:$A$1000)*1,("Var_Fin"=[1]OUT_TransportEnergyCons!$B$3:$B$1000)*1,ISNUMBER(SEARCH("ELC",[1]OUT_TransportEnergyCons!$C$3:$C$1000))*1,[1]OUT_TransportEnergyCons!O$3:O$1000)</f>
        <v>0.13459600350464995</v>
      </c>
      <c r="S1402" s="3"/>
    </row>
    <row r="1403" spans="2:19" x14ac:dyDescent="0.5">
      <c r="B1403" s="5" t="str">
        <f t="shared" si="1571"/>
        <v>SPS1</v>
      </c>
      <c r="C1403" s="5" t="str">
        <f t="shared" si="1572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4.973365660421832E-4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5.3123999168476889E-4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6.0908230156381943E-4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0.17698416268542169</v>
      </c>
      <c r="J1403" s="1" cm="1">
        <f t="array" ref="J1403">SUMPRODUCT(("T_B_c-BEVELC-S2"=[1]OUT_TransportEnergyCons!$A$3:$A$1000)*1,("Var_Fin"=[1]OUT_TransportEnergyCons!$B$3:$B$1000)*1,ISNUMBER(SEARCH("ELC",[1]OUT_TransportEnergyCons!$C$3:$C$1000))*1,[1]OUT_TransportEnergyCons!H$3:H$1000)</f>
        <v>0.17661456181286619</v>
      </c>
      <c r="K1403" s="1" cm="1">
        <f t="array" ref="K1403">SUMPRODUCT(("T_B_c-BEVELC-S2"=[1]OUT_TransportEnergyCons!$A$3:$A$1000)*1,("Var_Fin"=[1]OUT_TransportEnergyCons!$B$3:$B$1000)*1,ISNUMBER(SEARCH("ELC",[1]OUT_TransportEnergyCons!$C$3:$C$1000))*1,[1]OUT_TransportEnergyCons!I$3:I$1000)</f>
        <v>0.16443060664522971</v>
      </c>
      <c r="L1403" s="1" cm="1">
        <f t="array" ref="L1403">SUMPRODUCT(("T_B_c-BEVELC-S2"=[1]OUT_TransportEnergyCons!$A$3:$A$1000)*1,("Var_Fin"=[1]OUT_TransportEnergyCons!$B$3:$B$1000)*1,ISNUMBER(SEARCH("ELC",[1]OUT_TransportEnergyCons!$C$3:$C$1000))*1,[1]OUT_TransportEnergyCons!J$3:J$1000)</f>
        <v>0.15956934253502136</v>
      </c>
      <c r="M1403" s="1" cm="1">
        <f t="array" ref="M1403">SUMPRODUCT(("T_B_c-BEVELC-S2"=[1]OUT_TransportEnergyCons!$A$3:$A$1000)*1,("Var_Fin"=[1]OUT_TransportEnergyCons!$B$3:$B$1000)*1,ISNUMBER(SEARCH("ELC",[1]OUT_TransportEnergyCons!$C$3:$C$1000))*1,[1]OUT_TransportEnergyCons!K$3:K$1000)</f>
        <v>0.15237349319407018</v>
      </c>
      <c r="N1403" s="1" cm="1">
        <f t="array" ref="N1403">SUMPRODUCT(("T_B_c-BEVELC-S2"=[1]OUT_TransportEnergyCons!$A$3:$A$1000)*1,("Var_Fin"=[1]OUT_TransportEnergyCons!$B$3:$B$1000)*1,ISNUMBER(SEARCH("ELC",[1]OUT_TransportEnergyCons!$C$3:$C$1000))*1,[1]OUT_TransportEnergyCons!L$3:L$1000)</f>
        <v>0.15272579675182649</v>
      </c>
      <c r="O1403" s="1" cm="1">
        <f t="array" ref="O1403">SUMPRODUCT(("T_B_c-BEVELC-S2"=[1]OUT_TransportEnergyCons!$A$3:$A$1000)*1,("Var_Fin"=[1]OUT_TransportEnergyCons!$B$3:$B$1000)*1,ISNUMBER(SEARCH("ELC",[1]OUT_TransportEnergyCons!$C$3:$C$1000))*1,[1]OUT_TransportEnergyCons!M$3:M$1000)</f>
        <v>0.15653046789806724</v>
      </c>
      <c r="P1403" s="1" cm="1">
        <f t="array" ref="P1403">SUMPRODUCT(("T_B_c-BEVELC-S2"=[1]OUT_TransportEnergyCons!$A$3:$A$1000)*1,("Var_Fin"=[1]OUT_TransportEnergyCons!$B$3:$B$1000)*1,ISNUMBER(SEARCH("ELC",[1]OUT_TransportEnergyCons!$C$3:$C$1000))*1,[1]OUT_TransportEnergyCons!N$3:N$1000)</f>
        <v>0.16086212517207885</v>
      </c>
      <c r="Q1403" s="1" cm="1">
        <f t="array" ref="Q1403">SUMPRODUCT(("T_B_c-BEVELC-S2"=[1]OUT_TransportEnergyCons!$A$3:$A$1000)*1,("Var_Fin"=[1]OUT_TransportEnergyCons!$B$3:$B$1000)*1,ISNUMBER(SEARCH("ELC",[1]OUT_TransportEnergyCons!$C$3:$C$1000))*1,[1]OUT_TransportEnergyCons!O$3:O$1000)</f>
        <v>0.16502876729907384</v>
      </c>
      <c r="S1403" s="3"/>
    </row>
    <row r="1404" spans="2:19" x14ac:dyDescent="0.5">
      <c r="B1404" s="5" t="str">
        <f t="shared" si="1571"/>
        <v>SPS1</v>
      </c>
      <c r="C1404" s="5" t="str">
        <f t="shared" si="1572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1.6633804887793266E-4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1.8880723079717671E-4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2.2504071851634701E-4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5.6843404361638969E-2</v>
      </c>
      <c r="J1404" s="1" cm="1">
        <f t="array" ref="J1404">SUMPRODUCT(("T_B_c-BEVELC-S3"=[1]OUT_TransportEnergyCons!$A$3:$A$1000)*1,("Var_Fin"=[1]OUT_TransportEnergyCons!$B$3:$B$1000)*1,ISNUMBER(SEARCH("ELC",[1]OUT_TransportEnergyCons!$C$3:$C$1000))*1,[1]OUT_TransportEnergyCons!H$3:H$1000)</f>
        <v>5.6297493648438099E-2</v>
      </c>
      <c r="K1404" s="1" cm="1">
        <f t="array" ref="K1404">SUMPRODUCT(("T_B_c-BEVELC-S3"=[1]OUT_TransportEnergyCons!$A$3:$A$1000)*1,("Var_Fin"=[1]OUT_TransportEnergyCons!$B$3:$B$1000)*1,ISNUMBER(SEARCH("ELC",[1]OUT_TransportEnergyCons!$C$3:$C$1000))*1,[1]OUT_TransportEnergyCons!I$3:I$1000)</f>
        <v>5.2051990177667505E-2</v>
      </c>
      <c r="L1404" s="1" cm="1">
        <f t="array" ref="L1404">SUMPRODUCT(("T_B_c-BEVELC-S3"=[1]OUT_TransportEnergyCons!$A$3:$A$1000)*1,("Var_Fin"=[1]OUT_TransportEnergyCons!$B$3:$B$1000)*1,ISNUMBER(SEARCH("ELC",[1]OUT_TransportEnergyCons!$C$3:$C$1000))*1,[1]OUT_TransportEnergyCons!J$3:J$1000)</f>
        <v>5.0980045223009134E-2</v>
      </c>
      <c r="M1404" s="1" cm="1">
        <f t="array" ref="M1404">SUMPRODUCT(("T_B_c-BEVELC-S3"=[1]OUT_TransportEnergyCons!$A$3:$A$1000)*1,("Var_Fin"=[1]OUT_TransportEnergyCons!$B$3:$B$1000)*1,ISNUMBER(SEARCH("ELC",[1]OUT_TransportEnergyCons!$C$3:$C$1000))*1,[1]OUT_TransportEnergyCons!K$3:K$1000)</f>
        <v>4.7840336429141282E-2</v>
      </c>
      <c r="N1404" s="1" cm="1">
        <f t="array" ref="N1404">SUMPRODUCT(("T_B_c-BEVELC-S3"=[1]OUT_TransportEnergyCons!$A$3:$A$1000)*1,("Var_Fin"=[1]OUT_TransportEnergyCons!$B$3:$B$1000)*1,ISNUMBER(SEARCH("ELC",[1]OUT_TransportEnergyCons!$C$3:$C$1000))*1,[1]OUT_TransportEnergyCons!L$3:L$1000)</f>
        <v>4.8777180468337955E-2</v>
      </c>
      <c r="O1404" s="1" cm="1">
        <f t="array" ref="O1404">SUMPRODUCT(("T_B_c-BEVELC-S3"=[1]OUT_TransportEnergyCons!$A$3:$A$1000)*1,("Var_Fin"=[1]OUT_TransportEnergyCons!$B$3:$B$1000)*1,ISNUMBER(SEARCH("ELC",[1]OUT_TransportEnergyCons!$C$3:$C$1000))*1,[1]OUT_TransportEnergyCons!M$3:M$1000)</f>
        <v>5.0116810870876632E-2</v>
      </c>
      <c r="P1404" s="1" cm="1">
        <f t="array" ref="P1404">SUMPRODUCT(("T_B_c-BEVELC-S3"=[1]OUT_TransportEnergyCons!$A$3:$A$1000)*1,("Var_Fin"=[1]OUT_TransportEnergyCons!$B$3:$B$1000)*1,ISNUMBER(SEARCH("ELC",[1]OUT_TransportEnergyCons!$C$3:$C$1000))*1,[1]OUT_TransportEnergyCons!N$3:N$1000)</f>
        <v>5.1503621217226049E-2</v>
      </c>
      <c r="Q1404" s="1" cm="1">
        <f t="array" ref="Q1404">SUMPRODUCT(("T_B_c-BEVELC-S3"=[1]OUT_TransportEnergyCons!$A$3:$A$1000)*1,("Var_Fin"=[1]OUT_TransportEnergyCons!$B$3:$B$1000)*1,ISNUMBER(SEARCH("ELC",[1]OUT_TransportEnergyCons!$C$3:$C$1000))*1,[1]OUT_TransportEnergyCons!O$3:O$1000)</f>
        <v>5.2837696697551742E-2</v>
      </c>
      <c r="S1404" s="3"/>
    </row>
    <row r="1405" spans="2:19" x14ac:dyDescent="0.5">
      <c r="B1405" s="5" t="str">
        <f t="shared" si="1571"/>
        <v>SPS1</v>
      </c>
      <c r="C1405" s="5" t="str">
        <f t="shared" si="1572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9.3760549515635459E-6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1.6376874204690267E-5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2.1004284521524673E-6</v>
      </c>
      <c r="J1405" s="1" cm="1">
        <f t="array" ref="J1405">SUMPRODUCT(("T_B_c-BEVELC-S4"=[1]OUT_TransportEnergyCons!$A$3:$A$1000)*1,("Var_Fin"=[1]OUT_TransportEnergyCons!$B$3:$B$1000)*1,ISNUMBER(SEARCH("ELC",[1]OUT_TransportEnergyCons!$C$3:$C$1000))*1,[1]OUT_TransportEnergyCons!H$3:H$1000)</f>
        <v>8.3633600640404774E-6</v>
      </c>
      <c r="K1405" s="1" cm="1">
        <f t="array" ref="K1405">SUMPRODUCT(("T_B_c-BEVELC-S4"=[1]OUT_TransportEnergyCons!$A$3:$A$1000)*1,("Var_Fin"=[1]OUT_TransportEnergyCons!$B$3:$B$1000)*1,ISNUMBER(SEARCH("ELC",[1]OUT_TransportEnergyCons!$C$3:$C$1000))*1,[1]OUT_TransportEnergyCons!I$3:I$1000)</f>
        <v>3.8328549608244552E-5</v>
      </c>
      <c r="L1405" s="1" cm="1">
        <f t="array" ref="L1405">SUMPRODUCT(("T_B_c-BEVELC-S4"=[1]OUT_TransportEnergyCons!$A$3:$A$1000)*1,("Var_Fin"=[1]OUT_TransportEnergyCons!$B$3:$B$1000)*1,ISNUMBER(SEARCH("ELC",[1]OUT_TransportEnergyCons!$C$3:$C$1000))*1,[1]OUT_TransportEnergyCons!J$3:J$1000)</f>
        <v>4.4318705842527918E-5</v>
      </c>
      <c r="M1405" s="1" cm="1">
        <f t="array" ref="M1405">SUMPRODUCT(("T_B_c-BEVELC-S4"=[1]OUT_TransportEnergyCons!$A$3:$A$1000)*1,("Var_Fin"=[1]OUT_TransportEnergyCons!$B$3:$B$1000)*1,ISNUMBER(SEARCH("ELC",[1]OUT_TransportEnergyCons!$C$3:$C$1000))*1,[1]OUT_TransportEnergyCons!K$3:K$1000)</f>
        <v>6.3999962699846038E-5</v>
      </c>
      <c r="N1405" s="1" cm="1">
        <f t="array" ref="N1405">SUMPRODUCT(("T_B_c-BEVELC-S4"=[1]OUT_TransportEnergyCons!$A$3:$A$1000)*1,("Var_Fin"=[1]OUT_TransportEnergyCons!$B$3:$B$1000)*1,ISNUMBER(SEARCH("ELC",[1]OUT_TransportEnergyCons!$C$3:$C$1000))*1,[1]OUT_TransportEnergyCons!L$3:L$1000)</f>
        <v>6.0401283849396671E-5</v>
      </c>
      <c r="O1405" s="1" cm="1">
        <f t="array" ref="O1405">SUMPRODUCT(("T_B_c-BEVELC-S4"=[1]OUT_TransportEnergyCons!$A$3:$A$1000)*1,("Var_Fin"=[1]OUT_TransportEnergyCons!$B$3:$B$1000)*1,ISNUMBER(SEARCH("ELC",[1]OUT_TransportEnergyCons!$C$3:$C$1000))*1,[1]OUT_TransportEnergyCons!M$3:M$1000)</f>
        <v>6.2875615155768565E-5</v>
      </c>
      <c r="P1405" s="1" cm="1">
        <f t="array" ref="P1405">SUMPRODUCT(("T_B_c-BEVELC-S4"=[1]OUT_TransportEnergyCons!$A$3:$A$1000)*1,("Var_Fin"=[1]OUT_TransportEnergyCons!$B$3:$B$1000)*1,ISNUMBER(SEARCH("ELC",[1]OUT_TransportEnergyCons!$C$3:$C$1000))*1,[1]OUT_TransportEnergyCons!N$3:N$1000)</f>
        <v>8.9459870337176527E-5</v>
      </c>
      <c r="Q1405" s="1" cm="1">
        <f t="array" ref="Q1405">SUMPRODUCT(("T_B_c-BEVELC-S4"=[1]OUT_TransportEnergyCons!$A$3:$A$1000)*1,("Var_Fin"=[1]OUT_TransportEnergyCons!$B$3:$B$1000)*1,ISNUMBER(SEARCH("ELC",[1]OUT_TransportEnergyCons!$C$3:$C$1000))*1,[1]OUT_TransportEnergyCons!O$3:O$1000)</f>
        <v>1.2652972926454576E-4</v>
      </c>
      <c r="S1405" s="3"/>
    </row>
    <row r="1406" spans="2:19" x14ac:dyDescent="0.5">
      <c r="B1406" s="5" t="str">
        <f t="shared" si="1571"/>
        <v>SPS1</v>
      </c>
      <c r="C1406" s="5" t="str">
        <f t="shared" si="1572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573">SUM(G1407:G1410)</f>
        <v>0</v>
      </c>
      <c r="H1406" s="1">
        <f t="shared" ref="H1406" si="1574">SUM(H1407:H1410)</f>
        <v>0</v>
      </c>
      <c r="I1406" s="1">
        <f t="shared" ref="I1406" si="1575">SUM(I1407:I1410)</f>
        <v>0</v>
      </c>
      <c r="J1406" s="1">
        <f t="shared" ref="J1406" si="1576">SUM(J1407:J1410)</f>
        <v>0</v>
      </c>
      <c r="K1406" s="1">
        <f t="shared" ref="K1406" si="1577">SUM(K1407:K1410)</f>
        <v>0</v>
      </c>
      <c r="L1406" s="1">
        <f t="shared" ref="L1406:O1406" si="1578">SUM(L1407:L1410)</f>
        <v>0</v>
      </c>
      <c r="M1406" s="1">
        <f t="shared" si="1578"/>
        <v>0</v>
      </c>
      <c r="N1406" s="1">
        <f t="shared" si="1578"/>
        <v>0</v>
      </c>
      <c r="O1406" s="1">
        <f t="shared" si="1578"/>
        <v>0</v>
      </c>
      <c r="P1406" s="1">
        <f>SUM(P1407:P1410)</f>
        <v>0</v>
      </c>
      <c r="Q1406" s="1">
        <f>SUM(Q1407:Q1410)</f>
        <v>0</v>
      </c>
      <c r="S1406" s="3"/>
    </row>
    <row r="1407" spans="2:19" x14ac:dyDescent="0.5">
      <c r="B1407" s="5" t="str">
        <f t="shared" si="1571"/>
        <v>SPS1</v>
      </c>
      <c r="C1407" s="5" t="str">
        <f t="shared" si="1572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SUMPRODUCT(("T_B_c-FCLH2O-S1"=[1]OUT_TransportEnergyCons!$A$3:$A$1000)*1,("Var_Fin"=[1]OUT_TransportEnergyCons!$B$3:$B$1000)*1,ISNUMBER(SEARCH("H2",[1]OUT_TransportEnergyCons!$C$3:$C$1000))*1,[1]OUT_TransportEnergyCons!H$3:H$1000)</f>
        <v>0</v>
      </c>
      <c r="K1407" s="1" cm="1">
        <f t="array" ref="K1407">SUMPRODUCT(("T_B_c-FCLH2O-S1"=[1]OUT_TransportEnergyCons!$A$3:$A$1000)*1,("Var_Fin"=[1]OUT_TransportEnergyCons!$B$3:$B$1000)*1,ISNUMBER(SEARCH("H2",[1]OUT_TransportEnergyCons!$C$3:$C$1000))*1,[1]OUT_TransportEnergyCons!I$3:I$1000)</f>
        <v>0</v>
      </c>
      <c r="L1407" s="1" cm="1">
        <f t="array" ref="L1407">SUMPRODUCT(("T_B_c-FCLH2O-S1"=[1]OUT_TransportEnergyCons!$A$3:$A$1000)*1,("Var_Fin"=[1]OUT_TransportEnergyCons!$B$3:$B$1000)*1,ISNUMBER(SEARCH("H2",[1]OUT_TransportEnergyCons!$C$3:$C$1000))*1,[1]OUT_TransportEnergyCons!J$3:J$1000)</f>
        <v>0</v>
      </c>
      <c r="M1407" s="1" cm="1">
        <f t="array" ref="M1407">SUMPRODUCT(("T_B_c-FCLH2O-S1"=[1]OUT_TransportEnergyCons!$A$3:$A$1000)*1,("Var_Fin"=[1]OUT_TransportEnergyCons!$B$3:$B$1000)*1,ISNUMBER(SEARCH("H2",[1]OUT_TransportEnergyCons!$C$3:$C$1000))*1,[1]OUT_TransportEnergyCons!K$3:K$1000)</f>
        <v>0</v>
      </c>
      <c r="N1407" s="1" cm="1">
        <f t="array" ref="N1407">SUMPRODUCT(("T_B_c-FCLH2O-S1"=[1]OUT_TransportEnergyCons!$A$3:$A$1000)*1,("Var_Fin"=[1]OUT_TransportEnergyCons!$B$3:$B$1000)*1,ISNUMBER(SEARCH("H2",[1]OUT_TransportEnergyCons!$C$3:$C$1000))*1,[1]OUT_TransportEnergyCons!L$3:L$1000)</f>
        <v>0</v>
      </c>
      <c r="O1407" s="1" cm="1">
        <f t="array" ref="O1407">SUMPRODUCT(("T_B_c-FCLH2O-S1"=[1]OUT_TransportEnergyCons!$A$3:$A$1000)*1,("Var_Fin"=[1]OUT_TransportEnergyCons!$B$3:$B$1000)*1,ISNUMBER(SEARCH("H2",[1]OUT_TransportEnergyCons!$C$3:$C$1000))*1,[1]OUT_TransportEnergyCons!M$3:M$1000)</f>
        <v>0</v>
      </c>
      <c r="P1407" s="1" cm="1">
        <f t="array" ref="P1407">SUMPRODUCT(("T_B_c-FCLH2O-S1"=[1]OUT_TransportEnergyCons!$A$3:$A$1000)*1,("Var_Fin"=[1]OUT_TransportEnergyCons!$B$3:$B$1000)*1,ISNUMBER(SEARCH("H2",[1]OUT_TransportEnergyCons!$C$3:$C$1000))*1,[1]OUT_TransportEnergyCons!N$3:N$1000)</f>
        <v>0</v>
      </c>
      <c r="Q1407" s="1" cm="1">
        <f t="array" ref="Q1407">SUMPRODUCT(("T_B_c-FCLH2O-S1"=[1]OUT_TransportEnergyCons!$A$3:$A$1000)*1,("Var_Fin"=[1]OUT_TransportEnergyCons!$B$3:$B$1000)*1,ISNUMBER(SEARCH("H2",[1]OUT_TransportEnergyCons!$C$3:$C$1000))*1,[1]OUT_TransportEnergyCons!O$3:O$1000)</f>
        <v>0</v>
      </c>
      <c r="S1407" s="3"/>
    </row>
    <row r="1408" spans="2:19" x14ac:dyDescent="0.5">
      <c r="B1408" s="5" t="str">
        <f t="shared" si="1571"/>
        <v>SPS1</v>
      </c>
      <c r="C1408" s="5" t="str">
        <f t="shared" si="1572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SUMPRODUCT(("T_B_c-FCLH2O-S2"=[1]OUT_TransportEnergyCons!$A$3:$A$1000)*1,("Var_Fin"=[1]OUT_TransportEnergyCons!$B$3:$B$1000)*1,ISNUMBER(SEARCH("H2",[1]OUT_TransportEnergyCons!$C$3:$C$1000))*1,[1]OUT_TransportEnergyCons!H$3:H$1000)</f>
        <v>0</v>
      </c>
      <c r="K1408" s="1" cm="1">
        <f t="array" ref="K1408">SUMPRODUCT(("T_B_c-FCLH2O-S2"=[1]OUT_TransportEnergyCons!$A$3:$A$1000)*1,("Var_Fin"=[1]OUT_TransportEnergyCons!$B$3:$B$1000)*1,ISNUMBER(SEARCH("H2",[1]OUT_TransportEnergyCons!$C$3:$C$1000))*1,[1]OUT_TransportEnergyCons!I$3:I$1000)</f>
        <v>0</v>
      </c>
      <c r="L1408" s="1" cm="1">
        <f t="array" ref="L1408">SUMPRODUCT(("T_B_c-FCLH2O-S2"=[1]OUT_TransportEnergyCons!$A$3:$A$1000)*1,("Var_Fin"=[1]OUT_TransportEnergyCons!$B$3:$B$1000)*1,ISNUMBER(SEARCH("H2",[1]OUT_TransportEnergyCons!$C$3:$C$1000))*1,[1]OUT_TransportEnergyCons!J$3:J$1000)</f>
        <v>0</v>
      </c>
      <c r="M1408" s="1" cm="1">
        <f t="array" ref="M1408">SUMPRODUCT(("T_B_c-FCLH2O-S2"=[1]OUT_TransportEnergyCons!$A$3:$A$1000)*1,("Var_Fin"=[1]OUT_TransportEnergyCons!$B$3:$B$1000)*1,ISNUMBER(SEARCH("H2",[1]OUT_TransportEnergyCons!$C$3:$C$1000))*1,[1]OUT_TransportEnergyCons!K$3:K$1000)</f>
        <v>0</v>
      </c>
      <c r="N1408" s="1" cm="1">
        <f t="array" ref="N1408">SUMPRODUCT(("T_B_c-FCLH2O-S2"=[1]OUT_TransportEnergyCons!$A$3:$A$1000)*1,("Var_Fin"=[1]OUT_TransportEnergyCons!$B$3:$B$1000)*1,ISNUMBER(SEARCH("H2",[1]OUT_TransportEnergyCons!$C$3:$C$1000))*1,[1]OUT_TransportEnergyCons!L$3:L$1000)</f>
        <v>0</v>
      </c>
      <c r="O1408" s="1" cm="1">
        <f t="array" ref="O1408">SUMPRODUCT(("T_B_c-FCLH2O-S2"=[1]OUT_TransportEnergyCons!$A$3:$A$1000)*1,("Var_Fin"=[1]OUT_TransportEnergyCons!$B$3:$B$1000)*1,ISNUMBER(SEARCH("H2",[1]OUT_TransportEnergyCons!$C$3:$C$1000))*1,[1]OUT_TransportEnergyCons!M$3:M$1000)</f>
        <v>0</v>
      </c>
      <c r="P1408" s="1" cm="1">
        <f t="array" ref="P1408">SUMPRODUCT(("T_B_c-FCLH2O-S2"=[1]OUT_TransportEnergyCons!$A$3:$A$1000)*1,("Var_Fin"=[1]OUT_TransportEnergyCons!$B$3:$B$1000)*1,ISNUMBER(SEARCH("H2",[1]OUT_TransportEnergyCons!$C$3:$C$1000))*1,[1]OUT_TransportEnergyCons!N$3:N$1000)</f>
        <v>0</v>
      </c>
      <c r="Q1408" s="1" cm="1">
        <f t="array" ref="Q1408">SUMPRODUCT(("T_B_c-FCLH2O-S2"=[1]OUT_TransportEnergyCons!$A$3:$A$1000)*1,("Var_Fin"=[1]OUT_TransportEnergyCons!$B$3:$B$1000)*1,ISNUMBER(SEARCH("H2",[1]OUT_TransportEnergyCons!$C$3:$C$1000))*1,[1]OUT_TransportEnergyCons!O$3:O$1000)</f>
        <v>0</v>
      </c>
      <c r="S1408" s="3"/>
    </row>
    <row r="1409" spans="2:19" x14ac:dyDescent="0.5">
      <c r="B1409" s="5" t="str">
        <f t="shared" si="1571"/>
        <v>SPS1</v>
      </c>
      <c r="C1409" s="5" t="str">
        <f t="shared" si="1572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0</v>
      </c>
      <c r="J1409" s="1" cm="1">
        <f t="array" ref="J1409">SUMPRODUCT(("T_B_c-FCLH2O-S3"=[1]OUT_TransportEnergyCons!$A$3:$A$1000)*1,("Var_Fin"=[1]OUT_TransportEnergyCons!$B$3:$B$1000)*1,ISNUMBER(SEARCH("H2",[1]OUT_TransportEnergyCons!$C$3:$C$1000))*1,[1]OUT_TransportEnergyCons!H$3:H$1000)</f>
        <v>0</v>
      </c>
      <c r="K1409" s="1" cm="1">
        <f t="array" ref="K1409">SUMPRODUCT(("T_B_c-FCLH2O-S3"=[1]OUT_TransportEnergyCons!$A$3:$A$1000)*1,("Var_Fin"=[1]OUT_TransportEnergyCons!$B$3:$B$1000)*1,ISNUMBER(SEARCH("H2",[1]OUT_TransportEnergyCons!$C$3:$C$1000))*1,[1]OUT_TransportEnergyCons!I$3:I$1000)</f>
        <v>0</v>
      </c>
      <c r="L1409" s="1" cm="1">
        <f t="array" ref="L1409">SUMPRODUCT(("T_B_c-FCLH2O-S3"=[1]OUT_TransportEnergyCons!$A$3:$A$1000)*1,("Var_Fin"=[1]OUT_TransportEnergyCons!$B$3:$B$1000)*1,ISNUMBER(SEARCH("H2",[1]OUT_TransportEnergyCons!$C$3:$C$1000))*1,[1]OUT_TransportEnergyCons!J$3:J$1000)</f>
        <v>0</v>
      </c>
      <c r="M1409" s="1" cm="1">
        <f t="array" ref="M1409">SUMPRODUCT(("T_B_c-FCLH2O-S3"=[1]OUT_TransportEnergyCons!$A$3:$A$1000)*1,("Var_Fin"=[1]OUT_TransportEnergyCons!$B$3:$B$1000)*1,ISNUMBER(SEARCH("H2",[1]OUT_TransportEnergyCons!$C$3:$C$1000))*1,[1]OUT_TransportEnergyCons!K$3:K$1000)</f>
        <v>0</v>
      </c>
      <c r="N1409" s="1" cm="1">
        <f t="array" ref="N1409">SUMPRODUCT(("T_B_c-FCLH2O-S3"=[1]OUT_TransportEnergyCons!$A$3:$A$1000)*1,("Var_Fin"=[1]OUT_TransportEnergyCons!$B$3:$B$1000)*1,ISNUMBER(SEARCH("H2",[1]OUT_TransportEnergyCons!$C$3:$C$1000))*1,[1]OUT_TransportEnergyCons!L$3:L$1000)</f>
        <v>0</v>
      </c>
      <c r="O1409" s="1" cm="1">
        <f t="array" ref="O1409">SUMPRODUCT(("T_B_c-FCLH2O-S3"=[1]OUT_TransportEnergyCons!$A$3:$A$1000)*1,("Var_Fin"=[1]OUT_TransportEnergyCons!$B$3:$B$1000)*1,ISNUMBER(SEARCH("H2",[1]OUT_TransportEnergyCons!$C$3:$C$1000))*1,[1]OUT_TransportEnergyCons!M$3:M$1000)</f>
        <v>0</v>
      </c>
      <c r="P1409" s="1" cm="1">
        <f t="array" ref="P1409">SUMPRODUCT(("T_B_c-FCLH2O-S3"=[1]OUT_TransportEnergyCons!$A$3:$A$1000)*1,("Var_Fin"=[1]OUT_TransportEnergyCons!$B$3:$B$1000)*1,ISNUMBER(SEARCH("H2",[1]OUT_TransportEnergyCons!$C$3:$C$1000))*1,[1]OUT_TransportEnergyCons!N$3:N$1000)</f>
        <v>0</v>
      </c>
      <c r="Q1409" s="1" cm="1">
        <f t="array" ref="Q1409">SUMPRODUCT(("T_B_c-FCLH2O-S3"=[1]OUT_TransportEnergyCons!$A$3:$A$1000)*1,("Var_Fin"=[1]OUT_TransportEnergyCons!$B$3:$B$1000)*1,ISNUMBER(SEARCH("H2",[1]OUT_TransportEnergyCons!$C$3:$C$1000))*1,[1]OUT_TransportEnergyCons!O$3:O$1000)</f>
        <v>0</v>
      </c>
      <c r="S1409" s="3"/>
    </row>
    <row r="1410" spans="2:19" x14ac:dyDescent="0.5">
      <c r="B1410" s="5" t="str">
        <f t="shared" si="1571"/>
        <v>SPS1</v>
      </c>
      <c r="C1410" s="5" t="str">
        <f t="shared" si="1572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SUMPRODUCT(("T_B_c-FCLH2O-S4"=[1]OUT_TransportEnergyCons!$A$3:$A$1000)*1,("Var_Fin"=[1]OUT_TransportEnergyCons!$B$3:$B$1000)*1,ISNUMBER(SEARCH("H2",[1]OUT_TransportEnergyCons!$C$3:$C$1000))*1,[1]OUT_TransportEnergyCons!H$3:H$1000)</f>
        <v>0</v>
      </c>
      <c r="K1410" s="1" cm="1">
        <f t="array" ref="K1410">SUMPRODUCT(("T_B_c-FCLH2O-S4"=[1]OUT_TransportEnergyCons!$A$3:$A$1000)*1,("Var_Fin"=[1]OUT_TransportEnergyCons!$B$3:$B$1000)*1,ISNUMBER(SEARCH("H2",[1]OUT_TransportEnergyCons!$C$3:$C$1000))*1,[1]OUT_TransportEnergyCons!I$3:I$1000)</f>
        <v>0</v>
      </c>
      <c r="L1410" s="1" cm="1">
        <f t="array" ref="L1410">SUMPRODUCT(("T_B_c-FCLH2O-S4"=[1]OUT_TransportEnergyCons!$A$3:$A$1000)*1,("Var_Fin"=[1]OUT_TransportEnergyCons!$B$3:$B$1000)*1,ISNUMBER(SEARCH("H2",[1]OUT_TransportEnergyCons!$C$3:$C$1000))*1,[1]OUT_TransportEnergyCons!J$3:J$1000)</f>
        <v>0</v>
      </c>
      <c r="M1410" s="1" cm="1">
        <f t="array" ref="M1410">SUMPRODUCT(("T_B_c-FCLH2O-S4"=[1]OUT_TransportEnergyCons!$A$3:$A$1000)*1,("Var_Fin"=[1]OUT_TransportEnergyCons!$B$3:$B$1000)*1,ISNUMBER(SEARCH("H2",[1]OUT_TransportEnergyCons!$C$3:$C$1000))*1,[1]OUT_TransportEnergyCons!K$3:K$1000)</f>
        <v>0</v>
      </c>
      <c r="N1410" s="1" cm="1">
        <f t="array" ref="N1410">SUMPRODUCT(("T_B_c-FCLH2O-S4"=[1]OUT_TransportEnergyCons!$A$3:$A$1000)*1,("Var_Fin"=[1]OUT_TransportEnergyCons!$B$3:$B$1000)*1,ISNUMBER(SEARCH("H2",[1]OUT_TransportEnergyCons!$C$3:$C$1000))*1,[1]OUT_TransportEnergyCons!L$3:L$1000)</f>
        <v>0</v>
      </c>
      <c r="O1410" s="1" cm="1">
        <f t="array" ref="O1410">SUMPRODUCT(("T_B_c-FCLH2O-S4"=[1]OUT_TransportEnergyCons!$A$3:$A$1000)*1,("Var_Fin"=[1]OUT_TransportEnergyCons!$B$3:$B$1000)*1,ISNUMBER(SEARCH("H2",[1]OUT_TransportEnergyCons!$C$3:$C$1000))*1,[1]OUT_TransportEnergyCons!M$3:M$1000)</f>
        <v>0</v>
      </c>
      <c r="P1410" s="1" cm="1">
        <f t="array" ref="P1410">SUMPRODUCT(("T_B_c-FCLH2O-S4"=[1]OUT_TransportEnergyCons!$A$3:$A$1000)*1,("Var_Fin"=[1]OUT_TransportEnergyCons!$B$3:$B$1000)*1,ISNUMBER(SEARCH("H2",[1]OUT_TransportEnergyCons!$C$3:$C$1000))*1,[1]OUT_TransportEnergyCons!N$3:N$1000)</f>
        <v>0</v>
      </c>
      <c r="Q1410" s="1" cm="1">
        <f t="array" ref="Q1410">SUMPRODUCT(("T_B_c-FCLH2O-S4"=[1]OUT_TransportEnergyCons!$A$3:$A$1000)*1,("Var_Fin"=[1]OUT_TransportEnergyCons!$B$3:$B$1000)*1,ISNUMBER(SEARCH("H2",[1]OUT_TransportEnergyCons!$C$3:$C$1000))*1,[1]OUT_TransportEnergyCons!O$3:O$1000)</f>
        <v>0</v>
      </c>
      <c r="S1410" s="3"/>
    </row>
    <row r="1411" spans="2:19" x14ac:dyDescent="0.5">
      <c r="B1411" s="5" t="str">
        <f t="shared" si="1571"/>
        <v>SPS1</v>
      </c>
      <c r="C1411" s="5" t="str">
        <f t="shared" si="1572"/>
        <v>CH</v>
      </c>
      <c r="D1411" t="s">
        <v>1406</v>
      </c>
      <c r="E1411" t="s">
        <v>8</v>
      </c>
      <c r="F1411" s="1">
        <f>SUM(F1416:F1424)</f>
        <v>0.81215577862910127</v>
      </c>
      <c r="G1411" s="1">
        <f t="shared" ref="G1411:K1411" si="1579">SUM(G1416:G1424)</f>
        <v>0.84526420868538499</v>
      </c>
      <c r="H1411" s="1">
        <f t="shared" si="1579"/>
        <v>1.0293281295561418</v>
      </c>
      <c r="I1411" s="1">
        <f t="shared" si="1579"/>
        <v>4.5378942906455742E-3</v>
      </c>
      <c r="J1411" s="1">
        <f t="shared" si="1579"/>
        <v>0</v>
      </c>
      <c r="K1411" s="1">
        <f t="shared" si="1579"/>
        <v>0</v>
      </c>
      <c r="L1411" s="1">
        <f t="shared" ref="L1411:O1411" si="1580">SUM(L1416:L1424)</f>
        <v>3.6217230537026051E-4</v>
      </c>
      <c r="M1411" s="1">
        <f t="shared" si="1580"/>
        <v>3.6254509281476583E-4</v>
      </c>
      <c r="N1411" s="1">
        <f t="shared" si="1580"/>
        <v>0</v>
      </c>
      <c r="O1411" s="1">
        <f t="shared" si="1580"/>
        <v>0</v>
      </c>
      <c r="P1411" s="1">
        <f>SUM(P1416:P1424)</f>
        <v>0</v>
      </c>
      <c r="Q1411" s="1">
        <f>SUM(Q1416:Q1424)</f>
        <v>0</v>
      </c>
      <c r="S1411" s="3"/>
    </row>
    <row r="1412" spans="2:19" x14ac:dyDescent="0.5">
      <c r="B1412" s="5" t="str">
        <f t="shared" si="1571"/>
        <v>SPS1</v>
      </c>
      <c r="C1412" s="5" t="str">
        <f t="shared" si="1572"/>
        <v>CH</v>
      </c>
      <c r="D1412" t="s">
        <v>1407</v>
      </c>
      <c r="E1412" t="s">
        <v>8</v>
      </c>
      <c r="F1412" s="1">
        <f>IF(F1411-F1413&lt;0,0,F1411-F1413)</f>
        <v>0.79201030637841863</v>
      </c>
      <c r="G1412" s="1">
        <f t="shared" ref="G1412:K1412" si="1581">IF(G1411-G1413&lt;0,0,G1411-G1413)</f>
        <v>0.82307451239902274</v>
      </c>
      <c r="H1412" s="1">
        <f t="shared" si="1581"/>
        <v>0.98313300812206095</v>
      </c>
      <c r="I1412" s="1">
        <f t="shared" si="1581"/>
        <v>4.326272916170654E-3</v>
      </c>
      <c r="J1412" s="1">
        <f t="shared" si="1581"/>
        <v>0</v>
      </c>
      <c r="K1412" s="1">
        <f t="shared" si="1581"/>
        <v>0</v>
      </c>
      <c r="L1412" s="1">
        <f t="shared" ref="L1412:O1412" si="1582">IF(L1411-L1413&lt;0,0,L1411-L1413)</f>
        <v>2.5769559913885632E-4</v>
      </c>
      <c r="M1412" s="1">
        <f t="shared" si="1582"/>
        <v>0</v>
      </c>
      <c r="N1412" s="1">
        <f t="shared" si="1582"/>
        <v>0</v>
      </c>
      <c r="O1412" s="1">
        <f t="shared" si="1582"/>
        <v>0</v>
      </c>
      <c r="P1412" s="1">
        <f>IF(P1411-P1413&lt;0,0,P1411-P1413)</f>
        <v>0</v>
      </c>
      <c r="Q1412" s="1">
        <f>IF(Q1411-Q1413&lt;0,0,Q1411-Q1413)</f>
        <v>0</v>
      </c>
      <c r="S1412" s="3"/>
    </row>
    <row r="1413" spans="2:19" x14ac:dyDescent="0.5">
      <c r="B1413" s="5" t="str">
        <f t="shared" si="1571"/>
        <v>SPS1</v>
      </c>
      <c r="C1413" s="5" t="str">
        <f t="shared" si="1572"/>
        <v>CH</v>
      </c>
      <c r="D1413" t="s">
        <v>1408</v>
      </c>
      <c r="E1413" t="s">
        <v>8</v>
      </c>
      <c r="F1413" s="1">
        <f>SUM(F1414:F1415)</f>
        <v>2.0145472250682667E-2</v>
      </c>
      <c r="G1413" s="1">
        <f t="shared" ref="G1413" si="1583">SUM(G1414:G1415)</f>
        <v>2.2189696286362214E-2</v>
      </c>
      <c r="H1413" s="1">
        <f t="shared" ref="H1413" si="1584">SUM(H1414:H1415)</f>
        <v>4.6195121434080888E-2</v>
      </c>
      <c r="I1413" s="1">
        <f t="shared" ref="I1413" si="1585">SUM(I1414:I1415)</f>
        <v>2.1162137447492064E-4</v>
      </c>
      <c r="J1413" s="1">
        <f t="shared" ref="J1413" si="1586">SUM(J1414:J1415)</f>
        <v>0</v>
      </c>
      <c r="K1413" s="1">
        <f t="shared" ref="K1413" si="1587">SUM(K1414:K1415)</f>
        <v>0</v>
      </c>
      <c r="L1413" s="1">
        <f t="shared" ref="L1413:O1413" si="1588">SUM(L1414:L1415)</f>
        <v>1.0447670623140419E-4</v>
      </c>
      <c r="M1413" s="1">
        <f t="shared" si="1588"/>
        <v>7.6845216665011166E-4</v>
      </c>
      <c r="N1413" s="1">
        <f t="shared" si="1588"/>
        <v>0</v>
      </c>
      <c r="O1413" s="1">
        <f t="shared" si="1588"/>
        <v>0</v>
      </c>
      <c r="P1413" s="1">
        <f>SUM(P1414:P1415)</f>
        <v>0</v>
      </c>
      <c r="Q1413" s="1">
        <f>SUM(Q1414:Q1415)</f>
        <v>0</v>
      </c>
      <c r="S1413" s="3"/>
    </row>
    <row r="1414" spans="2:19" x14ac:dyDescent="0.5">
      <c r="B1414" s="5" t="str">
        <f t="shared" si="1571"/>
        <v>SPS1</v>
      </c>
      <c r="C1414" s="5" t="str">
        <f t="shared" si="1572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2.0145472250682667E-2</v>
      </c>
      <c r="G1414" s="1">
        <f>[1]Transport!C$26/SUM([1]Transport!C$22,[1]Transport!C$26)*G1411*(G$34+G$582)/(G$34+G$582+G$38)</f>
        <v>2.2189696286362214E-2</v>
      </c>
      <c r="H1414" s="1">
        <f>[1]Transport!D$26/SUM([1]Transport!D$22,[1]Transport!D$26)*H1411*(H$34+H$582)/(H$34+H$582+H$38)</f>
        <v>4.6195121434080888E-2</v>
      </c>
      <c r="I1414" s="1">
        <f>[1]Transport!E$26/SUM([1]Transport!E$22,[1]Transport!E$26)*I1411*(I$34+I$582)/(I$34+I$582+I$38)</f>
        <v>2.1162137447492064E-4</v>
      </c>
      <c r="J1414" s="1">
        <f>[1]Transport!F$26/SUM([1]Transport!F$22,[1]Transport!F$26)*J1411*(J$34+J$582)/(J$34+J$582+J$38)</f>
        <v>0</v>
      </c>
      <c r="K1414" s="1">
        <f>[1]Transport!G$26/SUM([1]Transport!G$22,[1]Transport!G$26)*K1411*(K$34+K$582)/(K$34+K$582+K$38)</f>
        <v>0</v>
      </c>
      <c r="L1414" s="1">
        <f>[1]Transport!H$26/SUM([1]Transport!H$22,[1]Transport!H$26)*L1411*(L$34+L$582)/(L$34+L$582+L$38)</f>
        <v>8.3124297623153349E-5</v>
      </c>
      <c r="M1414" s="1">
        <f>[1]Transport!I$26/SUM([1]Transport!I$22,[1]Transport!I$26)*M1411*(M$34+M$582)/(M$34+M$582+M$38)</f>
        <v>1.8201724648357067E-4</v>
      </c>
      <c r="N1414" s="1">
        <f>[1]Transport!J$26/SUM([1]Transport!J$22,[1]Transport!J$26)*N1411*(N$34+N$582)/(N$34+N$582+N$38)</f>
        <v>0</v>
      </c>
      <c r="O1414" s="1">
        <f>[1]Transport!K$26/SUM([1]Transport!K$22,[1]Transport!K$26)*O1411*(O$34+O$582)/(O$34+O$582+O$38)</f>
        <v>0</v>
      </c>
      <c r="P1414" s="1">
        <f>[1]Transport!L$26/SUM([1]Transport!L$22,[1]Transport!L$26)*P1411*(P$34+P$582)/(P$34+P$582+P$38)</f>
        <v>0</v>
      </c>
      <c r="Q1414" s="1">
        <f>[1]Transport!M$26/SUM([1]Transport!M$22,[1]Transport!M$26)*Q1411*(Q$34+Q$582)/(Q$34+Q$582+Q$38)</f>
        <v>0</v>
      </c>
      <c r="S1414" s="3"/>
    </row>
    <row r="1415" spans="2:19" x14ac:dyDescent="0.5">
      <c r="B1415" s="5" t="str">
        <f t="shared" si="1571"/>
        <v>SPS1</v>
      </c>
      <c r="C1415" s="5" t="str">
        <f t="shared" si="1572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(J$38+J$718)/([1]Transport!F$22+[1]Transport!F$26)*J1411</f>
        <v>0</v>
      </c>
      <c r="K1415" s="1">
        <f>(K$38+K$718)/([1]Transport!G$22+[1]Transport!G$26)*K1411</f>
        <v>0</v>
      </c>
      <c r="L1415" s="1">
        <f>(L$38+L$718)/([1]Transport!H$22+[1]Transport!H$26)*L1411</f>
        <v>2.135240860825084E-5</v>
      </c>
      <c r="M1415" s="1">
        <f>(M$38+M$718)/([1]Transport!I$22+[1]Transport!I$26)*M1411</f>
        <v>5.8643492016654099E-4</v>
      </c>
      <c r="N1415" s="1">
        <f>(N$38+N$718)/([1]Transport!J$22+[1]Transport!J$26)*N1411</f>
        <v>0</v>
      </c>
      <c r="O1415" s="1">
        <f>(O$38+O$718)/([1]Transport!K$22+[1]Transport!K$26)*O1411</f>
        <v>0</v>
      </c>
      <c r="P1415" s="1">
        <f>(P$38+P$718)/([1]Transport!L$22+[1]Transport!L$26)*P1411</f>
        <v>0</v>
      </c>
      <c r="Q1415" s="1">
        <f>(Q$38+Q$718)/([1]Transport!M$22+[1]Transport!M$26)*Q1411</f>
        <v>0</v>
      </c>
      <c r="S1415" s="3"/>
    </row>
    <row r="1416" spans="2:19" x14ac:dyDescent="0.5">
      <c r="B1416" s="5" t="str">
        <f t="shared" si="1571"/>
        <v>SPS1</v>
      </c>
      <c r="C1416" s="5" t="str">
        <f t="shared" si="1572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7.244740961474675E-4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8.2777775802206008E-4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0</v>
      </c>
      <c r="J1416" s="1" cm="1">
        <f t="array" ref="J1416">SUMPRODUCT(("T_B_c-HYBDSL-S1"=[1]OUT_TransportEnergyCons!$A$3:$A$1000)*1,("Var_Fin"=[1]OUT_TransportEnergyCons!$B$3:$B$1000)*1,ISNUMBER(SEARCH("DSL",[1]OUT_TransportEnergyCons!$C$3:$C$1000))*1,[1]OUT_TransportEnergyCons!H$3:H$1000)</f>
        <v>0</v>
      </c>
      <c r="K1416" s="1" cm="1">
        <f t="array" ref="K1416">SUMPRODUCT(("T_B_c-HYBDSL-S1"=[1]OUT_TransportEnergyCons!$A$3:$A$1000)*1,("Var_Fin"=[1]OUT_TransportEnergyCons!$B$3:$B$1000)*1,ISNUMBER(SEARCH("DSL",[1]OUT_TransportEnergyCons!$C$3:$C$1000))*1,[1]OUT_TransportEnergyCons!I$3:I$1000)</f>
        <v>0</v>
      </c>
      <c r="L1416" s="1" cm="1">
        <f t="array" ref="L1416">SUMPRODUCT(("T_B_c-HYBDSL-S1"=[1]OUT_TransportEnergyCons!$A$3:$A$1000)*1,("Var_Fin"=[1]OUT_TransportEnergyCons!$B$3:$B$1000)*1,ISNUMBER(SEARCH("DSL",[1]OUT_TransportEnergyCons!$C$3:$C$1000))*1,[1]OUT_TransportEnergyCons!J$3:J$1000)</f>
        <v>3.6193074447481318E-4</v>
      </c>
      <c r="M1416" s="1" cm="1">
        <f t="array" ref="M1416">SUMPRODUCT(("T_B_c-HYBDSL-S1"=[1]OUT_TransportEnergyCons!$A$3:$A$1000)*1,("Var_Fin"=[1]OUT_TransportEnergyCons!$B$3:$B$1000)*1,ISNUMBER(SEARCH("DSL",[1]OUT_TransportEnergyCons!$C$3:$C$1000))*1,[1]OUT_TransportEnergyCons!K$3:K$1000)</f>
        <v>3.6230379709236267E-4</v>
      </c>
      <c r="N1416" s="1" cm="1">
        <f t="array" ref="N1416">SUMPRODUCT(("T_B_c-HYBDSL-S1"=[1]OUT_TransportEnergyCons!$A$3:$A$1000)*1,("Var_Fin"=[1]OUT_TransportEnergyCons!$B$3:$B$1000)*1,ISNUMBER(SEARCH("DSL",[1]OUT_TransportEnergyCons!$C$3:$C$1000))*1,[1]OUT_TransportEnergyCons!L$3:L$1000)</f>
        <v>0</v>
      </c>
      <c r="O1416" s="1" cm="1">
        <f t="array" ref="O1416">SUMPRODUCT(("T_B_c-HYBDSL-S1"=[1]OUT_TransportEnergyCons!$A$3:$A$1000)*1,("Var_Fin"=[1]OUT_TransportEnergyCons!$B$3:$B$1000)*1,ISNUMBER(SEARCH("DSL",[1]OUT_TransportEnergyCons!$C$3:$C$1000))*1,[1]OUT_TransportEnergyCons!M$3:M$1000)</f>
        <v>0</v>
      </c>
      <c r="P1416" s="1" cm="1">
        <f t="array" ref="P1416">SUMPRODUCT(("T_B_c-HYBDSL-S1"=[1]OUT_TransportEnergyCons!$A$3:$A$1000)*1,("Var_Fin"=[1]OUT_TransportEnergyCons!$B$3:$B$1000)*1,ISNUMBER(SEARCH("DSL",[1]OUT_TransportEnergyCons!$C$3:$C$1000))*1,[1]OUT_TransportEnergyCons!N$3:N$1000)</f>
        <v>0</v>
      </c>
      <c r="Q1416" s="1" cm="1">
        <f t="array" ref="Q1416">SUMPRODUCT(("T_B_c-HYBDSL-S1"=[1]OUT_TransportEnergyCons!$A$3:$A$1000)*1,("Var_Fin"=[1]OUT_TransportEnergyCons!$B$3:$B$1000)*1,ISNUMBER(SEARCH("DSL",[1]OUT_TransportEnergyCons!$C$3:$C$1000))*1,[1]OUT_TransportEnergyCons!O$3:O$1000)</f>
        <v>0</v>
      </c>
      <c r="S1416" s="3"/>
    </row>
    <row r="1417" spans="2:19" x14ac:dyDescent="0.5">
      <c r="B1417" s="5" t="str">
        <f t="shared" si="1571"/>
        <v>SPS1</v>
      </c>
      <c r="C1417" s="5" t="str">
        <f t="shared" si="1572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5.9902583321967094E-5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1.1684491831829753E-4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</v>
      </c>
      <c r="J1417" s="1" cm="1">
        <f t="array" ref="J1417">SUMPRODUCT(("T_B_c-HYBDSL-S2"=[1]OUT_TransportEnergyCons!$A$3:$A$1000)*1,("Var_Fin"=[1]OUT_TransportEnergyCons!$B$3:$B$1000)*1,ISNUMBER(SEARCH("DSL",[1]OUT_TransportEnergyCons!$C$3:$C$1000))*1,[1]OUT_TransportEnergyCons!H$3:H$1000)</f>
        <v>0</v>
      </c>
      <c r="K1417" s="1" cm="1">
        <f t="array" ref="K1417">SUMPRODUCT(("T_B_c-HYBDSL-S2"=[1]OUT_TransportEnergyCons!$A$3:$A$1000)*1,("Var_Fin"=[1]OUT_TransportEnergyCons!$B$3:$B$1000)*1,ISNUMBER(SEARCH("DSL",[1]OUT_TransportEnergyCons!$C$3:$C$1000))*1,[1]OUT_TransportEnergyCons!I$3:I$1000)</f>
        <v>0</v>
      </c>
      <c r="L1417" s="1" cm="1">
        <f t="array" ref="L1417">SUMPRODUCT(("T_B_c-HYBDSL-S2"=[1]OUT_TransportEnergyCons!$A$3:$A$1000)*1,("Var_Fin"=[1]OUT_TransportEnergyCons!$B$3:$B$1000)*1,ISNUMBER(SEARCH("DSL",[1]OUT_TransportEnergyCons!$C$3:$C$1000))*1,[1]OUT_TransportEnergyCons!J$3:J$1000)</f>
        <v>0</v>
      </c>
      <c r="M1417" s="1" cm="1">
        <f t="array" ref="M1417">SUMPRODUCT(("T_B_c-HYBDSL-S2"=[1]OUT_TransportEnergyCons!$A$3:$A$1000)*1,("Var_Fin"=[1]OUT_TransportEnergyCons!$B$3:$B$1000)*1,ISNUMBER(SEARCH("DSL",[1]OUT_TransportEnergyCons!$C$3:$C$1000))*1,[1]OUT_TransportEnergyCons!K$3:K$1000)</f>
        <v>0</v>
      </c>
      <c r="N1417" s="1" cm="1">
        <f t="array" ref="N1417">SUMPRODUCT(("T_B_c-HYBDSL-S2"=[1]OUT_TransportEnergyCons!$A$3:$A$1000)*1,("Var_Fin"=[1]OUT_TransportEnergyCons!$B$3:$B$1000)*1,ISNUMBER(SEARCH("DSL",[1]OUT_TransportEnergyCons!$C$3:$C$1000))*1,[1]OUT_TransportEnergyCons!L$3:L$1000)</f>
        <v>0</v>
      </c>
      <c r="O1417" s="1" cm="1">
        <f t="array" ref="O1417">SUMPRODUCT(("T_B_c-HYBDSL-S2"=[1]OUT_TransportEnergyCons!$A$3:$A$1000)*1,("Var_Fin"=[1]OUT_TransportEnergyCons!$B$3:$B$1000)*1,ISNUMBER(SEARCH("DSL",[1]OUT_TransportEnergyCons!$C$3:$C$1000))*1,[1]OUT_TransportEnergyCons!M$3:M$1000)</f>
        <v>0</v>
      </c>
      <c r="P1417" s="1" cm="1">
        <f t="array" ref="P1417">SUMPRODUCT(("T_B_c-HYBDSL-S2"=[1]OUT_TransportEnergyCons!$A$3:$A$1000)*1,("Var_Fin"=[1]OUT_TransportEnergyCons!$B$3:$B$1000)*1,ISNUMBER(SEARCH("DSL",[1]OUT_TransportEnergyCons!$C$3:$C$1000))*1,[1]OUT_TransportEnergyCons!N$3:N$1000)</f>
        <v>0</v>
      </c>
      <c r="Q1417" s="1" cm="1">
        <f t="array" ref="Q1417">SUMPRODUCT(("T_B_c-HYBDSL-S2"=[1]OUT_TransportEnergyCons!$A$3:$A$1000)*1,("Var_Fin"=[1]OUT_TransportEnergyCons!$B$3:$B$1000)*1,ISNUMBER(SEARCH("DSL",[1]OUT_TransportEnergyCons!$C$3:$C$1000))*1,[1]OUT_TransportEnergyCons!O$3:O$1000)</f>
        <v>0</v>
      </c>
      <c r="S1417" s="3"/>
    </row>
    <row r="1418" spans="2:19" x14ac:dyDescent="0.5">
      <c r="B1418" s="5" t="str">
        <f t="shared" si="1571"/>
        <v>SPS1</v>
      </c>
      <c r="C1418" s="5" t="str">
        <f t="shared" si="1572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3.4279529366334887E-5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6.0986205000620979E-5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0</v>
      </c>
      <c r="J1418" s="1" cm="1">
        <f t="array" ref="J1418">SUMPRODUCT(("T_B_c-HYBDSL-S3"=[1]OUT_TransportEnergyCons!$A$3:$A$1000)*1,("Var_Fin"=[1]OUT_TransportEnergyCons!$B$3:$B$1000)*1,ISNUMBER(SEARCH("DSL",[1]OUT_TransportEnergyCons!$C$3:$C$1000))*1,[1]OUT_TransportEnergyCons!H$3:H$1000)</f>
        <v>0</v>
      </c>
      <c r="K1418" s="1" cm="1">
        <f t="array" ref="K1418">SUMPRODUCT(("T_B_c-HYBDSL-S3"=[1]OUT_TransportEnergyCons!$A$3:$A$1000)*1,("Var_Fin"=[1]OUT_TransportEnergyCons!$B$3:$B$1000)*1,ISNUMBER(SEARCH("DSL",[1]OUT_TransportEnergyCons!$C$3:$C$1000))*1,[1]OUT_TransportEnergyCons!I$3:I$1000)</f>
        <v>0</v>
      </c>
      <c r="L1418" s="1" cm="1">
        <f t="array" ref="L1418">SUMPRODUCT(("T_B_c-HYBDSL-S3"=[1]OUT_TransportEnergyCons!$A$3:$A$1000)*1,("Var_Fin"=[1]OUT_TransportEnergyCons!$B$3:$B$1000)*1,ISNUMBER(SEARCH("DSL",[1]OUT_TransportEnergyCons!$C$3:$C$1000))*1,[1]OUT_TransportEnergyCons!J$3:J$1000)</f>
        <v>0</v>
      </c>
      <c r="M1418" s="1" cm="1">
        <f t="array" ref="M1418">SUMPRODUCT(("T_B_c-HYBDSL-S3"=[1]OUT_TransportEnergyCons!$A$3:$A$1000)*1,("Var_Fin"=[1]OUT_TransportEnergyCons!$B$3:$B$1000)*1,ISNUMBER(SEARCH("DSL",[1]OUT_TransportEnergyCons!$C$3:$C$1000))*1,[1]OUT_TransportEnergyCons!K$3:K$1000)</f>
        <v>0</v>
      </c>
      <c r="N1418" s="1" cm="1">
        <f t="array" ref="N1418">SUMPRODUCT(("T_B_c-HYBDSL-S3"=[1]OUT_TransportEnergyCons!$A$3:$A$1000)*1,("Var_Fin"=[1]OUT_TransportEnergyCons!$B$3:$B$1000)*1,ISNUMBER(SEARCH("DSL",[1]OUT_TransportEnergyCons!$C$3:$C$1000))*1,[1]OUT_TransportEnergyCons!L$3:L$1000)</f>
        <v>0</v>
      </c>
      <c r="O1418" s="1" cm="1">
        <f t="array" ref="O1418">SUMPRODUCT(("T_B_c-HYBDSL-S3"=[1]OUT_TransportEnergyCons!$A$3:$A$1000)*1,("Var_Fin"=[1]OUT_TransportEnergyCons!$B$3:$B$1000)*1,ISNUMBER(SEARCH("DSL",[1]OUT_TransportEnergyCons!$C$3:$C$1000))*1,[1]OUT_TransportEnergyCons!M$3:M$1000)</f>
        <v>0</v>
      </c>
      <c r="P1418" s="1" cm="1">
        <f t="array" ref="P1418">SUMPRODUCT(("T_B_c-HYBDSL-S3"=[1]OUT_TransportEnergyCons!$A$3:$A$1000)*1,("Var_Fin"=[1]OUT_TransportEnergyCons!$B$3:$B$1000)*1,ISNUMBER(SEARCH("DSL",[1]OUT_TransportEnergyCons!$C$3:$C$1000))*1,[1]OUT_TransportEnergyCons!N$3:N$1000)</f>
        <v>0</v>
      </c>
      <c r="Q1418" s="1" cm="1">
        <f t="array" ref="Q1418">SUMPRODUCT(("T_B_c-HYBDSL-S3"=[1]OUT_TransportEnergyCons!$A$3:$A$1000)*1,("Var_Fin"=[1]OUT_TransportEnergyCons!$B$3:$B$1000)*1,ISNUMBER(SEARCH("DSL",[1]OUT_TransportEnergyCons!$C$3:$C$1000))*1,[1]OUT_TransportEnergyCons!O$3:O$1000)</f>
        <v>0</v>
      </c>
      <c r="S1418" s="3"/>
    </row>
    <row r="1419" spans="2:19" x14ac:dyDescent="0.5">
      <c r="B1419" s="5" t="str">
        <f t="shared" si="1571"/>
        <v>SPS1</v>
      </c>
      <c r="C1419" s="5" t="str">
        <f t="shared" si="1572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3.0336244998171209E-6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5.6518031311236756E-6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0</v>
      </c>
      <c r="J1419" s="1" cm="1">
        <f t="array" ref="J1419">SUMPRODUCT(("T_B_c-HYBDSL-S4"=[1]OUT_TransportEnergyCons!$A$3:$A$1000)*1,("Var_Fin"=[1]OUT_TransportEnergyCons!$B$3:$B$1000)*1,ISNUMBER(SEARCH("DSL",[1]OUT_TransportEnergyCons!$C$3:$C$1000))*1,[1]OUT_TransportEnergyCons!H$3:H$1000)</f>
        <v>0</v>
      </c>
      <c r="K1419" s="1" cm="1">
        <f t="array" ref="K1419">SUMPRODUCT(("T_B_c-HYBDSL-S4"=[1]OUT_TransportEnergyCons!$A$3:$A$1000)*1,("Var_Fin"=[1]OUT_TransportEnergyCons!$B$3:$B$1000)*1,ISNUMBER(SEARCH("DSL",[1]OUT_TransportEnergyCons!$C$3:$C$1000))*1,[1]OUT_TransportEnergyCons!I$3:I$1000)</f>
        <v>0</v>
      </c>
      <c r="L1419" s="1" cm="1">
        <f t="array" ref="L1419">SUMPRODUCT(("T_B_c-HYBDSL-S4"=[1]OUT_TransportEnergyCons!$A$3:$A$1000)*1,("Var_Fin"=[1]OUT_TransportEnergyCons!$B$3:$B$1000)*1,ISNUMBER(SEARCH("DSL",[1]OUT_TransportEnergyCons!$C$3:$C$1000))*1,[1]OUT_TransportEnergyCons!J$3:J$1000)</f>
        <v>0</v>
      </c>
      <c r="M1419" s="1" cm="1">
        <f t="array" ref="M1419">SUMPRODUCT(("T_B_c-HYBDSL-S4"=[1]OUT_TransportEnergyCons!$A$3:$A$1000)*1,("Var_Fin"=[1]OUT_TransportEnergyCons!$B$3:$B$1000)*1,ISNUMBER(SEARCH("DSL",[1]OUT_TransportEnergyCons!$C$3:$C$1000))*1,[1]OUT_TransportEnergyCons!K$3:K$1000)</f>
        <v>0</v>
      </c>
      <c r="N1419" s="1" cm="1">
        <f t="array" ref="N1419">SUMPRODUCT(("T_B_c-HYBDSL-S4"=[1]OUT_TransportEnergyCons!$A$3:$A$1000)*1,("Var_Fin"=[1]OUT_TransportEnergyCons!$B$3:$B$1000)*1,ISNUMBER(SEARCH("DSL",[1]OUT_TransportEnergyCons!$C$3:$C$1000))*1,[1]OUT_TransportEnergyCons!L$3:L$1000)</f>
        <v>0</v>
      </c>
      <c r="O1419" s="1" cm="1">
        <f t="array" ref="O1419">SUMPRODUCT(("T_B_c-HYBDSL-S4"=[1]OUT_TransportEnergyCons!$A$3:$A$1000)*1,("Var_Fin"=[1]OUT_TransportEnergyCons!$B$3:$B$1000)*1,ISNUMBER(SEARCH("DSL",[1]OUT_TransportEnergyCons!$C$3:$C$1000))*1,[1]OUT_TransportEnergyCons!M$3:M$1000)</f>
        <v>0</v>
      </c>
      <c r="P1419" s="1" cm="1">
        <f t="array" ref="P1419">SUMPRODUCT(("T_B_c-HYBDSL-S4"=[1]OUT_TransportEnergyCons!$A$3:$A$1000)*1,("Var_Fin"=[1]OUT_TransportEnergyCons!$B$3:$B$1000)*1,ISNUMBER(SEARCH("DSL",[1]OUT_TransportEnergyCons!$C$3:$C$1000))*1,[1]OUT_TransportEnergyCons!N$3:N$1000)</f>
        <v>0</v>
      </c>
      <c r="Q1419" s="1" cm="1">
        <f t="array" ref="Q1419">SUMPRODUCT(("T_B_c-HYBDSL-S4"=[1]OUT_TransportEnergyCons!$A$3:$A$1000)*1,("Var_Fin"=[1]OUT_TransportEnergyCons!$B$3:$B$1000)*1,ISNUMBER(SEARCH("DSL",[1]OUT_TransportEnergyCons!$C$3:$C$1000))*1,[1]OUT_TransportEnergyCons!O$3:O$1000)</f>
        <v>0</v>
      </c>
      <c r="S1419" s="3"/>
    </row>
    <row r="1420" spans="2:19" x14ac:dyDescent="0.5">
      <c r="B1420" s="5" t="str">
        <f t="shared" si="1571"/>
        <v>SPS1</v>
      </c>
      <c r="C1420" s="5" t="str">
        <f t="shared" si="1572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6.0277944510803922E-3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6.0131691223631618E-3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5.9693789925365165E-3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SUMPRODUCT(("T_B_c-ICEDSLEXT"=[1]OUT_TransportEnergyCons!$A$3:$A$1000)*1,("Var_Fin"=[1]OUT_TransportEnergyCons!$B$3:$B$1000)*1,ISNUMBER(SEARCH("DSL",[1]OUT_TransportEnergyCons!$C$3:$C$1000))*1,[1]OUT_TransportEnergyCons!H$3:H$1000)</f>
        <v>0</v>
      </c>
      <c r="K1420" s="1" cm="1">
        <f t="array" ref="K1420">SUMPRODUCT(("T_B_c-ICEDSLEXT"=[1]OUT_TransportEnergyCons!$A$3:$A$1000)*1,("Var_Fin"=[1]OUT_TransportEnergyCons!$B$3:$B$1000)*1,ISNUMBER(SEARCH("DSL",[1]OUT_TransportEnergyCons!$C$3:$C$1000))*1,[1]OUT_TransportEnergyCons!I$3:I$1000)</f>
        <v>0</v>
      </c>
      <c r="L1420" s="1" cm="1">
        <f t="array" ref="L1420">SUMPRODUCT(("T_B_c-ICEDSLEXT"=[1]OUT_TransportEnergyCons!$A$3:$A$1000)*1,("Var_Fin"=[1]OUT_TransportEnergyCons!$B$3:$B$1000)*1,ISNUMBER(SEARCH("DSL",[1]OUT_TransportEnergyCons!$C$3:$C$1000))*1,[1]OUT_TransportEnergyCons!J$3:J$1000)</f>
        <v>0</v>
      </c>
      <c r="M1420" s="1" cm="1">
        <f t="array" ref="M1420">SUMPRODUCT(("T_B_c-ICEDSLEXT"=[1]OUT_TransportEnergyCons!$A$3:$A$1000)*1,("Var_Fin"=[1]OUT_TransportEnergyCons!$B$3:$B$1000)*1,ISNUMBER(SEARCH("DSL",[1]OUT_TransportEnergyCons!$C$3:$C$1000))*1,[1]OUT_TransportEnergyCons!K$3:K$1000)</f>
        <v>0</v>
      </c>
      <c r="N1420" s="1" cm="1">
        <f t="array" ref="N1420">SUMPRODUCT(("T_B_c-ICEDSLEXT"=[1]OUT_TransportEnergyCons!$A$3:$A$1000)*1,("Var_Fin"=[1]OUT_TransportEnergyCons!$B$3:$B$1000)*1,ISNUMBER(SEARCH("DSL",[1]OUT_TransportEnergyCons!$C$3:$C$1000))*1,[1]OUT_TransportEnergyCons!L$3:L$1000)</f>
        <v>0</v>
      </c>
      <c r="O1420" s="1" cm="1">
        <f t="array" ref="O1420">SUMPRODUCT(("T_B_c-ICEDSLEXT"=[1]OUT_TransportEnergyCons!$A$3:$A$1000)*1,("Var_Fin"=[1]OUT_TransportEnergyCons!$B$3:$B$1000)*1,ISNUMBER(SEARCH("DSL",[1]OUT_TransportEnergyCons!$C$3:$C$1000))*1,[1]OUT_TransportEnergyCons!M$3:M$1000)</f>
        <v>0</v>
      </c>
      <c r="P1420" s="1" cm="1">
        <f t="array" ref="P1420">SUMPRODUCT(("T_B_c-ICEDSLEXT"=[1]OUT_TransportEnergyCons!$A$3:$A$1000)*1,("Var_Fin"=[1]OUT_TransportEnergyCons!$B$3:$B$1000)*1,ISNUMBER(SEARCH("DSL",[1]OUT_TransportEnergyCons!$C$3:$C$1000))*1,[1]OUT_TransportEnergyCons!N$3:N$1000)</f>
        <v>0</v>
      </c>
      <c r="Q1420" s="1" cm="1">
        <f t="array" ref="Q1420">SUMPRODUCT(("T_B_c-ICEDSLEXT"=[1]OUT_TransportEnergyCons!$A$3:$A$1000)*1,("Var_Fin"=[1]OUT_TransportEnergyCons!$B$3:$B$1000)*1,ISNUMBER(SEARCH("DSL",[1]OUT_TransportEnergyCons!$C$3:$C$1000))*1,[1]OUT_TransportEnergyCons!O$3:O$1000)</f>
        <v>0</v>
      </c>
      <c r="S1420" s="3"/>
    </row>
    <row r="1421" spans="2:19" x14ac:dyDescent="0.5">
      <c r="B1421" s="5" t="str">
        <f t="shared" si="1571"/>
        <v>SPS1</v>
      </c>
      <c r="C1421" s="5" t="str">
        <f t="shared" si="1572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0.11346993065966932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0.30973782712839887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0.36881447125985201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4.5378942906455742E-3</v>
      </c>
      <c r="J1421" s="1" cm="1">
        <f t="array" ref="J1421">SUMPRODUCT(("T_B_c-ICEDSL-S1"=[1]OUT_TransportEnergyCons!$A$3:$A$1000)*1,("Var_Fin"=[1]OUT_TransportEnergyCons!$B$3:$B$1000)*1,ISNUMBER(SEARCH("DSL",[1]OUT_TransportEnergyCons!$C$3:$C$1000))*1,[1]OUT_TransportEnergyCons!H$3:H$1000)</f>
        <v>0</v>
      </c>
      <c r="K1421" s="1" cm="1">
        <f t="array" ref="K1421">SUMPRODUCT(("T_B_c-ICEDSL-S1"=[1]OUT_TransportEnergyCons!$A$3:$A$1000)*1,("Var_Fin"=[1]OUT_TransportEnergyCons!$B$3:$B$1000)*1,ISNUMBER(SEARCH("DSL",[1]OUT_TransportEnergyCons!$C$3:$C$1000))*1,[1]OUT_TransportEnergyCons!I$3:I$1000)</f>
        <v>0</v>
      </c>
      <c r="L1421" s="1" cm="1">
        <f t="array" ref="L1421">SUMPRODUCT(("T_B_c-ICEDSL-S1"=[1]OUT_TransportEnergyCons!$A$3:$A$1000)*1,("Var_Fin"=[1]OUT_TransportEnergyCons!$B$3:$B$1000)*1,ISNUMBER(SEARCH("DSL",[1]OUT_TransportEnergyCons!$C$3:$C$1000))*1,[1]OUT_TransportEnergyCons!J$3:J$1000)</f>
        <v>2.4156089544733421E-7</v>
      </c>
      <c r="M1421" s="1" cm="1">
        <f t="array" ref="M1421">SUMPRODUCT(("T_B_c-ICEDSL-S1"=[1]OUT_TransportEnergyCons!$A$3:$A$1000)*1,("Var_Fin"=[1]OUT_TransportEnergyCons!$B$3:$B$1000)*1,ISNUMBER(SEARCH("DSL",[1]OUT_TransportEnergyCons!$C$3:$C$1000))*1,[1]OUT_TransportEnergyCons!K$3:K$1000)</f>
        <v>2.4129572240314619E-7</v>
      </c>
      <c r="N1421" s="1" cm="1">
        <f t="array" ref="N1421">SUMPRODUCT(("T_B_c-ICEDSL-S1"=[1]OUT_TransportEnergyCons!$A$3:$A$1000)*1,("Var_Fin"=[1]OUT_TransportEnergyCons!$B$3:$B$1000)*1,ISNUMBER(SEARCH("DSL",[1]OUT_TransportEnergyCons!$C$3:$C$1000))*1,[1]OUT_TransportEnergyCons!L$3:L$1000)</f>
        <v>0</v>
      </c>
      <c r="O1421" s="1" cm="1">
        <f t="array" ref="O1421">SUMPRODUCT(("T_B_c-ICEDSL-S1"=[1]OUT_TransportEnergyCons!$A$3:$A$1000)*1,("Var_Fin"=[1]OUT_TransportEnergyCons!$B$3:$B$1000)*1,ISNUMBER(SEARCH("DSL",[1]OUT_TransportEnergyCons!$C$3:$C$1000))*1,[1]OUT_TransportEnergyCons!M$3:M$1000)</f>
        <v>0</v>
      </c>
      <c r="P1421" s="1" cm="1">
        <f t="array" ref="P1421">SUMPRODUCT(("T_B_c-ICEDSL-S1"=[1]OUT_TransportEnergyCons!$A$3:$A$1000)*1,("Var_Fin"=[1]OUT_TransportEnergyCons!$B$3:$B$1000)*1,ISNUMBER(SEARCH("DSL",[1]OUT_TransportEnergyCons!$C$3:$C$1000))*1,[1]OUT_TransportEnergyCons!N$3:N$1000)</f>
        <v>0</v>
      </c>
      <c r="Q1421" s="1" cm="1">
        <f t="array" ref="Q1421">SUMPRODUCT(("T_B_c-ICEDSL-S1"=[1]OUT_TransportEnergyCons!$A$3:$A$1000)*1,("Var_Fin"=[1]OUT_TransportEnergyCons!$B$3:$B$1000)*1,ISNUMBER(SEARCH("DSL",[1]OUT_TransportEnergyCons!$C$3:$C$1000))*1,[1]OUT_TransportEnergyCons!O$3:O$1000)</f>
        <v>0</v>
      </c>
      <c r="S1421" s="3"/>
    </row>
    <row r="1422" spans="2:19" x14ac:dyDescent="0.5">
      <c r="B1422" s="5" t="str">
        <f t="shared" si="1571"/>
        <v>SPS1</v>
      </c>
      <c r="C1422" s="5" t="str">
        <f t="shared" si="1572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0.51957610426951351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0.3997269788908363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0.4941871158706666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SUMPRODUCT(("T_B_c-ICEDSL-S2"=[1]OUT_TransportEnergyCons!$A$3:$A$1000)*1,("Var_Fin"=[1]OUT_TransportEnergyCons!$B$3:$B$1000)*1,ISNUMBER(SEARCH("DSL",[1]OUT_TransportEnergyCons!$C$3:$C$1000))*1,[1]OUT_TransportEnergyCons!H$3:H$1000)</f>
        <v>0</v>
      </c>
      <c r="K1422" s="1" cm="1">
        <f t="array" ref="K1422">SUMPRODUCT(("T_B_c-ICEDSL-S2"=[1]OUT_TransportEnergyCons!$A$3:$A$1000)*1,("Var_Fin"=[1]OUT_TransportEnergyCons!$B$3:$B$1000)*1,ISNUMBER(SEARCH("DSL",[1]OUT_TransportEnergyCons!$C$3:$C$1000))*1,[1]OUT_TransportEnergyCons!I$3:I$1000)</f>
        <v>0</v>
      </c>
      <c r="L1422" s="1" cm="1">
        <f t="array" ref="L1422">SUMPRODUCT(("T_B_c-ICEDSL-S2"=[1]OUT_TransportEnergyCons!$A$3:$A$1000)*1,("Var_Fin"=[1]OUT_TransportEnergyCons!$B$3:$B$1000)*1,ISNUMBER(SEARCH("DSL",[1]OUT_TransportEnergyCons!$C$3:$C$1000))*1,[1]OUT_TransportEnergyCons!J$3:J$1000)</f>
        <v>0</v>
      </c>
      <c r="M1422" s="1" cm="1">
        <f t="array" ref="M1422">SUMPRODUCT(("T_B_c-ICEDSL-S2"=[1]OUT_TransportEnergyCons!$A$3:$A$1000)*1,("Var_Fin"=[1]OUT_TransportEnergyCons!$B$3:$B$1000)*1,ISNUMBER(SEARCH("DSL",[1]OUT_TransportEnergyCons!$C$3:$C$1000))*1,[1]OUT_TransportEnergyCons!K$3:K$1000)</f>
        <v>0</v>
      </c>
      <c r="N1422" s="1" cm="1">
        <f t="array" ref="N1422">SUMPRODUCT(("T_B_c-ICEDSL-S2"=[1]OUT_TransportEnergyCons!$A$3:$A$1000)*1,("Var_Fin"=[1]OUT_TransportEnergyCons!$B$3:$B$1000)*1,ISNUMBER(SEARCH("DSL",[1]OUT_TransportEnergyCons!$C$3:$C$1000))*1,[1]OUT_TransportEnergyCons!L$3:L$1000)</f>
        <v>0</v>
      </c>
      <c r="O1422" s="1" cm="1">
        <f t="array" ref="O1422">SUMPRODUCT(("T_B_c-ICEDSL-S2"=[1]OUT_TransportEnergyCons!$A$3:$A$1000)*1,("Var_Fin"=[1]OUT_TransportEnergyCons!$B$3:$B$1000)*1,ISNUMBER(SEARCH("DSL",[1]OUT_TransportEnergyCons!$C$3:$C$1000))*1,[1]OUT_TransportEnergyCons!M$3:M$1000)</f>
        <v>0</v>
      </c>
      <c r="P1422" s="1" cm="1">
        <f t="array" ref="P1422">SUMPRODUCT(("T_B_c-ICEDSL-S2"=[1]OUT_TransportEnergyCons!$A$3:$A$1000)*1,("Var_Fin"=[1]OUT_TransportEnergyCons!$B$3:$B$1000)*1,ISNUMBER(SEARCH("DSL",[1]OUT_TransportEnergyCons!$C$3:$C$1000))*1,[1]OUT_TransportEnergyCons!N$3:N$1000)</f>
        <v>0</v>
      </c>
      <c r="Q1422" s="1" cm="1">
        <f t="array" ref="Q1422">SUMPRODUCT(("T_B_c-ICEDSL-S2"=[1]OUT_TransportEnergyCons!$A$3:$A$1000)*1,("Var_Fin"=[1]OUT_TransportEnergyCons!$B$3:$B$1000)*1,ISNUMBER(SEARCH("DSL",[1]OUT_TransportEnergyCons!$C$3:$C$1000))*1,[1]OUT_TransportEnergyCons!O$3:O$1000)</f>
        <v>0</v>
      </c>
      <c r="S1422" s="3"/>
    </row>
    <row r="1423" spans="2:19" x14ac:dyDescent="0.5">
      <c r="B1423" s="5" t="str">
        <f t="shared" si="1571"/>
        <v>SPS1</v>
      </c>
      <c r="C1423" s="5" t="str">
        <f t="shared" si="1572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0.16078346815562619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0.12888722199645161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0.15926118892442431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SUMPRODUCT(("T_B_c-ICEDSL-S3"=[1]OUT_TransportEnergyCons!$A$3:$A$1000)*1,("Var_Fin"=[1]OUT_TransportEnergyCons!$B$3:$B$1000)*1,ISNUMBER(SEARCH("DSL",[1]OUT_TransportEnergyCons!$C$3:$C$1000))*1,[1]OUT_TransportEnergyCons!H$3:H$1000)</f>
        <v>0</v>
      </c>
      <c r="K1423" s="1" cm="1">
        <f t="array" ref="K1423">SUMPRODUCT(("T_B_c-ICEDSL-S3"=[1]OUT_TransportEnergyCons!$A$3:$A$1000)*1,("Var_Fin"=[1]OUT_TransportEnergyCons!$B$3:$B$1000)*1,ISNUMBER(SEARCH("DSL",[1]OUT_TransportEnergyCons!$C$3:$C$1000))*1,[1]OUT_TransportEnergyCons!I$3:I$1000)</f>
        <v>0</v>
      </c>
      <c r="L1423" s="1" cm="1">
        <f t="array" ref="L1423">SUMPRODUCT(("T_B_c-ICEDSL-S3"=[1]OUT_TransportEnergyCons!$A$3:$A$1000)*1,("Var_Fin"=[1]OUT_TransportEnergyCons!$B$3:$B$1000)*1,ISNUMBER(SEARCH("DSL",[1]OUT_TransportEnergyCons!$C$3:$C$1000))*1,[1]OUT_TransportEnergyCons!J$3:J$1000)</f>
        <v>0</v>
      </c>
      <c r="M1423" s="1" cm="1">
        <f t="array" ref="M1423">SUMPRODUCT(("T_B_c-ICEDSL-S3"=[1]OUT_TransportEnergyCons!$A$3:$A$1000)*1,("Var_Fin"=[1]OUT_TransportEnergyCons!$B$3:$B$1000)*1,ISNUMBER(SEARCH("DSL",[1]OUT_TransportEnergyCons!$C$3:$C$1000))*1,[1]OUT_TransportEnergyCons!K$3:K$1000)</f>
        <v>0</v>
      </c>
      <c r="N1423" s="1" cm="1">
        <f t="array" ref="N1423">SUMPRODUCT(("T_B_c-ICEDSL-S3"=[1]OUT_TransportEnergyCons!$A$3:$A$1000)*1,("Var_Fin"=[1]OUT_TransportEnergyCons!$B$3:$B$1000)*1,ISNUMBER(SEARCH("DSL",[1]OUT_TransportEnergyCons!$C$3:$C$1000))*1,[1]OUT_TransportEnergyCons!L$3:L$1000)</f>
        <v>0</v>
      </c>
      <c r="O1423" s="1" cm="1">
        <f t="array" ref="O1423">SUMPRODUCT(("T_B_c-ICEDSL-S3"=[1]OUT_TransportEnergyCons!$A$3:$A$1000)*1,("Var_Fin"=[1]OUT_TransportEnergyCons!$B$3:$B$1000)*1,ISNUMBER(SEARCH("DSL",[1]OUT_TransportEnergyCons!$C$3:$C$1000))*1,[1]OUT_TransportEnergyCons!M$3:M$1000)</f>
        <v>0</v>
      </c>
      <c r="P1423" s="1" cm="1">
        <f t="array" ref="P1423">SUMPRODUCT(("T_B_c-ICEDSL-S3"=[1]OUT_TransportEnergyCons!$A$3:$A$1000)*1,("Var_Fin"=[1]OUT_TransportEnergyCons!$B$3:$B$1000)*1,ISNUMBER(SEARCH("DSL",[1]OUT_TransportEnergyCons!$C$3:$C$1000))*1,[1]OUT_TransportEnergyCons!N$3:N$1000)</f>
        <v>0</v>
      </c>
      <c r="Q1423" s="1" cm="1">
        <f t="array" ref="Q1423">SUMPRODUCT(("T_B_c-ICEDSL-S3"=[1]OUT_TransportEnergyCons!$A$3:$A$1000)*1,("Var_Fin"=[1]OUT_TransportEnergyCons!$B$3:$B$1000)*1,ISNUMBER(SEARCH("DSL",[1]OUT_TransportEnergyCons!$C$3:$C$1000))*1,[1]OUT_TransportEnergyCons!O$3:O$1000)</f>
        <v>0</v>
      </c>
      <c r="S1423" s="3"/>
    </row>
    <row r="1424" spans="2:19" x14ac:dyDescent="0.5">
      <c r="B1424" s="5" t="str">
        <f t="shared" si="1571"/>
        <v>SPS1</v>
      </c>
      <c r="C1424" s="5" t="str">
        <f t="shared" si="1572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1.2298481093211869E-2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7.7321713999400782E-5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8.4713824190158505E-5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SUMPRODUCT(("T_B_c-ICEDSL-S4"=[1]OUT_TransportEnergyCons!$A$3:$A$1000)*1,("Var_Fin"=[1]OUT_TransportEnergyCons!$B$3:$B$1000)*1,ISNUMBER(SEARCH("DSL",[1]OUT_TransportEnergyCons!$C$3:$C$1000))*1,[1]OUT_TransportEnergyCons!H$3:H$1000)</f>
        <v>0</v>
      </c>
      <c r="K1424" s="1" cm="1">
        <f t="array" ref="K1424">SUMPRODUCT(("T_B_c-ICEDSL-S4"=[1]OUT_TransportEnergyCons!$A$3:$A$1000)*1,("Var_Fin"=[1]OUT_TransportEnergyCons!$B$3:$B$1000)*1,ISNUMBER(SEARCH("DSL",[1]OUT_TransportEnergyCons!$C$3:$C$1000))*1,[1]OUT_TransportEnergyCons!I$3:I$1000)</f>
        <v>0</v>
      </c>
      <c r="L1424" s="1" cm="1">
        <f t="array" ref="L1424">SUMPRODUCT(("T_B_c-ICEDSL-S4"=[1]OUT_TransportEnergyCons!$A$3:$A$1000)*1,("Var_Fin"=[1]OUT_TransportEnergyCons!$B$3:$B$1000)*1,ISNUMBER(SEARCH("DSL",[1]OUT_TransportEnergyCons!$C$3:$C$1000))*1,[1]OUT_TransportEnergyCons!J$3:J$1000)</f>
        <v>0</v>
      </c>
      <c r="M1424" s="1" cm="1">
        <f t="array" ref="M1424">SUMPRODUCT(("T_B_c-ICEDSL-S4"=[1]OUT_TransportEnergyCons!$A$3:$A$1000)*1,("Var_Fin"=[1]OUT_TransportEnergyCons!$B$3:$B$1000)*1,ISNUMBER(SEARCH("DSL",[1]OUT_TransportEnergyCons!$C$3:$C$1000))*1,[1]OUT_TransportEnergyCons!K$3:K$1000)</f>
        <v>0</v>
      </c>
      <c r="N1424" s="1" cm="1">
        <f t="array" ref="N1424">SUMPRODUCT(("T_B_c-ICEDSL-S4"=[1]OUT_TransportEnergyCons!$A$3:$A$1000)*1,("Var_Fin"=[1]OUT_TransportEnergyCons!$B$3:$B$1000)*1,ISNUMBER(SEARCH("DSL",[1]OUT_TransportEnergyCons!$C$3:$C$1000))*1,[1]OUT_TransportEnergyCons!L$3:L$1000)</f>
        <v>0</v>
      </c>
      <c r="O1424" s="1" cm="1">
        <f t="array" ref="O1424">SUMPRODUCT(("T_B_c-ICEDSL-S4"=[1]OUT_TransportEnergyCons!$A$3:$A$1000)*1,("Var_Fin"=[1]OUT_TransportEnergyCons!$B$3:$B$1000)*1,ISNUMBER(SEARCH("DSL",[1]OUT_TransportEnergyCons!$C$3:$C$1000))*1,[1]OUT_TransportEnergyCons!M$3:M$1000)</f>
        <v>0</v>
      </c>
      <c r="P1424" s="1" cm="1">
        <f t="array" ref="P1424">SUMPRODUCT(("T_B_c-ICEDSL-S4"=[1]OUT_TransportEnergyCons!$A$3:$A$1000)*1,("Var_Fin"=[1]OUT_TransportEnergyCons!$B$3:$B$1000)*1,ISNUMBER(SEARCH("DSL",[1]OUT_TransportEnergyCons!$C$3:$C$1000))*1,[1]OUT_TransportEnergyCons!N$3:N$1000)</f>
        <v>0</v>
      </c>
      <c r="Q1424" s="1" cm="1">
        <f t="array" ref="Q1424">SUMPRODUCT(("T_B_c-ICEDSL-S4"=[1]OUT_TransportEnergyCons!$A$3:$A$1000)*1,("Var_Fin"=[1]OUT_TransportEnergyCons!$B$3:$B$1000)*1,ISNUMBER(SEARCH("DSL",[1]OUT_TransportEnergyCons!$C$3:$C$1000))*1,[1]OUT_TransportEnergyCons!O$3:O$1000)</f>
        <v>0</v>
      </c>
      <c r="S1424" s="3"/>
    </row>
    <row r="1425" spans="2:19" x14ac:dyDescent="0.5">
      <c r="B1425" s="5" t="str">
        <f t="shared" si="1571"/>
        <v>SPS1</v>
      </c>
      <c r="C1425" s="5" t="str">
        <f t="shared" si="1572"/>
        <v>CH</v>
      </c>
      <c r="D1425" t="s">
        <v>1419</v>
      </c>
      <c r="E1425" t="s">
        <v>8</v>
      </c>
      <c r="F1425" s="1">
        <f>SUM(F1430:F1434)</f>
        <v>1.3744753861212226E-4</v>
      </c>
      <c r="G1425" s="1">
        <f t="shared" ref="G1425" si="1589">SUM(G1430:G1434)</f>
        <v>2.796677712557576E-4</v>
      </c>
      <c r="H1425" s="1">
        <f t="shared" ref="H1425" si="1590">SUM(H1430:H1434)</f>
        <v>9.8931218902397408E-3</v>
      </c>
      <c r="I1425" s="1">
        <f t="shared" ref="I1425" si="1591">SUM(I1430:I1434)</f>
        <v>7.6949932927013204E-3</v>
      </c>
      <c r="J1425" s="1">
        <f t="shared" ref="J1425" si="1592">SUM(J1430:J1434)</f>
        <v>0</v>
      </c>
      <c r="K1425" s="1">
        <f t="shared" ref="K1425" si="1593">SUM(K1430:K1434)</f>
        <v>0</v>
      </c>
      <c r="L1425" s="1">
        <f t="shared" ref="L1425:O1425" si="1594">SUM(L1430:L1434)</f>
        <v>1.3801421318571129E-3</v>
      </c>
      <c r="M1425" s="1">
        <f t="shared" si="1594"/>
        <v>1.3815804664206489E-3</v>
      </c>
      <c r="N1425" s="1">
        <f t="shared" si="1594"/>
        <v>0</v>
      </c>
      <c r="O1425" s="1">
        <f t="shared" si="1594"/>
        <v>0</v>
      </c>
      <c r="P1425" s="1">
        <f>SUM(P1430:P1434)</f>
        <v>0</v>
      </c>
      <c r="Q1425" s="1">
        <f>SUM(Q1430:Q1434)</f>
        <v>0</v>
      </c>
      <c r="S1425" s="3"/>
    </row>
    <row r="1426" spans="2:19" x14ac:dyDescent="0.5">
      <c r="B1426" s="5" t="str">
        <f t="shared" si="1571"/>
        <v>SPS1</v>
      </c>
      <c r="C1426" s="5" t="str">
        <f t="shared" si="1572"/>
        <v>CH</v>
      </c>
      <c r="D1426" t="s">
        <v>1420</v>
      </c>
      <c r="E1426" t="s">
        <v>8</v>
      </c>
      <c r="F1426" s="1">
        <f>IF(F1425-F1427&lt;0,0,F1425-F1427)</f>
        <v>1.269981456205799E-4</v>
      </c>
      <c r="G1426" s="1">
        <f t="shared" ref="G1426:K1426" si="1595">IF(G1425-G1427&lt;0,0,G1425-G1427)</f>
        <v>2.4487916583489208E-4</v>
      </c>
      <c r="H1426" s="1">
        <f t="shared" si="1595"/>
        <v>9.8267556107352223E-3</v>
      </c>
      <c r="I1426" s="1">
        <f t="shared" si="1595"/>
        <v>7.6563952466443498E-3</v>
      </c>
      <c r="J1426" s="1">
        <f t="shared" si="1595"/>
        <v>0</v>
      </c>
      <c r="K1426" s="1">
        <f t="shared" si="1595"/>
        <v>0</v>
      </c>
      <c r="L1426" s="1">
        <f t="shared" ref="L1426:O1426" si="1596">IF(L1425-L1427&lt;0,0,L1425-L1427)</f>
        <v>0</v>
      </c>
      <c r="M1426" s="1">
        <f t="shared" si="1596"/>
        <v>0</v>
      </c>
      <c r="N1426" s="1">
        <f t="shared" si="1596"/>
        <v>0</v>
      </c>
      <c r="O1426" s="1">
        <f t="shared" si="1596"/>
        <v>0</v>
      </c>
      <c r="P1426" s="1">
        <f>IF(P1425-P1427&lt;0,0,P1425-P1427)</f>
        <v>0</v>
      </c>
      <c r="Q1426" s="1">
        <f>IF(Q1425-Q1427&lt;0,0,Q1425-Q1427)</f>
        <v>0</v>
      </c>
      <c r="S1426" s="3"/>
    </row>
    <row r="1427" spans="2:19" x14ac:dyDescent="0.5">
      <c r="B1427" s="5" t="str">
        <f t="shared" si="1571"/>
        <v>SPS1</v>
      </c>
      <c r="C1427" s="5" t="str">
        <f t="shared" si="1572"/>
        <v>CH</v>
      </c>
      <c r="D1427" t="s">
        <v>1421</v>
      </c>
      <c r="E1427" t="s">
        <v>8</v>
      </c>
      <c r="F1427" s="1">
        <f>SUM(F1428:F1429)</f>
        <v>1.0449392991542347E-5</v>
      </c>
      <c r="G1427" s="1">
        <f t="shared" ref="G1427" si="1597">SUM(G1428:G1429)</f>
        <v>3.4788605420865492E-5</v>
      </c>
      <c r="H1427" s="1">
        <f t="shared" ref="H1427" si="1598">SUM(H1428:H1429)</f>
        <v>6.6366279504518632E-5</v>
      </c>
      <c r="I1427" s="1">
        <f t="shared" ref="I1427" si="1599">SUM(I1428:I1429)</f>
        <v>3.8598046056971088E-5</v>
      </c>
      <c r="J1427" s="1">
        <f t="shared" ref="J1427" si="1600">SUM(J1428:J1429)</f>
        <v>0</v>
      </c>
      <c r="K1427" s="1">
        <f t="shared" ref="K1427" si="1601">SUM(K1428:K1429)</f>
        <v>0</v>
      </c>
      <c r="L1427" s="1">
        <f t="shared" ref="L1427:O1427" si="1602">SUM(L1428:L1429)</f>
        <v>1.9589732456974209</v>
      </c>
      <c r="M1427" s="1">
        <f t="shared" si="1602"/>
        <v>3.6979088591702904</v>
      </c>
      <c r="N1427" s="1">
        <f t="shared" si="1602"/>
        <v>0</v>
      </c>
      <c r="O1427" s="1">
        <f t="shared" si="1602"/>
        <v>0</v>
      </c>
      <c r="P1427" s="1">
        <f>SUM(P1428:P1429)</f>
        <v>0</v>
      </c>
      <c r="Q1427" s="1">
        <f>SUM(Q1428:Q1429)</f>
        <v>0</v>
      </c>
      <c r="S1427" s="3"/>
    </row>
    <row r="1428" spans="2:19" x14ac:dyDescent="0.5">
      <c r="B1428" s="5" t="str">
        <f t="shared" si="1571"/>
        <v>SPS1</v>
      </c>
      <c r="C1428" s="5" t="str">
        <f t="shared" si="1572"/>
        <v>CH</v>
      </c>
      <c r="D1428" t="s">
        <v>1422</v>
      </c>
      <c r="E1428" t="s">
        <v>8</v>
      </c>
      <c r="F1428" s="1">
        <f>IF(SUM([1]Transport!B$24,[1]Transport!B$27)=0,0,[1]Transport!B$27/SUM([1]Transport!B$24,[1]Transport!B$27)*F1425*(F$47+F$614)/(F$47+F$614+F$49))</f>
        <v>1.0449392991542347E-5</v>
      </c>
      <c r="G1428" s="1">
        <f>IF(SUM([1]Transport!C$24,[1]Transport!C$27)=0,0,[1]Transport!C$27/SUM([1]Transport!C$24,[1]Transport!C$27)*G1425*(G$47+G$614)/(G$47+G$614+G$49))</f>
        <v>3.4788605420865492E-5</v>
      </c>
      <c r="H1428" s="1">
        <f>IF(SUM([1]Transport!D$24,[1]Transport!D$27)=0,0,[1]Transport!D$27/SUM([1]Transport!D$24,[1]Transport!D$27)*H1425*(H$47+H$614)/(H$47+H$614+H$49))</f>
        <v>6.6366279504518632E-5</v>
      </c>
      <c r="I1428" s="1">
        <f>IF(SUM([1]Transport!E$24,[1]Transport!E$27)=0,0,[1]Transport!E$27/SUM([1]Transport!E$24,[1]Transport!E$27)*I1425*(I$47+I$614)/(I$47+I$614+I$49))</f>
        <v>3.8598046056971088E-5</v>
      </c>
      <c r="J1428" s="1">
        <f>IF(SUM([1]Transport!F$24,[1]Transport!F$27)=0,0,[1]Transport!F$27/SUM([1]Transport!F$24,[1]Transport!F$27)*J1425*(J$47+J$614)/(J$47+J$614+J$49))</f>
        <v>0</v>
      </c>
      <c r="K1428" s="1">
        <f>IF(SUM([1]Transport!G$24,[1]Transport!G$27)=0,0,[1]Transport!G$27/SUM([1]Transport!G$24,[1]Transport!G$27)*K1425*(K$47+K$614)/(K$47+K$614+K$49))</f>
        <v>0</v>
      </c>
      <c r="L1428" s="1">
        <f>IF(SUM([1]Transport!H$24,[1]Transport!H$27)=0,0,[1]Transport!H$27/SUM([1]Transport!H$24,[1]Transport!H$27)*L1425*(L$47+L$614)/(L$47+L$614+L$49))</f>
        <v>2.5139505572117351E-5</v>
      </c>
      <c r="M1428" s="1">
        <f>IF(SUM([1]Transport!I$24,[1]Transport!I$27)=0,0,[1]Transport!I$27/SUM([1]Transport!I$24,[1]Transport!I$27)*M1425*(M$47+M$614)/(M$47+M$614+M$49))</f>
        <v>8.866756284875854E-4</v>
      </c>
      <c r="N1428" s="1">
        <f>IF(SUM([1]Transport!J$24,[1]Transport!J$27)=0,0,[1]Transport!J$27/SUM([1]Transport!J$24,[1]Transport!J$27)*N1425*(N$47+N$614)/(N$47+N$614+N$49))</f>
        <v>0</v>
      </c>
      <c r="O1428" s="1">
        <f>IF(SUM([1]Transport!K$24,[1]Transport!K$27)=0,0,[1]Transport!K$27/SUM([1]Transport!K$24,[1]Transport!K$27)*O1425*(O$47+O$614)/(O$47+O$614+O$49))</f>
        <v>0</v>
      </c>
      <c r="P1428" s="1">
        <f>IF(SUM([1]Transport!L$24,[1]Transport!L$27)=0,0,[1]Transport!L$27/SUM([1]Transport!L$24,[1]Transport!L$27)*P1425*(P$47+P$614)/(P$47+P$614+P$49))</f>
        <v>0</v>
      </c>
      <c r="Q1428" s="1">
        <f>IF(SUM([1]Transport!M$24,[1]Transport!M$27)=0,0,[1]Transport!M$27/SUM([1]Transport!M$24,[1]Transport!M$27)*Q1425*(Q$47+Q$614)/(Q$47+Q$614+Q$49))</f>
        <v>0</v>
      </c>
      <c r="S1428" s="3"/>
    </row>
    <row r="1429" spans="2:19" x14ac:dyDescent="0.5">
      <c r="B1429" s="5" t="str">
        <f t="shared" si="1571"/>
        <v>SPS1</v>
      </c>
      <c r="C1429" s="5" t="str">
        <f t="shared" si="1572"/>
        <v>CH</v>
      </c>
      <c r="D1429" t="s">
        <v>1423</v>
      </c>
      <c r="E1429" t="s">
        <v>8</v>
      </c>
      <c r="F1429" s="1">
        <f>IF(([1]Transport!B$24+[1]Transport!B$27)=0,0,(F$49+F$716)/([1]Transport!B$24+[1]Transport!B$27)*F1425)</f>
        <v>0</v>
      </c>
      <c r="G1429" s="1">
        <f>IF(([1]Transport!C$24+[1]Transport!C$27)=0,0,(G$49+G$716)/([1]Transport!C$24+[1]Transport!C$27)*G1425)</f>
        <v>0</v>
      </c>
      <c r="H1429" s="1">
        <f>IF(([1]Transport!D$24+[1]Transport!D$27)=0,0,(H$49+H$716)/([1]Transport!D$24+[1]Transport!D$27)*H1425)</f>
        <v>0</v>
      </c>
      <c r="I1429" s="1">
        <f>IF(([1]Transport!E$24+[1]Transport!E$27)=0,0,(I$49+I$716)/([1]Transport!E$24+[1]Transport!E$27)*I1425)</f>
        <v>0</v>
      </c>
      <c r="J1429" s="1">
        <f>IF(([1]Transport!F$24+[1]Transport!F$27)=0,0,(J$49+J$716)/([1]Transport!F$24+[1]Transport!F$27)*J1425)</f>
        <v>0</v>
      </c>
      <c r="K1429" s="1">
        <f>IF(([1]Transport!G$24+[1]Transport!G$27)=0,0,(K$49+K$716)/([1]Transport!G$24+[1]Transport!G$27)*K1425)</f>
        <v>0</v>
      </c>
      <c r="L1429" s="1">
        <f>IF(([1]Transport!H$24+[1]Transport!H$27)=0,0,(L$49+L$716)/([1]Transport!H$24+[1]Transport!H$27)*L1425)</f>
        <v>1.9589481061918488</v>
      </c>
      <c r="M1429" s="1">
        <f>IF(([1]Transport!I$24+[1]Transport!I$27)=0,0,(M$49+M$716)/([1]Transport!I$24+[1]Transport!I$27)*M1425)</f>
        <v>3.6970221835418027</v>
      </c>
      <c r="N1429" s="1">
        <f>IF(([1]Transport!J$24+[1]Transport!J$27)=0,0,(N$49+N$716)/([1]Transport!J$24+[1]Transport!J$27)*N1425)</f>
        <v>0</v>
      </c>
      <c r="O1429" s="1">
        <f>IF(([1]Transport!K$24+[1]Transport!K$27)=0,0,(O$49+O$716)/([1]Transport!K$24+[1]Transport!K$27)*O1425)</f>
        <v>0</v>
      </c>
      <c r="P1429" s="1">
        <f>IF(([1]Transport!L$24+[1]Transport!L$27)=0,0,(P$49+P$716)/([1]Transport!L$24+[1]Transport!L$27)*P1425)</f>
        <v>0</v>
      </c>
      <c r="Q1429" s="1">
        <f>IF(([1]Transport!M$24+[1]Transport!M$27)=0,0,(Q$49+Q$716)/([1]Transport!M$24+[1]Transport!M$27)*Q1425)</f>
        <v>0</v>
      </c>
      <c r="S1429" s="3"/>
    </row>
    <row r="1430" spans="2:19" x14ac:dyDescent="0.5">
      <c r="B1430" s="5" t="str">
        <f t="shared" si="1571"/>
        <v>SPS1</v>
      </c>
      <c r="C1430" s="5" t="str">
        <f t="shared" si="1572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1.3744753861212226E-4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1.3726951054128899E-4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1.3645265022596315E-4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SUMPRODUCT(("T_B_c-ICEngaEXT"=[1]OUT_TransportEnergyCons!$A$3:$A$1000)*1,("Var_Fin"=[1]OUT_TransportEnergyCons!$B$3:$B$1000)*1,ISNUMBER(SEARCH("nga",[1]OUT_TransportEnergyCons!$C$3:$C$1000))*1,[1]OUT_TransportEnergyCons!H$3:H$1000)</f>
        <v>0</v>
      </c>
      <c r="K1430" s="1" cm="1">
        <f t="array" ref="K1430">SUMPRODUCT(("T_B_c-ICEngaEXT"=[1]OUT_TransportEnergyCons!$A$3:$A$1000)*1,("Var_Fin"=[1]OUT_TransportEnergyCons!$B$3:$B$1000)*1,ISNUMBER(SEARCH("nga",[1]OUT_TransportEnergyCons!$C$3:$C$1000))*1,[1]OUT_TransportEnergyCons!I$3:I$1000)</f>
        <v>0</v>
      </c>
      <c r="L1430" s="1" cm="1">
        <f t="array" ref="L1430">SUMPRODUCT(("T_B_c-ICEngaEXT"=[1]OUT_TransportEnergyCons!$A$3:$A$1000)*1,("Var_Fin"=[1]OUT_TransportEnergyCons!$B$3:$B$1000)*1,ISNUMBER(SEARCH("nga",[1]OUT_TransportEnergyCons!$C$3:$C$1000))*1,[1]OUT_TransportEnergyCons!J$3:J$1000)</f>
        <v>0</v>
      </c>
      <c r="M1430" s="1" cm="1">
        <f t="array" ref="M1430">SUMPRODUCT(("T_B_c-ICEngaEXT"=[1]OUT_TransportEnergyCons!$A$3:$A$1000)*1,("Var_Fin"=[1]OUT_TransportEnergyCons!$B$3:$B$1000)*1,ISNUMBER(SEARCH("nga",[1]OUT_TransportEnergyCons!$C$3:$C$1000))*1,[1]OUT_TransportEnergyCons!K$3:K$1000)</f>
        <v>0</v>
      </c>
      <c r="N1430" s="1" cm="1">
        <f t="array" ref="N1430">SUMPRODUCT(("T_B_c-ICEngaEXT"=[1]OUT_TransportEnergyCons!$A$3:$A$1000)*1,("Var_Fin"=[1]OUT_TransportEnergyCons!$B$3:$B$1000)*1,ISNUMBER(SEARCH("nga",[1]OUT_TransportEnergyCons!$C$3:$C$1000))*1,[1]OUT_TransportEnergyCons!L$3:L$1000)</f>
        <v>0</v>
      </c>
      <c r="O1430" s="1" cm="1">
        <f t="array" ref="O1430">SUMPRODUCT(("T_B_c-ICEngaEXT"=[1]OUT_TransportEnergyCons!$A$3:$A$1000)*1,("Var_Fin"=[1]OUT_TransportEnergyCons!$B$3:$B$1000)*1,ISNUMBER(SEARCH("nga",[1]OUT_TransportEnergyCons!$C$3:$C$1000))*1,[1]OUT_TransportEnergyCons!M$3:M$1000)</f>
        <v>0</v>
      </c>
      <c r="P1430" s="1" cm="1">
        <f t="array" ref="P1430">SUMPRODUCT(("T_B_c-ICEngaEXT"=[1]OUT_TransportEnergyCons!$A$3:$A$1000)*1,("Var_Fin"=[1]OUT_TransportEnergyCons!$B$3:$B$1000)*1,ISNUMBER(SEARCH("nga",[1]OUT_TransportEnergyCons!$C$3:$C$1000))*1,[1]OUT_TransportEnergyCons!N$3:N$1000)</f>
        <v>0</v>
      </c>
      <c r="Q1430" s="1" cm="1">
        <f t="array" ref="Q1430">SUMPRODUCT(("T_B_c-ICEngaEXT"=[1]OUT_TransportEnergyCons!$A$3:$A$1000)*1,("Var_Fin"=[1]OUT_TransportEnergyCons!$B$3:$B$1000)*1,ISNUMBER(SEARCH("nga",[1]OUT_TransportEnergyCons!$C$3:$C$1000))*1,[1]OUT_TransportEnergyCons!O$3:O$1000)</f>
        <v>0</v>
      </c>
      <c r="S1430" s="3"/>
    </row>
    <row r="1431" spans="2:19" x14ac:dyDescent="0.5">
      <c r="B1431" s="5" t="str">
        <f t="shared" si="1571"/>
        <v>SPS1</v>
      </c>
      <c r="C1431" s="5" t="str">
        <f t="shared" si="1572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9.5048378442268654E-5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9.5085986721953394E-3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7.6949932927013204E-3</v>
      </c>
      <c r="J1431" s="1" cm="1">
        <f t="array" ref="J1431">SUMPRODUCT(("T_B_c-ICEnga-S1"=[1]OUT_TransportEnergyCons!$A$3:$A$1000)*1,("Var_Fin"=[1]OUT_TransportEnergyCons!$B$3:$B$1000)*1,ISNUMBER(SEARCH("nga",[1]OUT_TransportEnergyCons!$C$3:$C$1000))*1,[1]OUT_TransportEnergyCons!H$3:H$1000)</f>
        <v>0</v>
      </c>
      <c r="K1431" s="1" cm="1">
        <f t="array" ref="K1431">SUMPRODUCT(("T_B_c-ICEnga-S1"=[1]OUT_TransportEnergyCons!$A$3:$A$1000)*1,("Var_Fin"=[1]OUT_TransportEnergyCons!$B$3:$B$1000)*1,ISNUMBER(SEARCH("nga",[1]OUT_TransportEnergyCons!$C$3:$C$1000))*1,[1]OUT_TransportEnergyCons!I$3:I$1000)</f>
        <v>0</v>
      </c>
      <c r="L1431" s="1" cm="1">
        <f t="array" ref="L1431">SUMPRODUCT(("T_B_c-ICEnga-S1"=[1]OUT_TransportEnergyCons!$A$3:$A$1000)*1,("Var_Fin"=[1]OUT_TransportEnergyCons!$B$3:$B$1000)*1,ISNUMBER(SEARCH("nga",[1]OUT_TransportEnergyCons!$C$3:$C$1000))*1,[1]OUT_TransportEnergyCons!J$3:J$1000)</f>
        <v>1.3788454943612803E-3</v>
      </c>
      <c r="M1431" s="1" cm="1">
        <f t="array" ref="M1431">SUMPRODUCT(("T_B_c-ICEnga-S1"=[1]OUT_TransportEnergyCons!$A$3:$A$1000)*1,("Var_Fin"=[1]OUT_TransportEnergyCons!$B$3:$B$1000)*1,ISNUMBER(SEARCH("nga",[1]OUT_TransportEnergyCons!$C$3:$C$1000))*1,[1]OUT_TransportEnergyCons!K$3:K$1000)</f>
        <v>1.3797678828012837E-3</v>
      </c>
      <c r="N1431" s="1" cm="1">
        <f t="array" ref="N1431">SUMPRODUCT(("T_B_c-ICEnga-S1"=[1]OUT_TransportEnergyCons!$A$3:$A$1000)*1,("Var_Fin"=[1]OUT_TransportEnergyCons!$B$3:$B$1000)*1,ISNUMBER(SEARCH("nga",[1]OUT_TransportEnergyCons!$C$3:$C$1000))*1,[1]OUT_TransportEnergyCons!L$3:L$1000)</f>
        <v>0</v>
      </c>
      <c r="O1431" s="1" cm="1">
        <f t="array" ref="O1431">SUMPRODUCT(("T_B_c-ICEnga-S1"=[1]OUT_TransportEnergyCons!$A$3:$A$1000)*1,("Var_Fin"=[1]OUT_TransportEnergyCons!$B$3:$B$1000)*1,ISNUMBER(SEARCH("nga",[1]OUT_TransportEnergyCons!$C$3:$C$1000))*1,[1]OUT_TransportEnergyCons!M$3:M$1000)</f>
        <v>0</v>
      </c>
      <c r="P1431" s="1" cm="1">
        <f t="array" ref="P1431">SUMPRODUCT(("T_B_c-ICEnga-S1"=[1]OUT_TransportEnergyCons!$A$3:$A$1000)*1,("Var_Fin"=[1]OUT_TransportEnergyCons!$B$3:$B$1000)*1,ISNUMBER(SEARCH("nga",[1]OUT_TransportEnergyCons!$C$3:$C$1000))*1,[1]OUT_TransportEnergyCons!N$3:N$1000)</f>
        <v>0</v>
      </c>
      <c r="Q1431" s="1" cm="1">
        <f t="array" ref="Q1431">SUMPRODUCT(("T_B_c-ICEnga-S1"=[1]OUT_TransportEnergyCons!$A$3:$A$1000)*1,("Var_Fin"=[1]OUT_TransportEnergyCons!$B$3:$B$1000)*1,ISNUMBER(SEARCH("nga",[1]OUT_TransportEnergyCons!$C$3:$C$1000))*1,[1]OUT_TransportEnergyCons!O$3:O$1000)</f>
        <v>0</v>
      </c>
      <c r="S1431" s="3"/>
    </row>
    <row r="1432" spans="2:19" x14ac:dyDescent="0.5">
      <c r="B1432" s="5" t="str">
        <f t="shared" si="1571"/>
        <v>SPS1</v>
      </c>
      <c r="C1432" s="5" t="str">
        <f t="shared" si="1572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2.8189357397264138E-5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1.5052445747074526E-4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SUMPRODUCT(("T_B_c-ICEnga-S2"=[1]OUT_TransportEnergyCons!$A$3:$A$1000)*1,("Var_Fin"=[1]OUT_TransportEnergyCons!$B$3:$B$1000)*1,ISNUMBER(SEARCH("nga",[1]OUT_TransportEnergyCons!$C$3:$C$1000))*1,[1]OUT_TransportEnergyCons!H$3:H$1000)</f>
        <v>0</v>
      </c>
      <c r="K1432" s="1" cm="1">
        <f t="array" ref="K1432">SUMPRODUCT(("T_B_c-ICEnga-S2"=[1]OUT_TransportEnergyCons!$A$3:$A$1000)*1,("Var_Fin"=[1]OUT_TransportEnergyCons!$B$3:$B$1000)*1,ISNUMBER(SEARCH("nga",[1]OUT_TransportEnergyCons!$C$3:$C$1000))*1,[1]OUT_TransportEnergyCons!I$3:I$1000)</f>
        <v>0</v>
      </c>
      <c r="L1432" s="1" cm="1">
        <f t="array" ref="L1432">SUMPRODUCT(("T_B_c-ICEnga-S2"=[1]OUT_TransportEnergyCons!$A$3:$A$1000)*1,("Var_Fin"=[1]OUT_TransportEnergyCons!$B$3:$B$1000)*1,ISNUMBER(SEARCH("nga",[1]OUT_TransportEnergyCons!$C$3:$C$1000))*1,[1]OUT_TransportEnergyCons!J$3:J$1000)</f>
        <v>1.2966374958325891E-6</v>
      </c>
      <c r="M1432" s="1" cm="1">
        <f t="array" ref="M1432">SUMPRODUCT(("T_B_c-ICEnga-S2"=[1]OUT_TransportEnergyCons!$A$3:$A$1000)*1,("Var_Fin"=[1]OUT_TransportEnergyCons!$B$3:$B$1000)*1,ISNUMBER(SEARCH("nga",[1]OUT_TransportEnergyCons!$C$3:$C$1000))*1,[1]OUT_TransportEnergyCons!K$3:K$1000)</f>
        <v>1.8125836193651976E-6</v>
      </c>
      <c r="N1432" s="1" cm="1">
        <f t="array" ref="N1432">SUMPRODUCT(("T_B_c-ICEnga-S2"=[1]OUT_TransportEnergyCons!$A$3:$A$1000)*1,("Var_Fin"=[1]OUT_TransportEnergyCons!$B$3:$B$1000)*1,ISNUMBER(SEARCH("nga",[1]OUT_TransportEnergyCons!$C$3:$C$1000))*1,[1]OUT_TransportEnergyCons!L$3:L$1000)</f>
        <v>0</v>
      </c>
      <c r="O1432" s="1" cm="1">
        <f t="array" ref="O1432">SUMPRODUCT(("T_B_c-ICEnga-S2"=[1]OUT_TransportEnergyCons!$A$3:$A$1000)*1,("Var_Fin"=[1]OUT_TransportEnergyCons!$B$3:$B$1000)*1,ISNUMBER(SEARCH("nga",[1]OUT_TransportEnergyCons!$C$3:$C$1000))*1,[1]OUT_TransportEnergyCons!M$3:M$1000)</f>
        <v>0</v>
      </c>
      <c r="P1432" s="1" cm="1">
        <f t="array" ref="P1432">SUMPRODUCT(("T_B_c-ICEnga-S2"=[1]OUT_TransportEnergyCons!$A$3:$A$1000)*1,("Var_Fin"=[1]OUT_TransportEnergyCons!$B$3:$B$1000)*1,ISNUMBER(SEARCH("nga",[1]OUT_TransportEnergyCons!$C$3:$C$1000))*1,[1]OUT_TransportEnergyCons!N$3:N$1000)</f>
        <v>0</v>
      </c>
      <c r="Q1432" s="1" cm="1">
        <f t="array" ref="Q1432">SUMPRODUCT(("T_B_c-ICEnga-S2"=[1]OUT_TransportEnergyCons!$A$3:$A$1000)*1,("Var_Fin"=[1]OUT_TransportEnergyCons!$B$3:$B$1000)*1,ISNUMBER(SEARCH("nga",[1]OUT_TransportEnergyCons!$C$3:$C$1000))*1,[1]OUT_TransportEnergyCons!O$3:O$1000)</f>
        <v>0</v>
      </c>
      <c r="S1432" s="3"/>
    </row>
    <row r="1433" spans="2:19" x14ac:dyDescent="0.5">
      <c r="B1433" s="5" t="str">
        <f t="shared" si="1571"/>
        <v>SPS1</v>
      </c>
      <c r="C1433" s="5" t="str">
        <f t="shared" si="1572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1.9160524874935852E-5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9.2431367953030739E-5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SUMPRODUCT(("T_B_c-ICEnga-S3"=[1]OUT_TransportEnergyCons!$A$3:$A$1000)*1,("Var_Fin"=[1]OUT_TransportEnergyCons!$B$3:$B$1000)*1,ISNUMBER(SEARCH("nga",[1]OUT_TransportEnergyCons!$C$3:$C$1000))*1,[1]OUT_TransportEnergyCons!H$3:H$1000)</f>
        <v>0</v>
      </c>
      <c r="K1433" s="1" cm="1">
        <f t="array" ref="K1433">SUMPRODUCT(("T_B_c-ICEnga-S3"=[1]OUT_TransportEnergyCons!$A$3:$A$1000)*1,("Var_Fin"=[1]OUT_TransportEnergyCons!$B$3:$B$1000)*1,ISNUMBER(SEARCH("nga",[1]OUT_TransportEnergyCons!$C$3:$C$1000))*1,[1]OUT_TransportEnergyCons!I$3:I$1000)</f>
        <v>0</v>
      </c>
      <c r="L1433" s="1" cm="1">
        <f t="array" ref="L1433">SUMPRODUCT(("T_B_c-ICEnga-S3"=[1]OUT_TransportEnergyCons!$A$3:$A$1000)*1,("Var_Fin"=[1]OUT_TransportEnergyCons!$B$3:$B$1000)*1,ISNUMBER(SEARCH("nga",[1]OUT_TransportEnergyCons!$C$3:$C$1000))*1,[1]OUT_TransportEnergyCons!J$3:J$1000)</f>
        <v>0</v>
      </c>
      <c r="M1433" s="1" cm="1">
        <f t="array" ref="M1433">SUMPRODUCT(("T_B_c-ICEnga-S3"=[1]OUT_TransportEnergyCons!$A$3:$A$1000)*1,("Var_Fin"=[1]OUT_TransportEnergyCons!$B$3:$B$1000)*1,ISNUMBER(SEARCH("nga",[1]OUT_TransportEnergyCons!$C$3:$C$1000))*1,[1]OUT_TransportEnergyCons!K$3:K$1000)</f>
        <v>0</v>
      </c>
      <c r="N1433" s="1" cm="1">
        <f t="array" ref="N1433">SUMPRODUCT(("T_B_c-ICEnga-S3"=[1]OUT_TransportEnergyCons!$A$3:$A$1000)*1,("Var_Fin"=[1]OUT_TransportEnergyCons!$B$3:$B$1000)*1,ISNUMBER(SEARCH("nga",[1]OUT_TransportEnergyCons!$C$3:$C$1000))*1,[1]OUT_TransportEnergyCons!L$3:L$1000)</f>
        <v>0</v>
      </c>
      <c r="O1433" s="1" cm="1">
        <f t="array" ref="O1433">SUMPRODUCT(("T_B_c-ICEnga-S3"=[1]OUT_TransportEnergyCons!$A$3:$A$1000)*1,("Var_Fin"=[1]OUT_TransportEnergyCons!$B$3:$B$1000)*1,ISNUMBER(SEARCH("nga",[1]OUT_TransportEnergyCons!$C$3:$C$1000))*1,[1]OUT_TransportEnergyCons!M$3:M$1000)</f>
        <v>0</v>
      </c>
      <c r="P1433" s="1" cm="1">
        <f t="array" ref="P1433">SUMPRODUCT(("T_B_c-ICEnga-S3"=[1]OUT_TransportEnergyCons!$A$3:$A$1000)*1,("Var_Fin"=[1]OUT_TransportEnergyCons!$B$3:$B$1000)*1,ISNUMBER(SEARCH("nga",[1]OUT_TransportEnergyCons!$C$3:$C$1000))*1,[1]OUT_TransportEnergyCons!N$3:N$1000)</f>
        <v>0</v>
      </c>
      <c r="Q1433" s="1" cm="1">
        <f t="array" ref="Q1433">SUMPRODUCT(("T_B_c-ICEnga-S3"=[1]OUT_TransportEnergyCons!$A$3:$A$1000)*1,("Var_Fin"=[1]OUT_TransportEnergyCons!$B$3:$B$1000)*1,ISNUMBER(SEARCH("nga",[1]OUT_TransportEnergyCons!$C$3:$C$1000))*1,[1]OUT_TransportEnergyCons!O$3:O$1000)</f>
        <v>0</v>
      </c>
      <c r="S1433" s="3"/>
    </row>
    <row r="1434" spans="2:19" x14ac:dyDescent="0.5">
      <c r="B1434" s="5" t="str">
        <f t="shared" si="1571"/>
        <v>SPS1</v>
      </c>
      <c r="C1434" s="5" t="str">
        <f t="shared" si="1572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0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5.1147423946611564E-6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SUMPRODUCT(("T_B_c-ICEnga-S4"=[1]OUT_TransportEnergyCons!$A$3:$A$1000)*1,("Var_Fin"=[1]OUT_TransportEnergyCons!$B$3:$B$1000)*1,ISNUMBER(SEARCH("nga",[1]OUT_TransportEnergyCons!$C$3:$C$1000))*1,[1]OUT_TransportEnergyCons!H$3:H$1000)</f>
        <v>0</v>
      </c>
      <c r="K1434" s="1" cm="1">
        <f t="array" ref="K1434">SUMPRODUCT(("T_B_c-ICEnga-S4"=[1]OUT_TransportEnergyCons!$A$3:$A$1000)*1,("Var_Fin"=[1]OUT_TransportEnergyCons!$B$3:$B$1000)*1,ISNUMBER(SEARCH("nga",[1]OUT_TransportEnergyCons!$C$3:$C$1000))*1,[1]OUT_TransportEnergyCons!I$3:I$1000)</f>
        <v>0</v>
      </c>
      <c r="L1434" s="1" cm="1">
        <f t="array" ref="L1434">SUMPRODUCT(("T_B_c-ICEnga-S4"=[1]OUT_TransportEnergyCons!$A$3:$A$1000)*1,("Var_Fin"=[1]OUT_TransportEnergyCons!$B$3:$B$1000)*1,ISNUMBER(SEARCH("nga",[1]OUT_TransportEnergyCons!$C$3:$C$1000))*1,[1]OUT_TransportEnergyCons!J$3:J$1000)</f>
        <v>0</v>
      </c>
      <c r="M1434" s="1" cm="1">
        <f t="array" ref="M1434">SUMPRODUCT(("T_B_c-ICEnga-S4"=[1]OUT_TransportEnergyCons!$A$3:$A$1000)*1,("Var_Fin"=[1]OUT_TransportEnergyCons!$B$3:$B$1000)*1,ISNUMBER(SEARCH("nga",[1]OUT_TransportEnergyCons!$C$3:$C$1000))*1,[1]OUT_TransportEnergyCons!K$3:K$1000)</f>
        <v>0</v>
      </c>
      <c r="N1434" s="1" cm="1">
        <f t="array" ref="N1434">SUMPRODUCT(("T_B_c-ICEnga-S4"=[1]OUT_TransportEnergyCons!$A$3:$A$1000)*1,("Var_Fin"=[1]OUT_TransportEnergyCons!$B$3:$B$1000)*1,ISNUMBER(SEARCH("nga",[1]OUT_TransportEnergyCons!$C$3:$C$1000))*1,[1]OUT_TransportEnergyCons!L$3:L$1000)</f>
        <v>0</v>
      </c>
      <c r="O1434" s="1" cm="1">
        <f t="array" ref="O1434">SUMPRODUCT(("T_B_c-ICEnga-S4"=[1]OUT_TransportEnergyCons!$A$3:$A$1000)*1,("Var_Fin"=[1]OUT_TransportEnergyCons!$B$3:$B$1000)*1,ISNUMBER(SEARCH("nga",[1]OUT_TransportEnergyCons!$C$3:$C$1000))*1,[1]OUT_TransportEnergyCons!M$3:M$1000)</f>
        <v>0</v>
      </c>
      <c r="P1434" s="1" cm="1">
        <f t="array" ref="P1434">SUMPRODUCT(("T_B_c-ICEnga-S4"=[1]OUT_TransportEnergyCons!$A$3:$A$1000)*1,("Var_Fin"=[1]OUT_TransportEnergyCons!$B$3:$B$1000)*1,ISNUMBER(SEARCH("nga",[1]OUT_TransportEnergyCons!$C$3:$C$1000))*1,[1]OUT_TransportEnergyCons!N$3:N$1000)</f>
        <v>0</v>
      </c>
      <c r="Q1434" s="1" cm="1">
        <f t="array" ref="Q1434">SUMPRODUCT(("T_B_c-ICEnga-S4"=[1]OUT_TransportEnergyCons!$A$3:$A$1000)*1,("Var_Fin"=[1]OUT_TransportEnergyCons!$B$3:$B$1000)*1,ISNUMBER(SEARCH("nga",[1]OUT_TransportEnergyCons!$C$3:$C$1000))*1,[1]OUT_TransportEnergyCons!O$3:O$1000)</f>
        <v>0</v>
      </c>
      <c r="S1434" s="3"/>
    </row>
    <row r="1435" spans="2:19" x14ac:dyDescent="0.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0.13094551231319332</v>
      </c>
      <c r="G1435" s="3">
        <f t="shared" ref="G1435" si="1603">SUM(G1436:G1458)</f>
        <v>0.13162611021323931</v>
      </c>
      <c r="H1435" s="3">
        <f t="shared" ref="H1435" si="1604">SUM(H1436:H1458)</f>
        <v>0.1326651229681132</v>
      </c>
      <c r="I1435" s="3">
        <f t="shared" ref="I1435" si="1605">SUM(I1436:I1458)</f>
        <v>0.1344053273647513</v>
      </c>
      <c r="J1435" s="3">
        <f t="shared" ref="J1435" si="1606">SUM(J1436:J1458)</f>
        <v>0.13463735624473397</v>
      </c>
      <c r="K1435" s="3">
        <f t="shared" ref="K1435" si="1607">SUM(K1436:K1458)</f>
        <v>0.13472766470634431</v>
      </c>
      <c r="L1435" s="3">
        <f t="shared" ref="L1435:O1435" si="1608">SUM(L1436:L1458)</f>
        <v>0.13505796047305091</v>
      </c>
      <c r="M1435" s="3">
        <f t="shared" si="1608"/>
        <v>0.13539120947470965</v>
      </c>
      <c r="N1435" s="3">
        <f t="shared" si="1608"/>
        <v>0.13968797591162863</v>
      </c>
      <c r="O1435" s="3">
        <f t="shared" si="1608"/>
        <v>0.14382348369317427</v>
      </c>
      <c r="P1435" s="3">
        <f>SUM(P1436:P1458)</f>
        <v>0.14780380061894929</v>
      </c>
      <c r="Q1435" s="3">
        <f>SUM(Q1436:Q1458)</f>
        <v>0.15163227176220284</v>
      </c>
      <c r="S1435" s="3"/>
    </row>
    <row r="1436" spans="2:19" x14ac:dyDescent="0.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SUMPRODUCT(("T_B_c-BeVELCEXT"=[1]OUT_TransportEnergyCons!$A$3:$A$1000)*1,("var_fout"=[1]OUT_TransportEnergyCons!$B$3:$B$1000)*1,ISNUMBER(SEARCH("TPBSc",[1]OUT_TransportEnergyCons!$C$3:$C$1000))*1,[1]OUT_TransportEnergyCons!H$3:H$1000)</f>
        <v>0</v>
      </c>
      <c r="K1436" s="1" cm="1">
        <f t="array" ref="K1436">SUMPRODUCT(("T_B_c-BeVELCEXT"=[1]OUT_TransportEnergyCons!$A$3:$A$1000)*1,("var_fout"=[1]OUT_TransportEnergyCons!$B$3:$B$1000)*1,ISNUMBER(SEARCH("TPBSc",[1]OUT_TransportEnergyCons!$C$3:$C$1000))*1,[1]OUT_TransportEnergyCons!I$3:I$1000)</f>
        <v>0</v>
      </c>
      <c r="L1436" s="1" cm="1">
        <f t="array" ref="L1436">SUMPRODUCT(("T_B_c-BeVELCEXT"=[1]OUT_TransportEnergyCons!$A$3:$A$1000)*1,("var_fout"=[1]OUT_TransportEnergyCons!$B$3:$B$1000)*1,ISNUMBER(SEARCH("TPBSc",[1]OUT_TransportEnergyCons!$C$3:$C$1000))*1,[1]OUT_TransportEnergyCons!J$3:J$1000)</f>
        <v>0</v>
      </c>
      <c r="M1436" s="1" cm="1">
        <f t="array" ref="M1436">SUMPRODUCT(("T_B_c-BeVELCEXT"=[1]OUT_TransportEnergyCons!$A$3:$A$1000)*1,("var_fout"=[1]OUT_TransportEnergyCons!$B$3:$B$1000)*1,ISNUMBER(SEARCH("TPBSc",[1]OUT_TransportEnergyCons!$C$3:$C$1000))*1,[1]OUT_TransportEnergyCons!K$3:K$1000)</f>
        <v>0</v>
      </c>
      <c r="N1436" s="1" cm="1">
        <f t="array" ref="N1436">SUMPRODUCT(("T_B_c-BeVELCEXT"=[1]OUT_TransportEnergyCons!$A$3:$A$1000)*1,("var_fout"=[1]OUT_TransportEnergyCons!$B$3:$B$1000)*1,ISNUMBER(SEARCH("TPBSc",[1]OUT_TransportEnergyCons!$C$3:$C$1000))*1,[1]OUT_TransportEnergyCons!L$3:L$1000)</f>
        <v>0</v>
      </c>
      <c r="O1436" s="1" cm="1">
        <f t="array" ref="O1436">SUMPRODUCT(("T_B_c-BeVELCEXT"=[1]OUT_TransportEnergyCons!$A$3:$A$1000)*1,("var_fout"=[1]OUT_TransportEnergyCons!$B$3:$B$1000)*1,ISNUMBER(SEARCH("TPBSc",[1]OUT_TransportEnergyCons!$C$3:$C$1000))*1,[1]OUT_TransportEnergyCons!M$3:M$1000)</f>
        <v>0</v>
      </c>
      <c r="P1436" s="1" cm="1">
        <f t="array" ref="P1436">SUMPRODUCT(("T_B_c-BeVELCEXT"=[1]OUT_TransportEnergyCons!$A$3:$A$1000)*1,("var_fout"=[1]OUT_TransportEnergyCons!$B$3:$B$1000)*1,ISNUMBER(SEARCH("TPBSc",[1]OUT_TransportEnergyCons!$C$3:$C$1000))*1,[1]OUT_TransportEnergyCons!N$3:N$1000)</f>
        <v>0</v>
      </c>
      <c r="Q1436" s="1" cm="1">
        <f t="array" ref="Q1436">SUMPRODUCT(("T_B_c-BeVELCEXT"=[1]OUT_TransportEnergyCons!$A$3:$A$1000)*1,("var_fout"=[1]OUT_TransportEnergyCons!$B$3:$B$1000)*1,ISNUMBER(SEARCH("TPBSc",[1]OUT_TransportEnergyCons!$C$3:$C$1000))*1,[1]OUT_TransportEnergyCons!O$3:O$1000)</f>
        <v>0</v>
      </c>
      <c r="S1436" s="3"/>
    </row>
    <row r="1437" spans="2:19" x14ac:dyDescent="0.5">
      <c r="B1437" s="5" t="str">
        <f t="shared" ref="B1437:B1458" si="1609">B1436</f>
        <v>SPS1</v>
      </c>
      <c r="C1437" s="5" t="str">
        <f t="shared" ref="C1437:C1458" si="1610">C1436</f>
        <v>CH</v>
      </c>
      <c r="D1437" t="s">
        <v>1429</v>
      </c>
      <c r="E1437" t="str">
        <f t="shared" ref="E1437:E1458" si="1611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1.3364054423299569E-4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3.7965294104766998E-4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5.2958883617286359E-4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6.3161182267958998E-2</v>
      </c>
      <c r="J1437" s="1" cm="1">
        <f t="array" ref="J1437">SUMPRODUCT(("T_B_c-BEVELC-S1"=[1]OUT_TransportEnergyCons!$A$3:$A$1000)*1,("var_fout"=[1]OUT_TransportEnergyCons!$B$3:$B$1000)*1,ISNUMBER(SEARCH("TPBSc",[1]OUT_TransportEnergyCons!$C$3:$C$1000))*1,[1]OUT_TransportEnergyCons!H$3:H$1000)</f>
        <v>6.4834988604242319E-2</v>
      </c>
      <c r="K1437" s="1" cm="1">
        <f t="array" ref="K1437">SUMPRODUCT(("T_B_c-BEVELC-S1"=[1]OUT_TransportEnergyCons!$A$3:$A$1000)*1,("var_fout"=[1]OUT_TransportEnergyCons!$B$3:$B$1000)*1,ISNUMBER(SEARCH("TPBSc",[1]OUT_TransportEnergyCons!$C$3:$C$1000))*1,[1]OUT_TransportEnergyCons!I$3:I$1000)</f>
        <v>6.4873538758032021E-2</v>
      </c>
      <c r="L1437" s="1" cm="1">
        <f t="array" ref="L1437">SUMPRODUCT(("T_B_c-BEVELC-S1"=[1]OUT_TransportEnergyCons!$A$3:$A$1000)*1,("var_fout"=[1]OUT_TransportEnergyCons!$B$3:$B$1000)*1,ISNUMBER(SEARCH("TPBSc",[1]OUT_TransportEnergyCons!$C$3:$C$1000))*1,[1]OUT_TransportEnergyCons!J$3:J$1000)</f>
        <v>6.473244008136389E-2</v>
      </c>
      <c r="M1437" s="1" cm="1">
        <f t="array" ref="M1437">SUMPRODUCT(("T_B_c-BEVELC-S1"=[1]OUT_TransportEnergyCons!$A$3:$A$1000)*1,("var_fout"=[1]OUT_TransportEnergyCons!$B$3:$B$1000)*1,ISNUMBER(SEARCH("TPBSc",[1]OUT_TransportEnergyCons!$C$3:$C$1000))*1,[1]OUT_TransportEnergyCons!K$3:K$1000)</f>
        <v>6.488954780463127E-2</v>
      </c>
      <c r="N1437" s="1" cm="1">
        <f t="array" ref="N1437">SUMPRODUCT(("T_B_c-BEVELC-S1"=[1]OUT_TransportEnergyCons!$A$3:$A$1000)*1,("var_fout"=[1]OUT_TransportEnergyCons!$B$3:$B$1000)*1,ISNUMBER(SEARCH("TPBSc",[1]OUT_TransportEnergyCons!$C$3:$C$1000))*1,[1]OUT_TransportEnergyCons!L$3:L$1000)</f>
        <v>6.7258562632876176E-2</v>
      </c>
      <c r="O1437" s="1" cm="1">
        <f t="array" ref="O1437">SUMPRODUCT(("T_B_c-BEVELC-S1"=[1]OUT_TransportEnergyCons!$A$3:$A$1000)*1,("var_fout"=[1]OUT_TransportEnergyCons!$B$3:$B$1000)*1,ISNUMBER(SEARCH("TPBSc",[1]OUT_TransportEnergyCons!$C$3:$C$1000))*1,[1]OUT_TransportEnergyCons!M$3:M$1000)</f>
        <v>6.9249618189761622E-2</v>
      </c>
      <c r="P1437" s="1" cm="1">
        <f t="array" ref="P1437">SUMPRODUCT(("T_B_c-BEVELC-S1"=[1]OUT_TransportEnergyCons!$A$3:$A$1000)*1,("var_fout"=[1]OUT_TransportEnergyCons!$B$3:$B$1000)*1,ISNUMBER(SEARCH("TPBSc",[1]OUT_TransportEnergyCons!$C$3:$C$1000))*1,[1]OUT_TransportEnergyCons!N$3:N$1000)</f>
        <v>7.1161915937259221E-2</v>
      </c>
      <c r="Q1437" s="1" cm="1">
        <f t="array" ref="Q1437">SUMPRODUCT(("T_B_c-BEVELC-S1"=[1]OUT_TransportEnergyCons!$A$3:$A$1000)*1,("var_fout"=[1]OUT_TransportEnergyCons!$B$3:$B$1000)*1,ISNUMBER(SEARCH("TPBSc",[1]OUT_TransportEnergyCons!$C$3:$C$1000))*1,[1]OUT_TransportEnergyCons!O$3:O$1000)</f>
        <v>7.2999106589985444E-2</v>
      </c>
      <c r="S1437" s="3"/>
    </row>
    <row r="1438" spans="2:19" x14ac:dyDescent="0.5">
      <c r="B1438" s="5" t="str">
        <f t="shared" si="1609"/>
        <v>SPS1</v>
      </c>
      <c r="C1438" s="5" t="str">
        <f t="shared" si="1610"/>
        <v>CH</v>
      </c>
      <c r="D1438" t="s">
        <v>1430</v>
      </c>
      <c r="E1438" t="str">
        <f t="shared" si="1611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1.368574268483139E-4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1.4839456485848563E-4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1.7130836344312941E-4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5.7403484212807609E-2</v>
      </c>
      <c r="J1438" s="1" cm="1">
        <f t="array" ref="J1438">SUMPRODUCT(("T_B_c-BEVELC-S2"=[1]OUT_TransportEnergyCons!$A$3:$A$1000)*1,("var_fout"=[1]OUT_TransportEnergyCons!$B$3:$B$1000)*1,ISNUMBER(SEARCH("TPBSc",[1]OUT_TransportEnergyCons!$C$3:$C$1000))*1,[1]OUT_TransportEnergyCons!H$3:H$1000)</f>
        <v>5.7502423799146642E-2</v>
      </c>
      <c r="K1438" s="1" cm="1">
        <f t="array" ref="K1438">SUMPRODUCT(("T_B_c-BEVELC-S2"=[1]OUT_TransportEnergyCons!$A$3:$A$1000)*1,("var_fout"=[1]OUT_TransportEnergyCons!$B$3:$B$1000)*1,ISNUMBER(SEARCH("TPBSc",[1]OUT_TransportEnergyCons!$C$3:$C$1000))*1,[1]OUT_TransportEnergyCons!I$3:I$1000)</f>
        <v>5.7541180888311491E-2</v>
      </c>
      <c r="L1438" s="1" cm="1">
        <f t="array" ref="L1438">SUMPRODUCT(("T_B_c-BEVELC-S2"=[1]OUT_TransportEnergyCons!$A$3:$A$1000)*1,("var_fout"=[1]OUT_TransportEnergyCons!$B$3:$B$1000)*1,ISNUMBER(SEARCH("TPBSc",[1]OUT_TransportEnergyCons!$C$3:$C$1000))*1,[1]OUT_TransportEnergyCons!J$3:J$1000)</f>
        <v>5.7681757145377099E-2</v>
      </c>
      <c r="M1438" s="1" cm="1">
        <f t="array" ref="M1438">SUMPRODUCT(("T_B_c-BEVELC-S2"=[1]OUT_TransportEnergyCons!$A$3:$A$1000)*1,("var_fout"=[1]OUT_TransportEnergyCons!$B$3:$B$1000)*1,ISNUMBER(SEARCH("TPBSc",[1]OUT_TransportEnergyCons!$C$3:$C$1000))*1,[1]OUT_TransportEnergyCons!K$3:K$1000)</f>
        <v>5.782341746364799E-2</v>
      </c>
      <c r="N1438" s="1" cm="1">
        <f t="array" ref="N1438">SUMPRODUCT(("T_B_c-BEVELC-S2"=[1]OUT_TransportEnergyCons!$A$3:$A$1000)*1,("var_fout"=[1]OUT_TransportEnergyCons!$B$3:$B$1000)*1,ISNUMBER(SEARCH("TPBSc",[1]OUT_TransportEnergyCons!$C$3:$C$1000))*1,[1]OUT_TransportEnergyCons!L$3:L$1000)</f>
        <v>5.9658857375895068E-2</v>
      </c>
      <c r="O1438" s="1" cm="1">
        <f t="array" ref="O1438">SUMPRODUCT(("T_B_c-BEVELC-S2"=[1]OUT_TransportEnergyCons!$A$3:$A$1000)*1,("var_fout"=[1]OUT_TransportEnergyCons!$B$3:$B$1000)*1,ISNUMBER(SEARCH("TPBSc",[1]OUT_TransportEnergyCons!$C$3:$C$1000))*1,[1]OUT_TransportEnergyCons!M$3:M$1000)</f>
        <v>6.1425070283530954E-2</v>
      </c>
      <c r="P1438" s="1" cm="1">
        <f t="array" ref="P1438">SUMPRODUCT(("T_B_c-BEVELC-S2"=[1]OUT_TransportEnergyCons!$A$3:$A$1000)*1,("var_fout"=[1]OUT_TransportEnergyCons!$B$3:$B$1000)*1,ISNUMBER(SEARCH("TPBSc",[1]OUT_TransportEnergyCons!$C$3:$C$1000))*1,[1]OUT_TransportEnergyCons!N$3:N$1000)</f>
        <v>6.312488218643536E-2</v>
      </c>
      <c r="Q1438" s="1" cm="1">
        <f t="array" ref="Q1438">SUMPRODUCT(("T_B_c-BEVELC-S2"=[1]OUT_TransportEnergyCons!$A$3:$A$1000)*1,("var_fout"=[1]OUT_TransportEnergyCons!$B$3:$B$1000)*1,ISNUMBER(SEARCH("TPBSc",[1]OUT_TransportEnergyCons!$C$3:$C$1000))*1,[1]OUT_TransportEnergyCons!O$3:O$1000)</f>
        <v>6.4759939494662772E-2</v>
      </c>
      <c r="S1438" s="3"/>
    </row>
    <row r="1439" spans="2:19" x14ac:dyDescent="0.5">
      <c r="B1439" s="5" t="str">
        <f t="shared" si="1609"/>
        <v>SPS1</v>
      </c>
      <c r="C1439" s="5" t="str">
        <f t="shared" si="1610"/>
        <v>CH</v>
      </c>
      <c r="D1439" t="s">
        <v>1431</v>
      </c>
      <c r="E1439" t="str">
        <f t="shared" si="1611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3.0434940525136905E-5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3.4670652375794131E-5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4.1740929630854064E-5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1.2275636312288556E-2</v>
      </c>
      <c r="J1439" s="1" cm="1">
        <f t="array" ref="J1439">SUMPRODUCT(("T_B_c-BEVELC-S3"=[1]OUT_TransportEnergyCons!$A$3:$A$1000)*1,("var_fout"=[1]OUT_TransportEnergyCons!$B$3:$B$1000)*1,ISNUMBER(SEARCH("TPBSc",[1]OUT_TransportEnergyCons!$C$3:$C$1000))*1,[1]OUT_TransportEnergyCons!H$3:H$1000)</f>
        <v>1.2298672306955454E-2</v>
      </c>
      <c r="K1439" s="1" cm="1">
        <f t="array" ref="K1439">SUMPRODUCT(("T_B_c-BEVELC-S3"=[1]OUT_TransportEnergyCons!$A$3:$A$1000)*1,("var_fout"=[1]OUT_TransportEnergyCons!$B$3:$B$1000)*1,ISNUMBER(SEARCH("TPBSc",[1]OUT_TransportEnergyCons!$C$3:$C$1000))*1,[1]OUT_TransportEnergyCons!I$3:I$1000)</f>
        <v>1.230688676053694E-2</v>
      </c>
      <c r="L1439" s="1" cm="1">
        <f t="array" ref="L1439">SUMPRODUCT(("T_B_c-BEVELC-S3"=[1]OUT_TransportEnergyCons!$A$3:$A$1000)*1,("var_fout"=[1]OUT_TransportEnergyCons!$B$3:$B$1000)*1,ISNUMBER(SEARCH("TPBSc",[1]OUT_TransportEnergyCons!$C$3:$C$1000))*1,[1]OUT_TransportEnergyCons!J$3:J$1000)</f>
        <v>1.2337194573680139E-2</v>
      </c>
      <c r="M1439" s="1" cm="1">
        <f t="array" ref="M1439">SUMPRODUCT(("T_B_c-BEVELC-S3"=[1]OUT_TransportEnergyCons!$A$3:$A$1000)*1,("var_fout"=[1]OUT_TransportEnergyCons!$B$3:$B$1000)*1,ISNUMBER(SEARCH("TPBSc",[1]OUT_TransportEnergyCons!$C$3:$C$1000))*1,[1]OUT_TransportEnergyCons!K$3:K$1000)</f>
        <v>1.2367666548741715E-2</v>
      </c>
      <c r="N1439" s="1" cm="1">
        <f t="array" ref="N1439">SUMPRODUCT(("T_B_c-BEVELC-S3"=[1]OUT_TransportEnergyCons!$A$3:$A$1000)*1,("var_fout"=[1]OUT_TransportEnergyCons!$B$3:$B$1000)*1,ISNUMBER(SEARCH("TPBSc",[1]OUT_TransportEnergyCons!$C$3:$C$1000))*1,[1]OUT_TransportEnergyCons!L$3:L$1000)</f>
        <v>1.2759956918361371E-2</v>
      </c>
      <c r="O1439" s="1" cm="1">
        <f t="array" ref="O1439">SUMPRODUCT(("T_B_c-BEVELC-S3"=[1]OUT_TransportEnergyCons!$A$3:$A$1000)*1,("var_fout"=[1]OUT_TransportEnergyCons!$B$3:$B$1000)*1,ISNUMBER(SEARCH("TPBSc",[1]OUT_TransportEnergyCons!$C$3:$C$1000))*1,[1]OUT_TransportEnergyCons!M$3:M$1000)</f>
        <v>1.3137762049264411E-2</v>
      </c>
      <c r="P1439" s="1" cm="1">
        <f t="array" ref="P1439">SUMPRODUCT(("T_B_c-BEVELC-S3"=[1]OUT_TransportEnergyCons!$A$3:$A$1000)*1,("var_fout"=[1]OUT_TransportEnergyCons!$B$3:$B$1000)*1,ISNUMBER(SEARCH("TPBSc",[1]OUT_TransportEnergyCons!$C$3:$C$1000))*1,[1]OUT_TransportEnergyCons!N$3:N$1000)</f>
        <v>1.3501304421997146E-2</v>
      </c>
      <c r="Q1439" s="1" cm="1">
        <f t="array" ref="Q1439">SUMPRODUCT(("T_B_c-BEVELC-S3"=[1]OUT_TransportEnergyCons!$A$3:$A$1000)*1,("var_fout"=[1]OUT_TransportEnergyCons!$B$3:$B$1000)*1,ISNUMBER(SEARCH("TPBSc",[1]OUT_TransportEnergyCons!$C$3:$C$1000))*1,[1]OUT_TransportEnergyCons!O$3:O$1000)</f>
        <v>1.3851022728324235E-2</v>
      </c>
      <c r="S1439" s="3"/>
    </row>
    <row r="1440" spans="2:19" x14ac:dyDescent="0.5">
      <c r="B1440" s="5" t="str">
        <f t="shared" si="1609"/>
        <v>SPS1</v>
      </c>
      <c r="C1440" s="5" t="str">
        <f t="shared" si="1610"/>
        <v>CH</v>
      </c>
      <c r="D1440" t="s">
        <v>1432</v>
      </c>
      <c r="E1440" t="str">
        <f t="shared" si="1611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1.1854548601911428E-6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2.121733118213288E-6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3.0293015393423303E-7</v>
      </c>
      <c r="J1440" s="1" cm="1">
        <f t="array" ref="J1440">SUMPRODUCT(("T_B_c-BEVELC-S4"=[1]OUT_TransportEnergyCons!$A$3:$A$1000)*1,("var_fout"=[1]OUT_TransportEnergyCons!$B$3:$B$1000)*1,ISNUMBER(SEARCH("TPBSc",[1]OUT_TransportEnergyCons!$C$3:$C$1000))*1,[1]OUT_TransportEnergyCons!H$3:H$1000)</f>
        <v>1.271534389544208E-6</v>
      </c>
      <c r="K1440" s="1" cm="1">
        <f t="array" ref="K1440">SUMPRODUCT(("T_B_c-BEVELC-S4"=[1]OUT_TransportEnergyCons!$A$3:$A$1000)*1,("var_fout"=[1]OUT_TransportEnergyCons!$B$3:$B$1000)*1,ISNUMBER(SEARCH("TPBSc",[1]OUT_TransportEnergyCons!$C$3:$C$1000))*1,[1]OUT_TransportEnergyCons!I$3:I$1000)</f>
        <v>6.0582994638848711E-6</v>
      </c>
      <c r="L1440" s="1" cm="1">
        <f t="array" ref="L1440">SUMPRODUCT(("T_B_c-BEVELC-S4"=[1]OUT_TransportEnergyCons!$A$3:$A$1000)*1,("var_fout"=[1]OUT_TransportEnergyCons!$B$3:$B$1000)*1,ISNUMBER(SEARCH("TPBSc",[1]OUT_TransportEnergyCons!$C$3:$C$1000))*1,[1]OUT_TransportEnergyCons!J$3:J$1000)</f>
        <v>7.3447640880253463E-6</v>
      </c>
      <c r="M1440" s="1" cm="1">
        <f t="array" ref="M1440">SUMPRODUCT(("T_B_c-BEVELC-S4"=[1]OUT_TransportEnergyCons!$A$3:$A$1000)*1,("var_fout"=[1]OUT_TransportEnergyCons!$B$3:$B$1000)*1,ISNUMBER(SEARCH("TPBSc",[1]OUT_TransportEnergyCons!$C$3:$C$1000))*1,[1]OUT_TransportEnergyCons!K$3:K$1000)</f>
        <v>1.1067862275615753E-5</v>
      </c>
      <c r="N1440" s="1" cm="1">
        <f t="array" ref="N1440">SUMPRODUCT(("T_B_c-BEVELC-S4"=[1]OUT_TransportEnergyCons!$A$3:$A$1000)*1,("var_fout"=[1]OUT_TransportEnergyCons!$B$3:$B$1000)*1,ISNUMBER(SEARCH("TPBSc",[1]OUT_TransportEnergyCons!$C$3:$C$1000))*1,[1]OUT_TransportEnergyCons!L$3:L$1000)</f>
        <v>1.0598984496005597E-5</v>
      </c>
      <c r="O1440" s="1" cm="1">
        <f t="array" ref="O1440">SUMPRODUCT(("T_B_c-BEVELC-S4"=[1]OUT_TransportEnergyCons!$A$3:$A$1000)*1,("var_fout"=[1]OUT_TransportEnergyCons!$B$3:$B$1000)*1,ISNUMBER(SEARCH("TPBSc",[1]OUT_TransportEnergyCons!$C$3:$C$1000))*1,[1]OUT_TransportEnergyCons!M$3:M$1000)</f>
        <v>1.1033170617274269E-5</v>
      </c>
      <c r="P1440" s="1" cm="1">
        <f t="array" ref="P1440">SUMPRODUCT(("T_B_c-BEVELC-S4"=[1]OUT_TransportEnergyCons!$A$3:$A$1000)*1,("var_fout"=[1]OUT_TransportEnergyCons!$B$3:$B$1000)*1,ISNUMBER(SEARCH("TPBSc",[1]OUT_TransportEnergyCons!$C$3:$C$1000))*1,[1]OUT_TransportEnergyCons!N$3:N$1000)</f>
        <v>1.5698073257558353E-5</v>
      </c>
      <c r="Q1440" s="1" cm="1">
        <f t="array" ref="Q1440">SUMPRODUCT(("T_B_c-BEVELC-S4"=[1]OUT_TransportEnergyCons!$A$3:$A$1000)*1,("var_fout"=[1]OUT_TransportEnergyCons!$B$3:$B$1000)*1,ISNUMBER(SEARCH("TPBSc",[1]OUT_TransportEnergyCons!$C$3:$C$1000))*1,[1]OUT_TransportEnergyCons!O$3:O$1000)</f>
        <v>2.2202949230392915E-5</v>
      </c>
      <c r="S1440" s="3"/>
    </row>
    <row r="1441" spans="2:19" x14ac:dyDescent="0.5">
      <c r="B1441" s="5" t="str">
        <f t="shared" si="1609"/>
        <v>SPS1</v>
      </c>
      <c r="C1441" s="5" t="str">
        <f t="shared" si="1610"/>
        <v>CH</v>
      </c>
      <c r="D1441" t="s">
        <v>1433</v>
      </c>
      <c r="E1441" t="str">
        <f t="shared" si="1611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SUMPRODUCT(("T_B_c-FCLH2O-S1"=[1]OUT_TransportEnergyCons!$A$3:$A$1000)*1,("var_fout"=[1]OUT_TransportEnergyCons!$B$3:$B$1000)*1,ISNUMBER(SEARCH("TPBSc",[1]OUT_TransportEnergyCons!$C$3:$C$1000))*1,[1]OUT_TransportEnergyCons!H$3:H$1000)</f>
        <v>0</v>
      </c>
      <c r="K1441" s="1" cm="1">
        <f t="array" ref="K1441">SUMPRODUCT(("T_B_c-FCLH2O-S1"=[1]OUT_TransportEnergyCons!$A$3:$A$1000)*1,("var_fout"=[1]OUT_TransportEnergyCons!$B$3:$B$1000)*1,ISNUMBER(SEARCH("TPBSc",[1]OUT_TransportEnergyCons!$C$3:$C$1000))*1,[1]OUT_TransportEnergyCons!I$3:I$1000)</f>
        <v>0</v>
      </c>
      <c r="L1441" s="1" cm="1">
        <f t="array" ref="L1441">SUMPRODUCT(("T_B_c-FCLH2O-S1"=[1]OUT_TransportEnergyCons!$A$3:$A$1000)*1,("var_fout"=[1]OUT_TransportEnergyCons!$B$3:$B$1000)*1,ISNUMBER(SEARCH("TPBSc",[1]OUT_TransportEnergyCons!$C$3:$C$1000))*1,[1]OUT_TransportEnergyCons!J$3:J$1000)</f>
        <v>0</v>
      </c>
      <c r="M1441" s="1" cm="1">
        <f t="array" ref="M1441">SUMPRODUCT(("T_B_c-FCLH2O-S1"=[1]OUT_TransportEnergyCons!$A$3:$A$1000)*1,("var_fout"=[1]OUT_TransportEnergyCons!$B$3:$B$1000)*1,ISNUMBER(SEARCH("TPBSc",[1]OUT_TransportEnergyCons!$C$3:$C$1000))*1,[1]OUT_TransportEnergyCons!K$3:K$1000)</f>
        <v>0</v>
      </c>
      <c r="N1441" s="1" cm="1">
        <f t="array" ref="N1441">SUMPRODUCT(("T_B_c-FCLH2O-S1"=[1]OUT_TransportEnergyCons!$A$3:$A$1000)*1,("var_fout"=[1]OUT_TransportEnergyCons!$B$3:$B$1000)*1,ISNUMBER(SEARCH("TPBSc",[1]OUT_TransportEnergyCons!$C$3:$C$1000))*1,[1]OUT_TransportEnergyCons!L$3:L$1000)</f>
        <v>0</v>
      </c>
      <c r="O1441" s="1" cm="1">
        <f t="array" ref="O1441">SUMPRODUCT(("T_B_c-FCLH2O-S1"=[1]OUT_TransportEnergyCons!$A$3:$A$1000)*1,("var_fout"=[1]OUT_TransportEnergyCons!$B$3:$B$1000)*1,ISNUMBER(SEARCH("TPBSc",[1]OUT_TransportEnergyCons!$C$3:$C$1000))*1,[1]OUT_TransportEnergyCons!M$3:M$1000)</f>
        <v>0</v>
      </c>
      <c r="P1441" s="1" cm="1">
        <f t="array" ref="P1441">SUMPRODUCT(("T_B_c-FCLH2O-S1"=[1]OUT_TransportEnergyCons!$A$3:$A$1000)*1,("var_fout"=[1]OUT_TransportEnergyCons!$B$3:$B$1000)*1,ISNUMBER(SEARCH("TPBSc",[1]OUT_TransportEnergyCons!$C$3:$C$1000))*1,[1]OUT_TransportEnergyCons!N$3:N$1000)</f>
        <v>0</v>
      </c>
      <c r="Q1441" s="1" cm="1">
        <f t="array" ref="Q1441">SUMPRODUCT(("T_B_c-FCLH2O-S1"=[1]OUT_TransportEnergyCons!$A$3:$A$1000)*1,("var_fout"=[1]OUT_TransportEnergyCons!$B$3:$B$1000)*1,ISNUMBER(SEARCH("TPBSc",[1]OUT_TransportEnergyCons!$C$3:$C$1000))*1,[1]OUT_TransportEnergyCons!O$3:O$1000)</f>
        <v>0</v>
      </c>
      <c r="S1441" s="3"/>
    </row>
    <row r="1442" spans="2:19" x14ac:dyDescent="0.5">
      <c r="B1442" s="5" t="str">
        <f t="shared" si="1609"/>
        <v>SPS1</v>
      </c>
      <c r="C1442" s="5" t="str">
        <f t="shared" si="1610"/>
        <v>CH</v>
      </c>
      <c r="D1442" t="s">
        <v>1434</v>
      </c>
      <c r="E1442" t="str">
        <f t="shared" si="1611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SUMPRODUCT(("T_B_c-FCLH2O-S2"=[1]OUT_TransportEnergyCons!$A$3:$A$1000)*1,("var_fout"=[1]OUT_TransportEnergyCons!$B$3:$B$1000)*1,ISNUMBER(SEARCH("TPBSc",[1]OUT_TransportEnergyCons!$C$3:$C$1000))*1,[1]OUT_TransportEnergyCons!H$3:H$1000)</f>
        <v>0</v>
      </c>
      <c r="K1442" s="1" cm="1">
        <f t="array" ref="K1442">SUMPRODUCT(("T_B_c-FCLH2O-S2"=[1]OUT_TransportEnergyCons!$A$3:$A$1000)*1,("var_fout"=[1]OUT_TransportEnergyCons!$B$3:$B$1000)*1,ISNUMBER(SEARCH("TPBSc",[1]OUT_TransportEnergyCons!$C$3:$C$1000))*1,[1]OUT_TransportEnergyCons!I$3:I$1000)</f>
        <v>0</v>
      </c>
      <c r="L1442" s="1" cm="1">
        <f t="array" ref="L1442">SUMPRODUCT(("T_B_c-FCLH2O-S2"=[1]OUT_TransportEnergyCons!$A$3:$A$1000)*1,("var_fout"=[1]OUT_TransportEnergyCons!$B$3:$B$1000)*1,ISNUMBER(SEARCH("TPBSc",[1]OUT_TransportEnergyCons!$C$3:$C$1000))*1,[1]OUT_TransportEnergyCons!J$3:J$1000)</f>
        <v>0</v>
      </c>
      <c r="M1442" s="1" cm="1">
        <f t="array" ref="M1442">SUMPRODUCT(("T_B_c-FCLH2O-S2"=[1]OUT_TransportEnergyCons!$A$3:$A$1000)*1,("var_fout"=[1]OUT_TransportEnergyCons!$B$3:$B$1000)*1,ISNUMBER(SEARCH("TPBSc",[1]OUT_TransportEnergyCons!$C$3:$C$1000))*1,[1]OUT_TransportEnergyCons!K$3:K$1000)</f>
        <v>0</v>
      </c>
      <c r="N1442" s="1" cm="1">
        <f t="array" ref="N1442">SUMPRODUCT(("T_B_c-FCLH2O-S2"=[1]OUT_TransportEnergyCons!$A$3:$A$1000)*1,("var_fout"=[1]OUT_TransportEnergyCons!$B$3:$B$1000)*1,ISNUMBER(SEARCH("TPBSc",[1]OUT_TransportEnergyCons!$C$3:$C$1000))*1,[1]OUT_TransportEnergyCons!L$3:L$1000)</f>
        <v>0</v>
      </c>
      <c r="O1442" s="1" cm="1">
        <f t="array" ref="O1442">SUMPRODUCT(("T_B_c-FCLH2O-S2"=[1]OUT_TransportEnergyCons!$A$3:$A$1000)*1,("var_fout"=[1]OUT_TransportEnergyCons!$B$3:$B$1000)*1,ISNUMBER(SEARCH("TPBSc",[1]OUT_TransportEnergyCons!$C$3:$C$1000))*1,[1]OUT_TransportEnergyCons!M$3:M$1000)</f>
        <v>0</v>
      </c>
      <c r="P1442" s="1" cm="1">
        <f t="array" ref="P1442">SUMPRODUCT(("T_B_c-FCLH2O-S2"=[1]OUT_TransportEnergyCons!$A$3:$A$1000)*1,("var_fout"=[1]OUT_TransportEnergyCons!$B$3:$B$1000)*1,ISNUMBER(SEARCH("TPBSc",[1]OUT_TransportEnergyCons!$C$3:$C$1000))*1,[1]OUT_TransportEnergyCons!N$3:N$1000)</f>
        <v>0</v>
      </c>
      <c r="Q1442" s="1" cm="1">
        <f t="array" ref="Q1442">SUMPRODUCT(("T_B_c-FCLH2O-S2"=[1]OUT_TransportEnergyCons!$A$3:$A$1000)*1,("var_fout"=[1]OUT_TransportEnergyCons!$B$3:$B$1000)*1,ISNUMBER(SEARCH("TPBSc",[1]OUT_TransportEnergyCons!$C$3:$C$1000))*1,[1]OUT_TransportEnergyCons!O$3:O$1000)</f>
        <v>0</v>
      </c>
      <c r="S1442" s="3"/>
    </row>
    <row r="1443" spans="2:19" x14ac:dyDescent="0.5">
      <c r="B1443" s="5" t="str">
        <f t="shared" si="1609"/>
        <v>SPS1</v>
      </c>
      <c r="C1443" s="5" t="str">
        <f t="shared" si="1610"/>
        <v>CH</v>
      </c>
      <c r="D1443" t="s">
        <v>1435</v>
      </c>
      <c r="E1443" t="str">
        <f t="shared" si="1611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0</v>
      </c>
      <c r="J1443" s="1" cm="1">
        <f t="array" ref="J1443">SUMPRODUCT(("T_B_c-FCLH2O-S3"=[1]OUT_TransportEnergyCons!$A$3:$A$1000)*1,("var_fout"=[1]OUT_TransportEnergyCons!$B$3:$B$1000)*1,ISNUMBER(SEARCH("TPBSc",[1]OUT_TransportEnergyCons!$C$3:$C$1000))*1,[1]OUT_TransportEnergyCons!H$3:H$1000)</f>
        <v>0</v>
      </c>
      <c r="K1443" s="1" cm="1">
        <f t="array" ref="K1443">SUMPRODUCT(("T_B_c-FCLH2O-S3"=[1]OUT_TransportEnergyCons!$A$3:$A$1000)*1,("var_fout"=[1]OUT_TransportEnergyCons!$B$3:$B$1000)*1,ISNUMBER(SEARCH("TPBSc",[1]OUT_TransportEnergyCons!$C$3:$C$1000))*1,[1]OUT_TransportEnergyCons!I$3:I$1000)</f>
        <v>0</v>
      </c>
      <c r="L1443" s="1" cm="1">
        <f t="array" ref="L1443">SUMPRODUCT(("T_B_c-FCLH2O-S3"=[1]OUT_TransportEnergyCons!$A$3:$A$1000)*1,("var_fout"=[1]OUT_TransportEnergyCons!$B$3:$B$1000)*1,ISNUMBER(SEARCH("TPBSc",[1]OUT_TransportEnergyCons!$C$3:$C$1000))*1,[1]OUT_TransportEnergyCons!J$3:J$1000)</f>
        <v>0</v>
      </c>
      <c r="M1443" s="1" cm="1">
        <f t="array" ref="M1443">SUMPRODUCT(("T_B_c-FCLH2O-S3"=[1]OUT_TransportEnergyCons!$A$3:$A$1000)*1,("var_fout"=[1]OUT_TransportEnergyCons!$B$3:$B$1000)*1,ISNUMBER(SEARCH("TPBSc",[1]OUT_TransportEnergyCons!$C$3:$C$1000))*1,[1]OUT_TransportEnergyCons!K$3:K$1000)</f>
        <v>0</v>
      </c>
      <c r="N1443" s="1" cm="1">
        <f t="array" ref="N1443">SUMPRODUCT(("T_B_c-FCLH2O-S3"=[1]OUT_TransportEnergyCons!$A$3:$A$1000)*1,("var_fout"=[1]OUT_TransportEnergyCons!$B$3:$B$1000)*1,ISNUMBER(SEARCH("TPBSc",[1]OUT_TransportEnergyCons!$C$3:$C$1000))*1,[1]OUT_TransportEnergyCons!L$3:L$1000)</f>
        <v>0</v>
      </c>
      <c r="O1443" s="1" cm="1">
        <f t="array" ref="O1443">SUMPRODUCT(("T_B_c-FCLH2O-S3"=[1]OUT_TransportEnergyCons!$A$3:$A$1000)*1,("var_fout"=[1]OUT_TransportEnergyCons!$B$3:$B$1000)*1,ISNUMBER(SEARCH("TPBSc",[1]OUT_TransportEnergyCons!$C$3:$C$1000))*1,[1]OUT_TransportEnergyCons!M$3:M$1000)</f>
        <v>0</v>
      </c>
      <c r="P1443" s="1" cm="1">
        <f t="array" ref="P1443">SUMPRODUCT(("T_B_c-FCLH2O-S3"=[1]OUT_TransportEnergyCons!$A$3:$A$1000)*1,("var_fout"=[1]OUT_TransportEnergyCons!$B$3:$B$1000)*1,ISNUMBER(SEARCH("TPBSc",[1]OUT_TransportEnergyCons!$C$3:$C$1000))*1,[1]OUT_TransportEnergyCons!N$3:N$1000)</f>
        <v>0</v>
      </c>
      <c r="Q1443" s="1" cm="1">
        <f t="array" ref="Q1443">SUMPRODUCT(("T_B_c-FCLH2O-S3"=[1]OUT_TransportEnergyCons!$A$3:$A$1000)*1,("var_fout"=[1]OUT_TransportEnergyCons!$B$3:$B$1000)*1,ISNUMBER(SEARCH("TPBSc",[1]OUT_TransportEnergyCons!$C$3:$C$1000))*1,[1]OUT_TransportEnergyCons!O$3:O$1000)</f>
        <v>0</v>
      </c>
      <c r="S1443" s="3"/>
    </row>
    <row r="1444" spans="2:19" x14ac:dyDescent="0.5">
      <c r="B1444" s="5" t="str">
        <f t="shared" si="1609"/>
        <v>SPS1</v>
      </c>
      <c r="C1444" s="5" t="str">
        <f t="shared" si="1610"/>
        <v>CH</v>
      </c>
      <c r="D1444" t="s">
        <v>1436</v>
      </c>
      <c r="E1444" t="str">
        <f t="shared" si="1611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SUMPRODUCT(("T_B_c-FCLH2O-S4"=[1]OUT_TransportEnergyCons!$A$3:$A$1000)*1,("var_fout"=[1]OUT_TransportEnergyCons!$B$3:$B$1000)*1,ISNUMBER(SEARCH("TPBSc",[1]OUT_TransportEnergyCons!$C$3:$C$1000))*1,[1]OUT_TransportEnergyCons!H$3:H$1000)</f>
        <v>0</v>
      </c>
      <c r="K1444" s="1" cm="1">
        <f t="array" ref="K1444">SUMPRODUCT(("T_B_c-FCLH2O-S4"=[1]OUT_TransportEnergyCons!$A$3:$A$1000)*1,("var_fout"=[1]OUT_TransportEnergyCons!$B$3:$B$1000)*1,ISNUMBER(SEARCH("TPBSc",[1]OUT_TransportEnergyCons!$C$3:$C$1000))*1,[1]OUT_TransportEnergyCons!I$3:I$1000)</f>
        <v>0</v>
      </c>
      <c r="L1444" s="1" cm="1">
        <f t="array" ref="L1444">SUMPRODUCT(("T_B_c-FCLH2O-S4"=[1]OUT_TransportEnergyCons!$A$3:$A$1000)*1,("var_fout"=[1]OUT_TransportEnergyCons!$B$3:$B$1000)*1,ISNUMBER(SEARCH("TPBSc",[1]OUT_TransportEnergyCons!$C$3:$C$1000))*1,[1]OUT_TransportEnergyCons!J$3:J$1000)</f>
        <v>0</v>
      </c>
      <c r="M1444" s="1" cm="1">
        <f t="array" ref="M1444">SUMPRODUCT(("T_B_c-FCLH2O-S4"=[1]OUT_TransportEnergyCons!$A$3:$A$1000)*1,("var_fout"=[1]OUT_TransportEnergyCons!$B$3:$B$1000)*1,ISNUMBER(SEARCH("TPBSc",[1]OUT_TransportEnergyCons!$C$3:$C$1000))*1,[1]OUT_TransportEnergyCons!K$3:K$1000)</f>
        <v>0</v>
      </c>
      <c r="N1444" s="1" cm="1">
        <f t="array" ref="N1444">SUMPRODUCT(("T_B_c-FCLH2O-S4"=[1]OUT_TransportEnergyCons!$A$3:$A$1000)*1,("var_fout"=[1]OUT_TransportEnergyCons!$B$3:$B$1000)*1,ISNUMBER(SEARCH("TPBSc",[1]OUT_TransportEnergyCons!$C$3:$C$1000))*1,[1]OUT_TransportEnergyCons!L$3:L$1000)</f>
        <v>0</v>
      </c>
      <c r="O1444" s="1" cm="1">
        <f t="array" ref="O1444">SUMPRODUCT(("T_B_c-FCLH2O-S4"=[1]OUT_TransportEnergyCons!$A$3:$A$1000)*1,("var_fout"=[1]OUT_TransportEnergyCons!$B$3:$B$1000)*1,ISNUMBER(SEARCH("TPBSc",[1]OUT_TransportEnergyCons!$C$3:$C$1000))*1,[1]OUT_TransportEnergyCons!M$3:M$1000)</f>
        <v>0</v>
      </c>
      <c r="P1444" s="1" cm="1">
        <f t="array" ref="P1444">SUMPRODUCT(("T_B_c-FCLH2O-S4"=[1]OUT_TransportEnergyCons!$A$3:$A$1000)*1,("var_fout"=[1]OUT_TransportEnergyCons!$B$3:$B$1000)*1,ISNUMBER(SEARCH("TPBSc",[1]OUT_TransportEnergyCons!$C$3:$C$1000))*1,[1]OUT_TransportEnergyCons!N$3:N$1000)</f>
        <v>0</v>
      </c>
      <c r="Q1444" s="1" cm="1">
        <f t="array" ref="Q1444">SUMPRODUCT(("T_B_c-FCLH2O-S4"=[1]OUT_TransportEnergyCons!$A$3:$A$1000)*1,("var_fout"=[1]OUT_TransportEnergyCons!$B$3:$B$1000)*1,ISNUMBER(SEARCH("TPBSc",[1]OUT_TransportEnergyCons!$C$3:$C$1000))*1,[1]OUT_TransportEnergyCons!O$3:O$1000)</f>
        <v>0</v>
      </c>
      <c r="S1444" s="3"/>
    </row>
    <row r="1445" spans="2:19" x14ac:dyDescent="0.5">
      <c r="B1445" s="5" t="str">
        <f t="shared" si="1609"/>
        <v>SPS1</v>
      </c>
      <c r="C1445" s="5" t="str">
        <f t="shared" si="1610"/>
        <v>CH</v>
      </c>
      <c r="D1445" t="s">
        <v>1437</v>
      </c>
      <c r="E1445" t="str">
        <f t="shared" si="1611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1.1773696569365223E-4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1.3546304944934032E-4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0</v>
      </c>
      <c r="J1445" s="1" cm="1">
        <f t="array" ref="J1445">SUMPRODUCT(("T_B_c-HYBDSL-S1"=[1]OUT_TransportEnergyCons!$A$3:$A$1000)*1,("var_fout"=[1]OUT_TransportEnergyCons!$B$3:$B$1000)*1,ISNUMBER(SEARCH("TPBSc",[1]OUT_TransportEnergyCons!$C$3:$C$1000))*1,[1]OUT_TransportEnergyCons!H$3:H$1000)</f>
        <v>0</v>
      </c>
      <c r="K1445" s="1" cm="1">
        <f t="array" ref="K1445">SUMPRODUCT(("T_B_c-HYBDSL-S1"=[1]OUT_TransportEnergyCons!$A$3:$A$1000)*1,("var_fout"=[1]OUT_TransportEnergyCons!$B$3:$B$1000)*1,ISNUMBER(SEARCH("TPBSc",[1]OUT_TransportEnergyCons!$C$3:$C$1000))*1,[1]OUT_TransportEnergyCons!I$3:I$1000)</f>
        <v>0</v>
      </c>
      <c r="L1445" s="1" cm="1">
        <f t="array" ref="L1445">SUMPRODUCT(("T_B_c-HYBDSL-S1"=[1]OUT_TransportEnergyCons!$A$3:$A$1000)*1,("var_fout"=[1]OUT_TransportEnergyCons!$B$3:$B$1000)*1,ISNUMBER(SEARCH("TPBSc",[1]OUT_TransportEnergyCons!$C$3:$C$1000))*1,[1]OUT_TransportEnergyCons!J$3:J$1000)</f>
        <v>7.7739336949421119E-5</v>
      </c>
      <c r="M1445" s="1" cm="1">
        <f t="array" ref="M1445">SUMPRODUCT(("T_B_c-HYBDSL-S1"=[1]OUT_TransportEnergyCons!$A$3:$A$1000)*1,("var_fout"=[1]OUT_TransportEnergyCons!$B$3:$B$1000)*1,ISNUMBER(SEARCH("TPBSc",[1]OUT_TransportEnergyCons!$C$3:$C$1000))*1,[1]OUT_TransportEnergyCons!K$3:K$1000)</f>
        <v>7.7819465160628001E-5</v>
      </c>
      <c r="N1445" s="1" cm="1">
        <f t="array" ref="N1445">SUMPRODUCT(("T_B_c-HYBDSL-S1"=[1]OUT_TransportEnergyCons!$A$3:$A$1000)*1,("var_fout"=[1]OUT_TransportEnergyCons!$B$3:$B$1000)*1,ISNUMBER(SEARCH("TPBSc",[1]OUT_TransportEnergyCons!$C$3:$C$1000))*1,[1]OUT_TransportEnergyCons!L$3:L$1000)</f>
        <v>0</v>
      </c>
      <c r="O1445" s="1" cm="1">
        <f t="array" ref="O1445">SUMPRODUCT(("T_B_c-HYBDSL-S1"=[1]OUT_TransportEnergyCons!$A$3:$A$1000)*1,("var_fout"=[1]OUT_TransportEnergyCons!$B$3:$B$1000)*1,ISNUMBER(SEARCH("TPBSc",[1]OUT_TransportEnergyCons!$C$3:$C$1000))*1,[1]OUT_TransportEnergyCons!M$3:M$1000)</f>
        <v>0</v>
      </c>
      <c r="P1445" s="1" cm="1">
        <f t="array" ref="P1445">SUMPRODUCT(("T_B_c-HYBDSL-S1"=[1]OUT_TransportEnergyCons!$A$3:$A$1000)*1,("var_fout"=[1]OUT_TransportEnergyCons!$B$3:$B$1000)*1,ISNUMBER(SEARCH("TPBSc",[1]OUT_TransportEnergyCons!$C$3:$C$1000))*1,[1]OUT_TransportEnergyCons!N$3:N$1000)</f>
        <v>0</v>
      </c>
      <c r="Q1445" s="1" cm="1">
        <f t="array" ref="Q1445">SUMPRODUCT(("T_B_c-HYBDSL-S1"=[1]OUT_TransportEnergyCons!$A$3:$A$1000)*1,("var_fout"=[1]OUT_TransportEnergyCons!$B$3:$B$1000)*1,ISNUMBER(SEARCH("TPBSc",[1]OUT_TransportEnergyCons!$C$3:$C$1000))*1,[1]OUT_TransportEnergyCons!O$3:O$1000)</f>
        <v>0</v>
      </c>
      <c r="S1445" s="3"/>
    </row>
    <row r="1446" spans="2:19" x14ac:dyDescent="0.5">
      <c r="B1446" s="5" t="str">
        <f t="shared" si="1609"/>
        <v>SPS1</v>
      </c>
      <c r="C1446" s="5" t="str">
        <f t="shared" si="1610"/>
        <v>CH</v>
      </c>
      <c r="D1446" t="s">
        <v>1438</v>
      </c>
      <c r="E1446" t="str">
        <f t="shared" si="1611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6.9782876093504006E-6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1.393745330289179E-5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0</v>
      </c>
      <c r="J1446" s="1" cm="1">
        <f t="array" ref="J1446">SUMPRODUCT(("T_B_c-HYBDSL-S2"=[1]OUT_TransportEnergyCons!$A$3:$A$1000)*1,("var_fout"=[1]OUT_TransportEnergyCons!$B$3:$B$1000)*1,ISNUMBER(SEARCH("TPBSc",[1]OUT_TransportEnergyCons!$C$3:$C$1000))*1,[1]OUT_TransportEnergyCons!H$3:H$1000)</f>
        <v>0</v>
      </c>
      <c r="K1446" s="1" cm="1">
        <f t="array" ref="K1446">SUMPRODUCT(("T_B_c-HYBDSL-S2"=[1]OUT_TransportEnergyCons!$A$3:$A$1000)*1,("var_fout"=[1]OUT_TransportEnergyCons!$B$3:$B$1000)*1,ISNUMBER(SEARCH("TPBSc",[1]OUT_TransportEnergyCons!$C$3:$C$1000))*1,[1]OUT_TransportEnergyCons!I$3:I$1000)</f>
        <v>0</v>
      </c>
      <c r="L1446" s="1" cm="1">
        <f t="array" ref="L1446">SUMPRODUCT(("T_B_c-HYBDSL-S2"=[1]OUT_TransportEnergyCons!$A$3:$A$1000)*1,("var_fout"=[1]OUT_TransportEnergyCons!$B$3:$B$1000)*1,ISNUMBER(SEARCH("TPBSc",[1]OUT_TransportEnergyCons!$C$3:$C$1000))*1,[1]OUT_TransportEnergyCons!J$3:J$1000)</f>
        <v>0</v>
      </c>
      <c r="M1446" s="1" cm="1">
        <f t="array" ref="M1446">SUMPRODUCT(("T_B_c-HYBDSL-S2"=[1]OUT_TransportEnergyCons!$A$3:$A$1000)*1,("var_fout"=[1]OUT_TransportEnergyCons!$B$3:$B$1000)*1,ISNUMBER(SEARCH("TPBSc",[1]OUT_TransportEnergyCons!$C$3:$C$1000))*1,[1]OUT_TransportEnergyCons!K$3:K$1000)</f>
        <v>0</v>
      </c>
      <c r="N1446" s="1" cm="1">
        <f t="array" ref="N1446">SUMPRODUCT(("T_B_c-HYBDSL-S2"=[1]OUT_TransportEnergyCons!$A$3:$A$1000)*1,("var_fout"=[1]OUT_TransportEnergyCons!$B$3:$B$1000)*1,ISNUMBER(SEARCH("TPBSc",[1]OUT_TransportEnergyCons!$C$3:$C$1000))*1,[1]OUT_TransportEnergyCons!L$3:L$1000)</f>
        <v>0</v>
      </c>
      <c r="O1446" s="1" cm="1">
        <f t="array" ref="O1446">SUMPRODUCT(("T_B_c-HYBDSL-S2"=[1]OUT_TransportEnergyCons!$A$3:$A$1000)*1,("var_fout"=[1]OUT_TransportEnergyCons!$B$3:$B$1000)*1,ISNUMBER(SEARCH("TPBSc",[1]OUT_TransportEnergyCons!$C$3:$C$1000))*1,[1]OUT_TransportEnergyCons!M$3:M$1000)</f>
        <v>0</v>
      </c>
      <c r="P1446" s="1" cm="1">
        <f t="array" ref="P1446">SUMPRODUCT(("T_B_c-HYBDSL-S2"=[1]OUT_TransportEnergyCons!$A$3:$A$1000)*1,("var_fout"=[1]OUT_TransportEnergyCons!$B$3:$B$1000)*1,ISNUMBER(SEARCH("TPBSc",[1]OUT_TransportEnergyCons!$C$3:$C$1000))*1,[1]OUT_TransportEnergyCons!N$3:N$1000)</f>
        <v>0</v>
      </c>
      <c r="Q1446" s="1" cm="1">
        <f t="array" ref="Q1446">SUMPRODUCT(("T_B_c-HYBDSL-S2"=[1]OUT_TransportEnergyCons!$A$3:$A$1000)*1,("var_fout"=[1]OUT_TransportEnergyCons!$B$3:$B$1000)*1,ISNUMBER(SEARCH("TPBSc",[1]OUT_TransportEnergyCons!$C$3:$C$1000))*1,[1]OUT_TransportEnergyCons!O$3:O$1000)</f>
        <v>0</v>
      </c>
      <c r="S1446" s="3"/>
    </row>
    <row r="1447" spans="2:19" x14ac:dyDescent="0.5">
      <c r="B1447" s="5" t="str">
        <f t="shared" si="1609"/>
        <v>SPS1</v>
      </c>
      <c r="C1447" s="5" t="str">
        <f t="shared" si="1610"/>
        <v>CH</v>
      </c>
      <c r="D1447" t="s">
        <v>1439</v>
      </c>
      <c r="E1447" t="str">
        <f t="shared" si="1611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2.6818873690672128E-6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4.8712415176732292E-6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0</v>
      </c>
      <c r="J1447" s="1" cm="1">
        <f t="array" ref="J1447">SUMPRODUCT(("T_B_c-HYBDSL-S3"=[1]OUT_TransportEnergyCons!$A$3:$A$1000)*1,("var_fout"=[1]OUT_TransportEnergyCons!$B$3:$B$1000)*1,ISNUMBER(SEARCH("TPBSc",[1]OUT_TransportEnergyCons!$C$3:$C$1000))*1,[1]OUT_TransportEnergyCons!H$3:H$1000)</f>
        <v>0</v>
      </c>
      <c r="K1447" s="1" cm="1">
        <f t="array" ref="K1447">SUMPRODUCT(("T_B_c-HYBDSL-S3"=[1]OUT_TransportEnergyCons!$A$3:$A$1000)*1,("var_fout"=[1]OUT_TransportEnergyCons!$B$3:$B$1000)*1,ISNUMBER(SEARCH("TPBSc",[1]OUT_TransportEnergyCons!$C$3:$C$1000))*1,[1]OUT_TransportEnergyCons!I$3:I$1000)</f>
        <v>0</v>
      </c>
      <c r="L1447" s="1" cm="1">
        <f t="array" ref="L1447">SUMPRODUCT(("T_B_c-HYBDSL-S3"=[1]OUT_TransportEnergyCons!$A$3:$A$1000)*1,("var_fout"=[1]OUT_TransportEnergyCons!$B$3:$B$1000)*1,ISNUMBER(SEARCH("TPBSc",[1]OUT_TransportEnergyCons!$C$3:$C$1000))*1,[1]OUT_TransportEnergyCons!J$3:J$1000)</f>
        <v>0</v>
      </c>
      <c r="M1447" s="1" cm="1">
        <f t="array" ref="M1447">SUMPRODUCT(("T_B_c-HYBDSL-S3"=[1]OUT_TransportEnergyCons!$A$3:$A$1000)*1,("var_fout"=[1]OUT_TransportEnergyCons!$B$3:$B$1000)*1,ISNUMBER(SEARCH("TPBSc",[1]OUT_TransportEnergyCons!$C$3:$C$1000))*1,[1]OUT_TransportEnergyCons!K$3:K$1000)</f>
        <v>0</v>
      </c>
      <c r="N1447" s="1" cm="1">
        <f t="array" ref="N1447">SUMPRODUCT(("T_B_c-HYBDSL-S3"=[1]OUT_TransportEnergyCons!$A$3:$A$1000)*1,("var_fout"=[1]OUT_TransportEnergyCons!$B$3:$B$1000)*1,ISNUMBER(SEARCH("TPBSc",[1]OUT_TransportEnergyCons!$C$3:$C$1000))*1,[1]OUT_TransportEnergyCons!L$3:L$1000)</f>
        <v>0</v>
      </c>
      <c r="O1447" s="1" cm="1">
        <f t="array" ref="O1447">SUMPRODUCT(("T_B_c-HYBDSL-S3"=[1]OUT_TransportEnergyCons!$A$3:$A$1000)*1,("var_fout"=[1]OUT_TransportEnergyCons!$B$3:$B$1000)*1,ISNUMBER(SEARCH("TPBSc",[1]OUT_TransportEnergyCons!$C$3:$C$1000))*1,[1]OUT_TransportEnergyCons!M$3:M$1000)</f>
        <v>0</v>
      </c>
      <c r="P1447" s="1" cm="1">
        <f t="array" ref="P1447">SUMPRODUCT(("T_B_c-HYBDSL-S3"=[1]OUT_TransportEnergyCons!$A$3:$A$1000)*1,("var_fout"=[1]OUT_TransportEnergyCons!$B$3:$B$1000)*1,ISNUMBER(SEARCH("TPBSc",[1]OUT_TransportEnergyCons!$C$3:$C$1000))*1,[1]OUT_TransportEnergyCons!N$3:N$1000)</f>
        <v>0</v>
      </c>
      <c r="Q1447" s="1" cm="1">
        <f t="array" ref="Q1447">SUMPRODUCT(("T_B_c-HYBDSL-S3"=[1]OUT_TransportEnergyCons!$A$3:$A$1000)*1,("var_fout"=[1]OUT_TransportEnergyCons!$B$3:$B$1000)*1,ISNUMBER(SEARCH("TPBSc",[1]OUT_TransportEnergyCons!$C$3:$C$1000))*1,[1]OUT_TransportEnergyCons!O$3:O$1000)</f>
        <v>0</v>
      </c>
      <c r="S1447" s="3"/>
    </row>
    <row r="1448" spans="2:19" x14ac:dyDescent="0.5">
      <c r="B1448" s="5" t="str">
        <f t="shared" si="1609"/>
        <v>SPS1</v>
      </c>
      <c r="C1448" s="5" t="str">
        <f t="shared" si="1610"/>
        <v>CH</v>
      </c>
      <c r="D1448" t="s">
        <v>1440</v>
      </c>
      <c r="E1448" t="str">
        <f t="shared" si="1611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1.6002806027042661E-7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3.0475709492690803E-7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0</v>
      </c>
      <c r="J1448" s="1" cm="1">
        <f t="array" ref="J1448">SUMPRODUCT(("T_B_c-HYBDSL-S4"=[1]OUT_TransportEnergyCons!$A$3:$A$1000)*1,("var_fout"=[1]OUT_TransportEnergyCons!$B$3:$B$1000)*1,ISNUMBER(SEARCH("TPBSc",[1]OUT_TransportEnergyCons!$C$3:$C$1000))*1,[1]OUT_TransportEnergyCons!H$3:H$1000)</f>
        <v>0</v>
      </c>
      <c r="K1448" s="1" cm="1">
        <f t="array" ref="K1448">SUMPRODUCT(("T_B_c-HYBDSL-S4"=[1]OUT_TransportEnergyCons!$A$3:$A$1000)*1,("var_fout"=[1]OUT_TransportEnergyCons!$B$3:$B$1000)*1,ISNUMBER(SEARCH("TPBSc",[1]OUT_TransportEnergyCons!$C$3:$C$1000))*1,[1]OUT_TransportEnergyCons!I$3:I$1000)</f>
        <v>0</v>
      </c>
      <c r="L1448" s="1" cm="1">
        <f t="array" ref="L1448">SUMPRODUCT(("T_B_c-HYBDSL-S4"=[1]OUT_TransportEnergyCons!$A$3:$A$1000)*1,("var_fout"=[1]OUT_TransportEnergyCons!$B$3:$B$1000)*1,ISNUMBER(SEARCH("TPBSc",[1]OUT_TransportEnergyCons!$C$3:$C$1000))*1,[1]OUT_TransportEnergyCons!J$3:J$1000)</f>
        <v>0</v>
      </c>
      <c r="M1448" s="1" cm="1">
        <f t="array" ref="M1448">SUMPRODUCT(("T_B_c-HYBDSL-S4"=[1]OUT_TransportEnergyCons!$A$3:$A$1000)*1,("var_fout"=[1]OUT_TransportEnergyCons!$B$3:$B$1000)*1,ISNUMBER(SEARCH("TPBSc",[1]OUT_TransportEnergyCons!$C$3:$C$1000))*1,[1]OUT_TransportEnergyCons!K$3:K$1000)</f>
        <v>0</v>
      </c>
      <c r="N1448" s="1" cm="1">
        <f t="array" ref="N1448">SUMPRODUCT(("T_B_c-HYBDSL-S4"=[1]OUT_TransportEnergyCons!$A$3:$A$1000)*1,("var_fout"=[1]OUT_TransportEnergyCons!$B$3:$B$1000)*1,ISNUMBER(SEARCH("TPBSc",[1]OUT_TransportEnergyCons!$C$3:$C$1000))*1,[1]OUT_TransportEnergyCons!L$3:L$1000)</f>
        <v>0</v>
      </c>
      <c r="O1448" s="1" cm="1">
        <f t="array" ref="O1448">SUMPRODUCT(("T_B_c-HYBDSL-S4"=[1]OUT_TransportEnergyCons!$A$3:$A$1000)*1,("var_fout"=[1]OUT_TransportEnergyCons!$B$3:$B$1000)*1,ISNUMBER(SEARCH("TPBSc",[1]OUT_TransportEnergyCons!$C$3:$C$1000))*1,[1]OUT_TransportEnergyCons!M$3:M$1000)</f>
        <v>0</v>
      </c>
      <c r="P1448" s="1" cm="1">
        <f t="array" ref="P1448">SUMPRODUCT(("T_B_c-HYBDSL-S4"=[1]OUT_TransportEnergyCons!$A$3:$A$1000)*1,("var_fout"=[1]OUT_TransportEnergyCons!$B$3:$B$1000)*1,ISNUMBER(SEARCH("TPBSc",[1]OUT_TransportEnergyCons!$C$3:$C$1000))*1,[1]OUT_TransportEnergyCons!N$3:N$1000)</f>
        <v>0</v>
      </c>
      <c r="Q1448" s="1" cm="1">
        <f t="array" ref="Q1448">SUMPRODUCT(("T_B_c-HYBDSL-S4"=[1]OUT_TransportEnergyCons!$A$3:$A$1000)*1,("var_fout"=[1]OUT_TransportEnergyCons!$B$3:$B$1000)*1,ISNUMBER(SEARCH("TPBSc",[1]OUT_TransportEnergyCons!$C$3:$C$1000))*1,[1]OUT_TransportEnergyCons!O$3:O$1000)</f>
        <v>0</v>
      </c>
      <c r="S1448" s="3"/>
    </row>
    <row r="1449" spans="2:19" x14ac:dyDescent="0.5">
      <c r="B1449" s="5" t="str">
        <f t="shared" si="1609"/>
        <v>SPS1</v>
      </c>
      <c r="C1449" s="5" t="str">
        <f t="shared" si="1610"/>
        <v>CH</v>
      </c>
      <c r="D1449" t="s">
        <v>2116</v>
      </c>
      <c r="E1449" t="str">
        <f t="shared" si="1611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5.9978059290757543E-2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4.7983445903896117E-2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2.9989815247517412E-2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SUMPRODUCT(("T_B_c-ICEDSLEXT"=[1]OUT_TransportEnergyCons!$A$3:$A$1000)*1,("var_fout"=[1]OUT_TransportEnergyCons!$B$3:$B$1000)*1,ISNUMBER(SEARCH("TPBSc",[1]OUT_TransportEnergyCons!$C$3:$C$1000))*1,[1]OUT_TransportEnergyCons!H$3:H$1000)</f>
        <v>0</v>
      </c>
      <c r="K1449" s="1" cm="1">
        <f t="array" ref="K1449">SUMPRODUCT(("T_B_c-ICEDSLEXT"=[1]OUT_TransportEnergyCons!$A$3:$A$1000)*1,("var_fout"=[1]OUT_TransportEnergyCons!$B$3:$B$1000)*1,ISNUMBER(SEARCH("TPBSc",[1]OUT_TransportEnergyCons!$C$3:$C$1000))*1,[1]OUT_TransportEnergyCons!I$3:I$1000)</f>
        <v>0</v>
      </c>
      <c r="L1449" s="1" cm="1">
        <f t="array" ref="L1449">SUMPRODUCT(("T_B_c-ICEDSLEXT"=[1]OUT_TransportEnergyCons!$A$3:$A$1000)*1,("var_fout"=[1]OUT_TransportEnergyCons!$B$3:$B$1000)*1,ISNUMBER(SEARCH("TPBSc",[1]OUT_TransportEnergyCons!$C$3:$C$1000))*1,[1]OUT_TransportEnergyCons!J$3:J$1000)</f>
        <v>0</v>
      </c>
      <c r="M1449" s="1" cm="1">
        <f t="array" ref="M1449">SUMPRODUCT(("T_B_c-ICEDSLEXT"=[1]OUT_TransportEnergyCons!$A$3:$A$1000)*1,("var_fout"=[1]OUT_TransportEnergyCons!$B$3:$B$1000)*1,ISNUMBER(SEARCH("TPBSc",[1]OUT_TransportEnergyCons!$C$3:$C$1000))*1,[1]OUT_TransportEnergyCons!K$3:K$1000)</f>
        <v>0</v>
      </c>
      <c r="N1449" s="1" cm="1">
        <f t="array" ref="N1449">SUMPRODUCT(("T_B_c-ICEDSLEXT"=[1]OUT_TransportEnergyCons!$A$3:$A$1000)*1,("var_fout"=[1]OUT_TransportEnergyCons!$B$3:$B$1000)*1,ISNUMBER(SEARCH("TPBSc",[1]OUT_TransportEnergyCons!$C$3:$C$1000))*1,[1]OUT_TransportEnergyCons!L$3:L$1000)</f>
        <v>0</v>
      </c>
      <c r="O1449" s="1" cm="1">
        <f t="array" ref="O1449">SUMPRODUCT(("T_B_c-ICEDSLEXT"=[1]OUT_TransportEnergyCons!$A$3:$A$1000)*1,("var_fout"=[1]OUT_TransportEnergyCons!$B$3:$B$1000)*1,ISNUMBER(SEARCH("TPBSc",[1]OUT_TransportEnergyCons!$C$3:$C$1000))*1,[1]OUT_TransportEnergyCons!M$3:M$1000)</f>
        <v>0</v>
      </c>
      <c r="P1449" s="1" cm="1">
        <f t="array" ref="P1449">SUMPRODUCT(("T_B_c-ICEDSLEXT"=[1]OUT_TransportEnergyCons!$A$3:$A$1000)*1,("var_fout"=[1]OUT_TransportEnergyCons!$B$3:$B$1000)*1,ISNUMBER(SEARCH("TPBSc",[1]OUT_TransportEnergyCons!$C$3:$C$1000))*1,[1]OUT_TransportEnergyCons!N$3:N$1000)</f>
        <v>0</v>
      </c>
      <c r="Q1449" s="1" cm="1">
        <f t="array" ref="Q1449">SUMPRODUCT(("T_B_c-ICEDSLEXT"=[1]OUT_TransportEnergyCons!$A$3:$A$1000)*1,("var_fout"=[1]OUT_TransportEnergyCons!$B$3:$B$1000)*1,ISNUMBER(SEARCH("TPBSc",[1]OUT_TransportEnergyCons!$C$3:$C$1000))*1,[1]OUT_TransportEnergyCons!O$3:O$1000)</f>
        <v>0</v>
      </c>
      <c r="S1449" s="3"/>
    </row>
    <row r="1450" spans="2:19" x14ac:dyDescent="0.5">
      <c r="B1450" s="5" t="str">
        <f t="shared" si="1609"/>
        <v>SPS1</v>
      </c>
      <c r="C1450" s="5" t="str">
        <f t="shared" si="1610"/>
        <v>CH</v>
      </c>
      <c r="D1450" t="s">
        <v>1441</v>
      </c>
      <c r="E1450" t="str">
        <f t="shared" si="1611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1.4061099342037536E-2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3.9239965929320379E-2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4.7240386793441835E-2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5.8542933805085483E-4</v>
      </c>
      <c r="J1450" s="1" cm="1">
        <f t="array" ref="J1450">SUMPRODUCT(("T_B_c-ICEDSL-S1"=[1]OUT_TransportEnergyCons!$A$3:$A$1000)*1,("var_fout"=[1]OUT_TransportEnergyCons!$B$3:$B$1000)*1,ISNUMBER(SEARCH("TPBSc",[1]OUT_TransportEnergyCons!$C$3:$C$1000))*1,[1]OUT_TransportEnergyCons!H$3:H$1000)</f>
        <v>0</v>
      </c>
      <c r="K1450" s="1" cm="1">
        <f t="array" ref="K1450">SUMPRODUCT(("T_B_c-ICEDSL-S1"=[1]OUT_TransportEnergyCons!$A$3:$A$1000)*1,("var_fout"=[1]OUT_TransportEnergyCons!$B$3:$B$1000)*1,ISNUMBER(SEARCH("TPBSc",[1]OUT_TransportEnergyCons!$C$3:$C$1000))*1,[1]OUT_TransportEnergyCons!I$3:I$1000)</f>
        <v>0</v>
      </c>
      <c r="L1450" s="1" cm="1">
        <f t="array" ref="L1450">SUMPRODUCT(("T_B_c-ICEDSL-S1"=[1]OUT_TransportEnergyCons!$A$3:$A$1000)*1,("var_fout"=[1]OUT_TransportEnergyCons!$B$3:$B$1000)*1,ISNUMBER(SEARCH("TPBSc",[1]OUT_TransportEnergyCons!$C$3:$C$1000))*1,[1]OUT_TransportEnergyCons!J$3:J$1000)</f>
        <v>4.1237227732496103E-8</v>
      </c>
      <c r="M1450" s="1" cm="1">
        <f t="array" ref="M1450">SUMPRODUCT(("T_B_c-ICEDSL-S1"=[1]OUT_TransportEnergyCons!$A$3:$A$1000)*1,("var_fout"=[1]OUT_TransportEnergyCons!$B$3:$B$1000)*1,ISNUMBER(SEARCH("TPBSc",[1]OUT_TransportEnergyCons!$C$3:$C$1000))*1,[1]OUT_TransportEnergyCons!K$3:K$1000)</f>
        <v>4.1191959638952097E-8</v>
      </c>
      <c r="N1450" s="1" cm="1">
        <f t="array" ref="N1450">SUMPRODUCT(("T_B_c-ICEDSL-S1"=[1]OUT_TransportEnergyCons!$A$3:$A$1000)*1,("var_fout"=[1]OUT_TransportEnergyCons!$B$3:$B$1000)*1,ISNUMBER(SEARCH("TPBSc",[1]OUT_TransportEnergyCons!$C$3:$C$1000))*1,[1]OUT_TransportEnergyCons!L$3:L$1000)</f>
        <v>0</v>
      </c>
      <c r="O1450" s="1" cm="1">
        <f t="array" ref="O1450">SUMPRODUCT(("T_B_c-ICEDSL-S1"=[1]OUT_TransportEnergyCons!$A$3:$A$1000)*1,("var_fout"=[1]OUT_TransportEnergyCons!$B$3:$B$1000)*1,ISNUMBER(SEARCH("TPBSc",[1]OUT_TransportEnergyCons!$C$3:$C$1000))*1,[1]OUT_TransportEnergyCons!M$3:M$1000)</f>
        <v>0</v>
      </c>
      <c r="P1450" s="1" cm="1">
        <f t="array" ref="P1450">SUMPRODUCT(("T_B_c-ICEDSL-S1"=[1]OUT_TransportEnergyCons!$A$3:$A$1000)*1,("var_fout"=[1]OUT_TransportEnergyCons!$B$3:$B$1000)*1,ISNUMBER(SEARCH("TPBSc",[1]OUT_TransportEnergyCons!$C$3:$C$1000))*1,[1]OUT_TransportEnergyCons!N$3:N$1000)</f>
        <v>0</v>
      </c>
      <c r="Q1450" s="1" cm="1">
        <f t="array" ref="Q1450">SUMPRODUCT(("T_B_c-ICEDSL-S1"=[1]OUT_TransportEnergyCons!$A$3:$A$1000)*1,("var_fout"=[1]OUT_TransportEnergyCons!$B$3:$B$1000)*1,ISNUMBER(SEARCH("TPBSc",[1]OUT_TransportEnergyCons!$C$3:$C$1000))*1,[1]OUT_TransportEnergyCons!O$3:O$1000)</f>
        <v>0</v>
      </c>
      <c r="S1450" s="3"/>
    </row>
    <row r="1451" spans="2:19" x14ac:dyDescent="0.5">
      <c r="B1451" s="5" t="str">
        <f t="shared" si="1609"/>
        <v>SPS1</v>
      </c>
      <c r="C1451" s="5" t="str">
        <f t="shared" si="1610"/>
        <v>CH</v>
      </c>
      <c r="D1451" t="s">
        <v>1442</v>
      </c>
      <c r="E1451" t="str">
        <f t="shared" si="1611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4.5445164345165698E-2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3.510012047937109E-2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4.3364704349705289E-2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SUMPRODUCT(("T_B_c-ICEDSL-S2"=[1]OUT_TransportEnergyCons!$A$3:$A$1000)*1,("var_fout"=[1]OUT_TransportEnergyCons!$B$3:$B$1000)*1,ISNUMBER(SEARCH("TPBSc",[1]OUT_TransportEnergyCons!$C$3:$C$1000))*1,[1]OUT_TransportEnergyCons!H$3:H$1000)</f>
        <v>0</v>
      </c>
      <c r="K1451" s="1" cm="1">
        <f t="array" ref="K1451">SUMPRODUCT(("T_B_c-ICEDSL-S2"=[1]OUT_TransportEnergyCons!$A$3:$A$1000)*1,("var_fout"=[1]OUT_TransportEnergyCons!$B$3:$B$1000)*1,ISNUMBER(SEARCH("TPBSc",[1]OUT_TransportEnergyCons!$C$3:$C$1000))*1,[1]OUT_TransportEnergyCons!I$3:I$1000)</f>
        <v>0</v>
      </c>
      <c r="L1451" s="1" cm="1">
        <f t="array" ref="L1451">SUMPRODUCT(("T_B_c-ICEDSL-S2"=[1]OUT_TransportEnergyCons!$A$3:$A$1000)*1,("var_fout"=[1]OUT_TransportEnergyCons!$B$3:$B$1000)*1,ISNUMBER(SEARCH("TPBSc",[1]OUT_TransportEnergyCons!$C$3:$C$1000))*1,[1]OUT_TransportEnergyCons!J$3:J$1000)</f>
        <v>0</v>
      </c>
      <c r="M1451" s="1" cm="1">
        <f t="array" ref="M1451">SUMPRODUCT(("T_B_c-ICEDSL-S2"=[1]OUT_TransportEnergyCons!$A$3:$A$1000)*1,("var_fout"=[1]OUT_TransportEnergyCons!$B$3:$B$1000)*1,ISNUMBER(SEARCH("TPBSc",[1]OUT_TransportEnergyCons!$C$3:$C$1000))*1,[1]OUT_TransportEnergyCons!K$3:K$1000)</f>
        <v>0</v>
      </c>
      <c r="N1451" s="1" cm="1">
        <f t="array" ref="N1451">SUMPRODUCT(("T_B_c-ICEDSL-S2"=[1]OUT_TransportEnergyCons!$A$3:$A$1000)*1,("var_fout"=[1]OUT_TransportEnergyCons!$B$3:$B$1000)*1,ISNUMBER(SEARCH("TPBSc",[1]OUT_TransportEnergyCons!$C$3:$C$1000))*1,[1]OUT_TransportEnergyCons!L$3:L$1000)</f>
        <v>0</v>
      </c>
      <c r="O1451" s="1" cm="1">
        <f t="array" ref="O1451">SUMPRODUCT(("T_B_c-ICEDSL-S2"=[1]OUT_TransportEnergyCons!$A$3:$A$1000)*1,("var_fout"=[1]OUT_TransportEnergyCons!$B$3:$B$1000)*1,ISNUMBER(SEARCH("TPBSc",[1]OUT_TransportEnergyCons!$C$3:$C$1000))*1,[1]OUT_TransportEnergyCons!M$3:M$1000)</f>
        <v>0</v>
      </c>
      <c r="P1451" s="1" cm="1">
        <f t="array" ref="P1451">SUMPRODUCT(("T_B_c-ICEDSL-S2"=[1]OUT_TransportEnergyCons!$A$3:$A$1000)*1,("var_fout"=[1]OUT_TransportEnergyCons!$B$3:$B$1000)*1,ISNUMBER(SEARCH("TPBSc",[1]OUT_TransportEnergyCons!$C$3:$C$1000))*1,[1]OUT_TransportEnergyCons!N$3:N$1000)</f>
        <v>0</v>
      </c>
      <c r="Q1451" s="1" cm="1">
        <f t="array" ref="Q1451">SUMPRODUCT(("T_B_c-ICEDSL-S2"=[1]OUT_TransportEnergyCons!$A$3:$A$1000)*1,("var_fout"=[1]OUT_TransportEnergyCons!$B$3:$B$1000)*1,ISNUMBER(SEARCH("TPBSc",[1]OUT_TransportEnergyCons!$C$3:$C$1000))*1,[1]OUT_TransportEnergyCons!O$3:O$1000)</f>
        <v>0</v>
      </c>
      <c r="S1451" s="3"/>
    </row>
    <row r="1452" spans="2:19" x14ac:dyDescent="0.5">
      <c r="B1452" s="5" t="str">
        <f t="shared" si="1609"/>
        <v>SPS1</v>
      </c>
      <c r="C1452" s="5" t="str">
        <f t="shared" si="1610"/>
        <v>CH</v>
      </c>
      <c r="D1452" t="s">
        <v>1443</v>
      </c>
      <c r="E1452" t="str">
        <f t="shared" si="1611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9.3173260876587942E-3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7.498232974119997E-3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9.2591772874170454E-3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SUMPRODUCT(("T_B_c-ICEDSL-S3"=[1]OUT_TransportEnergyCons!$A$3:$A$1000)*1,("var_fout"=[1]OUT_TransportEnergyCons!$B$3:$B$1000)*1,ISNUMBER(SEARCH("TPBSc",[1]OUT_TransportEnergyCons!$C$3:$C$1000))*1,[1]OUT_TransportEnergyCons!H$3:H$1000)</f>
        <v>0</v>
      </c>
      <c r="K1452" s="1" cm="1">
        <f t="array" ref="K1452">SUMPRODUCT(("T_B_c-ICEDSL-S3"=[1]OUT_TransportEnergyCons!$A$3:$A$1000)*1,("var_fout"=[1]OUT_TransportEnergyCons!$B$3:$B$1000)*1,ISNUMBER(SEARCH("TPBSc",[1]OUT_TransportEnergyCons!$C$3:$C$1000))*1,[1]OUT_TransportEnergyCons!I$3:I$1000)</f>
        <v>0</v>
      </c>
      <c r="L1452" s="1" cm="1">
        <f t="array" ref="L1452">SUMPRODUCT(("T_B_c-ICEDSL-S3"=[1]OUT_TransportEnergyCons!$A$3:$A$1000)*1,("var_fout"=[1]OUT_TransportEnergyCons!$B$3:$B$1000)*1,ISNUMBER(SEARCH("TPBSc",[1]OUT_TransportEnergyCons!$C$3:$C$1000))*1,[1]OUT_TransportEnergyCons!J$3:J$1000)</f>
        <v>0</v>
      </c>
      <c r="M1452" s="1" cm="1">
        <f t="array" ref="M1452">SUMPRODUCT(("T_B_c-ICEDSL-S3"=[1]OUT_TransportEnergyCons!$A$3:$A$1000)*1,("var_fout"=[1]OUT_TransportEnergyCons!$B$3:$B$1000)*1,ISNUMBER(SEARCH("TPBSc",[1]OUT_TransportEnergyCons!$C$3:$C$1000))*1,[1]OUT_TransportEnergyCons!K$3:K$1000)</f>
        <v>0</v>
      </c>
      <c r="N1452" s="1" cm="1">
        <f t="array" ref="N1452">SUMPRODUCT(("T_B_c-ICEDSL-S3"=[1]OUT_TransportEnergyCons!$A$3:$A$1000)*1,("var_fout"=[1]OUT_TransportEnergyCons!$B$3:$B$1000)*1,ISNUMBER(SEARCH("TPBSc",[1]OUT_TransportEnergyCons!$C$3:$C$1000))*1,[1]OUT_TransportEnergyCons!L$3:L$1000)</f>
        <v>0</v>
      </c>
      <c r="O1452" s="1" cm="1">
        <f t="array" ref="O1452">SUMPRODUCT(("T_B_c-ICEDSL-S3"=[1]OUT_TransportEnergyCons!$A$3:$A$1000)*1,("var_fout"=[1]OUT_TransportEnergyCons!$B$3:$B$1000)*1,ISNUMBER(SEARCH("TPBSc",[1]OUT_TransportEnergyCons!$C$3:$C$1000))*1,[1]OUT_TransportEnergyCons!M$3:M$1000)</f>
        <v>0</v>
      </c>
      <c r="P1452" s="1" cm="1">
        <f t="array" ref="P1452">SUMPRODUCT(("T_B_c-ICEDSL-S3"=[1]OUT_TransportEnergyCons!$A$3:$A$1000)*1,("var_fout"=[1]OUT_TransportEnergyCons!$B$3:$B$1000)*1,ISNUMBER(SEARCH("TPBSc",[1]OUT_TransportEnergyCons!$C$3:$C$1000))*1,[1]OUT_TransportEnergyCons!N$3:N$1000)</f>
        <v>0</v>
      </c>
      <c r="Q1452" s="1" cm="1">
        <f t="array" ref="Q1452">SUMPRODUCT(("T_B_c-ICEDSL-S3"=[1]OUT_TransportEnergyCons!$A$3:$A$1000)*1,("var_fout"=[1]OUT_TransportEnergyCons!$B$3:$B$1000)*1,ISNUMBER(SEARCH("TPBSc",[1]OUT_TransportEnergyCons!$C$3:$C$1000))*1,[1]OUT_TransportEnergyCons!O$3:O$1000)</f>
        <v>0</v>
      </c>
      <c r="S1452" s="3"/>
    </row>
    <row r="1453" spans="2:19" x14ac:dyDescent="0.5">
      <c r="B1453" s="5" t="str">
        <f t="shared" si="1609"/>
        <v>SPS1</v>
      </c>
      <c r="C1453" s="5" t="str">
        <f t="shared" si="1610"/>
        <v>CH</v>
      </c>
      <c r="D1453" t="s">
        <v>1444</v>
      </c>
      <c r="E1453" t="str">
        <f t="shared" si="1611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4.7529302066883698E-4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3.0075416354644603E-6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3.3098266032482824E-6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SUMPRODUCT(("T_B_c-ICEDSL-S4"=[1]OUT_TransportEnergyCons!$A$3:$A$1000)*1,("var_fout"=[1]OUT_TransportEnergyCons!$B$3:$B$1000)*1,ISNUMBER(SEARCH("TPBSc",[1]OUT_TransportEnergyCons!$C$3:$C$1000))*1,[1]OUT_TransportEnergyCons!H$3:H$1000)</f>
        <v>0</v>
      </c>
      <c r="K1453" s="1" cm="1">
        <f t="array" ref="K1453">SUMPRODUCT(("T_B_c-ICEDSL-S4"=[1]OUT_TransportEnergyCons!$A$3:$A$1000)*1,("var_fout"=[1]OUT_TransportEnergyCons!$B$3:$B$1000)*1,ISNUMBER(SEARCH("TPBSc",[1]OUT_TransportEnergyCons!$C$3:$C$1000))*1,[1]OUT_TransportEnergyCons!I$3:I$1000)</f>
        <v>0</v>
      </c>
      <c r="L1453" s="1" cm="1">
        <f t="array" ref="L1453">SUMPRODUCT(("T_B_c-ICEDSL-S4"=[1]OUT_TransportEnergyCons!$A$3:$A$1000)*1,("var_fout"=[1]OUT_TransportEnergyCons!$B$3:$B$1000)*1,ISNUMBER(SEARCH("TPBSc",[1]OUT_TransportEnergyCons!$C$3:$C$1000))*1,[1]OUT_TransportEnergyCons!J$3:J$1000)</f>
        <v>0</v>
      </c>
      <c r="M1453" s="1" cm="1">
        <f t="array" ref="M1453">SUMPRODUCT(("T_B_c-ICEDSL-S4"=[1]OUT_TransportEnergyCons!$A$3:$A$1000)*1,("var_fout"=[1]OUT_TransportEnergyCons!$B$3:$B$1000)*1,ISNUMBER(SEARCH("TPBSc",[1]OUT_TransportEnergyCons!$C$3:$C$1000))*1,[1]OUT_TransportEnergyCons!K$3:K$1000)</f>
        <v>0</v>
      </c>
      <c r="N1453" s="1" cm="1">
        <f t="array" ref="N1453">SUMPRODUCT(("T_B_c-ICEDSL-S4"=[1]OUT_TransportEnergyCons!$A$3:$A$1000)*1,("var_fout"=[1]OUT_TransportEnergyCons!$B$3:$B$1000)*1,ISNUMBER(SEARCH("TPBSc",[1]OUT_TransportEnergyCons!$C$3:$C$1000))*1,[1]OUT_TransportEnergyCons!L$3:L$1000)</f>
        <v>0</v>
      </c>
      <c r="O1453" s="1" cm="1">
        <f t="array" ref="O1453">SUMPRODUCT(("T_B_c-ICEDSL-S4"=[1]OUT_TransportEnergyCons!$A$3:$A$1000)*1,("var_fout"=[1]OUT_TransportEnergyCons!$B$3:$B$1000)*1,ISNUMBER(SEARCH("TPBSc",[1]OUT_TransportEnergyCons!$C$3:$C$1000))*1,[1]OUT_TransportEnergyCons!M$3:M$1000)</f>
        <v>0</v>
      </c>
      <c r="P1453" s="1" cm="1">
        <f t="array" ref="P1453">SUMPRODUCT(("T_B_c-ICEDSL-S4"=[1]OUT_TransportEnergyCons!$A$3:$A$1000)*1,("var_fout"=[1]OUT_TransportEnergyCons!$B$3:$B$1000)*1,ISNUMBER(SEARCH("TPBSc",[1]OUT_TransportEnergyCons!$C$3:$C$1000))*1,[1]OUT_TransportEnergyCons!N$3:N$1000)</f>
        <v>0</v>
      </c>
      <c r="Q1453" s="1" cm="1">
        <f t="array" ref="Q1453">SUMPRODUCT(("T_B_c-ICEDSL-S4"=[1]OUT_TransportEnergyCons!$A$3:$A$1000)*1,("var_fout"=[1]OUT_TransportEnergyCons!$B$3:$B$1000)*1,ISNUMBER(SEARCH("TPBSc",[1]OUT_TransportEnergyCons!$C$3:$C$1000))*1,[1]OUT_TransportEnergyCons!O$3:O$1000)</f>
        <v>0</v>
      </c>
      <c r="S1453" s="3"/>
    </row>
    <row r="1454" spans="2:19" x14ac:dyDescent="0.5">
      <c r="B1454" s="5" t="str">
        <f t="shared" si="1609"/>
        <v>SPS1</v>
      </c>
      <c r="C1454" s="5" t="str">
        <f t="shared" si="1610"/>
        <v>CH</v>
      </c>
      <c r="D1454" t="s">
        <v>2119</v>
      </c>
      <c r="E1454" t="str">
        <f t="shared" si="1611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1.3676373152984621E-3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1.094971102901083E-3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6.8453104242906856E-4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SUMPRODUCT(("T_B_c-ICEngaEXT"=[1]OUT_TransportEnergyCons!$A$3:$A$1000)*1,("var_fout"=[1]OUT_TransportEnergyCons!$B$3:$B$1000)*1,ISNUMBER(SEARCH("TPBSc",[1]OUT_TransportEnergyCons!$C$3:$C$1000))*1,[1]OUT_TransportEnergyCons!H$3:H$1000)</f>
        <v>0</v>
      </c>
      <c r="K1454" s="1" cm="1">
        <f t="array" ref="K1454">SUMPRODUCT(("T_B_c-ICEngaEXT"=[1]OUT_TransportEnergyCons!$A$3:$A$1000)*1,("var_fout"=[1]OUT_TransportEnergyCons!$B$3:$B$1000)*1,ISNUMBER(SEARCH("TPBSc",[1]OUT_TransportEnergyCons!$C$3:$C$1000))*1,[1]OUT_TransportEnergyCons!I$3:I$1000)</f>
        <v>0</v>
      </c>
      <c r="L1454" s="1" cm="1">
        <f t="array" ref="L1454">SUMPRODUCT(("T_B_c-ICEngaEXT"=[1]OUT_TransportEnergyCons!$A$3:$A$1000)*1,("var_fout"=[1]OUT_TransportEnergyCons!$B$3:$B$1000)*1,ISNUMBER(SEARCH("TPBSc",[1]OUT_TransportEnergyCons!$C$3:$C$1000))*1,[1]OUT_TransportEnergyCons!J$3:J$1000)</f>
        <v>0</v>
      </c>
      <c r="M1454" s="1" cm="1">
        <f t="array" ref="M1454">SUMPRODUCT(("T_B_c-ICEngaEXT"=[1]OUT_TransportEnergyCons!$A$3:$A$1000)*1,("var_fout"=[1]OUT_TransportEnergyCons!$B$3:$B$1000)*1,ISNUMBER(SEARCH("TPBSc",[1]OUT_TransportEnergyCons!$C$3:$C$1000))*1,[1]OUT_TransportEnergyCons!K$3:K$1000)</f>
        <v>0</v>
      </c>
      <c r="N1454" s="1" cm="1">
        <f t="array" ref="N1454">SUMPRODUCT(("T_B_c-ICEngaEXT"=[1]OUT_TransportEnergyCons!$A$3:$A$1000)*1,("var_fout"=[1]OUT_TransportEnergyCons!$B$3:$B$1000)*1,ISNUMBER(SEARCH("TPBSc",[1]OUT_TransportEnergyCons!$C$3:$C$1000))*1,[1]OUT_TransportEnergyCons!L$3:L$1000)</f>
        <v>0</v>
      </c>
      <c r="O1454" s="1" cm="1">
        <f t="array" ref="O1454">SUMPRODUCT(("T_B_c-ICEngaEXT"=[1]OUT_TransportEnergyCons!$A$3:$A$1000)*1,("var_fout"=[1]OUT_TransportEnergyCons!$B$3:$B$1000)*1,ISNUMBER(SEARCH("TPBSc",[1]OUT_TransportEnergyCons!$C$3:$C$1000))*1,[1]OUT_TransportEnergyCons!M$3:M$1000)</f>
        <v>0</v>
      </c>
      <c r="P1454" s="1" cm="1">
        <f t="array" ref="P1454">SUMPRODUCT(("T_B_c-ICEngaEXT"=[1]OUT_TransportEnergyCons!$A$3:$A$1000)*1,("var_fout"=[1]OUT_TransportEnergyCons!$B$3:$B$1000)*1,ISNUMBER(SEARCH("TPBSc",[1]OUT_TransportEnergyCons!$C$3:$C$1000))*1,[1]OUT_TransportEnergyCons!N$3:N$1000)</f>
        <v>0</v>
      </c>
      <c r="Q1454" s="1" cm="1">
        <f t="array" ref="Q1454">SUMPRODUCT(("T_B_c-ICEngaEXT"=[1]OUT_TransportEnergyCons!$A$3:$A$1000)*1,("var_fout"=[1]OUT_TransportEnergyCons!$B$3:$B$1000)*1,ISNUMBER(SEARCH("TPBSc",[1]OUT_TransportEnergyCons!$C$3:$C$1000))*1,[1]OUT_TransportEnergyCons!O$3:O$1000)</f>
        <v>0</v>
      </c>
      <c r="S1454" s="3"/>
    </row>
    <row r="1455" spans="2:19" x14ac:dyDescent="0.5">
      <c r="B1455" s="5" t="str">
        <f t="shared" si="1609"/>
        <v>SPS1</v>
      </c>
      <c r="C1455" s="5" t="str">
        <f t="shared" si="1610"/>
        <v>CH</v>
      </c>
      <c r="D1455" t="s">
        <v>1445</v>
      </c>
      <c r="E1455" t="str">
        <f t="shared" si="1611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1.142838128001254E-5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1.2049358645278617E-3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9.7929230349132331E-4</v>
      </c>
      <c r="J1455" s="1" cm="1">
        <f t="array" ref="J1455">SUMPRODUCT(("T_B_c-ICEnga-S1"=[1]OUT_TransportEnergyCons!$A$3:$A$1000)*1,("var_fout"=[1]OUT_TransportEnergyCons!$B$3:$B$1000)*1,ISNUMBER(SEARCH("TPBSc",[1]OUT_TransportEnergyCons!$C$3:$C$1000))*1,[1]OUT_TransportEnergyCons!H$3:H$1000)</f>
        <v>0</v>
      </c>
      <c r="K1455" s="1" cm="1">
        <f t="array" ref="K1455">SUMPRODUCT(("T_B_c-ICEnga-S1"=[1]OUT_TransportEnergyCons!$A$3:$A$1000)*1,("var_fout"=[1]OUT_TransportEnergyCons!$B$3:$B$1000)*1,ISNUMBER(SEARCH("TPBSc",[1]OUT_TransportEnergyCons!$C$3:$C$1000))*1,[1]OUT_TransportEnergyCons!I$3:I$1000)</f>
        <v>0</v>
      </c>
      <c r="L1455" s="1" cm="1">
        <f t="array" ref="L1455">SUMPRODUCT(("T_B_c-ICEnga-S1"=[1]OUT_TransportEnergyCons!$A$3:$A$1000)*1,("var_fout"=[1]OUT_TransportEnergyCons!$B$3:$B$1000)*1,ISNUMBER(SEARCH("TPBSc",[1]OUT_TransportEnergyCons!$C$3:$C$1000))*1,[1]OUT_TransportEnergyCons!J$3:J$1000)</f>
        <v>2.2129816376232502E-4</v>
      </c>
      <c r="M1455" s="1" cm="1">
        <f t="array" ref="M1455">SUMPRODUCT(("T_B_c-ICEnga-S1"=[1]OUT_TransportEnergyCons!$A$3:$A$1000)*1,("var_fout"=[1]OUT_TransportEnergyCons!$B$3:$B$1000)*1,ISNUMBER(SEARCH("TPBSc",[1]OUT_TransportEnergyCons!$C$3:$C$1000))*1,[1]OUT_TransportEnergyCons!K$3:K$1000)</f>
        <v>2.2144620273324925E-4</v>
      </c>
      <c r="N1455" s="1" cm="1">
        <f t="array" ref="N1455">SUMPRODUCT(("T_B_c-ICEnga-S1"=[1]OUT_TransportEnergyCons!$A$3:$A$1000)*1,("var_fout"=[1]OUT_TransportEnergyCons!$B$3:$B$1000)*1,ISNUMBER(SEARCH("TPBSc",[1]OUT_TransportEnergyCons!$C$3:$C$1000))*1,[1]OUT_TransportEnergyCons!L$3:L$1000)</f>
        <v>0</v>
      </c>
      <c r="O1455" s="1" cm="1">
        <f t="array" ref="O1455">SUMPRODUCT(("T_B_c-ICEnga-S1"=[1]OUT_TransportEnergyCons!$A$3:$A$1000)*1,("var_fout"=[1]OUT_TransportEnergyCons!$B$3:$B$1000)*1,ISNUMBER(SEARCH("TPBSc",[1]OUT_TransportEnergyCons!$C$3:$C$1000))*1,[1]OUT_TransportEnergyCons!M$3:M$1000)</f>
        <v>0</v>
      </c>
      <c r="P1455" s="1" cm="1">
        <f t="array" ref="P1455">SUMPRODUCT(("T_B_c-ICEnga-S1"=[1]OUT_TransportEnergyCons!$A$3:$A$1000)*1,("var_fout"=[1]OUT_TransportEnergyCons!$B$3:$B$1000)*1,ISNUMBER(SEARCH("TPBSc",[1]OUT_TransportEnergyCons!$C$3:$C$1000))*1,[1]OUT_TransportEnergyCons!N$3:N$1000)</f>
        <v>0</v>
      </c>
      <c r="Q1455" s="1" cm="1">
        <f t="array" ref="Q1455">SUMPRODUCT(("T_B_c-ICEnga-S1"=[1]OUT_TransportEnergyCons!$A$3:$A$1000)*1,("var_fout"=[1]OUT_TransportEnergyCons!$B$3:$B$1000)*1,ISNUMBER(SEARCH("TPBSc",[1]OUT_TransportEnergyCons!$C$3:$C$1000))*1,[1]OUT_TransportEnergyCons!O$3:O$1000)</f>
        <v>0</v>
      </c>
      <c r="S1455" s="3"/>
    </row>
    <row r="1456" spans="2:19" x14ac:dyDescent="0.5">
      <c r="B1456" s="5" t="str">
        <f t="shared" si="1609"/>
        <v>SPS1</v>
      </c>
      <c r="C1456" s="5" t="str">
        <f t="shared" si="1610"/>
        <v>CH</v>
      </c>
      <c r="D1456" t="s">
        <v>1446</v>
      </c>
      <c r="E1456" t="str">
        <f t="shared" si="1611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2.3960411490291025E-6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1.3307097385660107E-5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SUMPRODUCT(("T_B_c-ICEnga-S2"=[1]OUT_TransportEnergyCons!$A$3:$A$1000)*1,("var_fout"=[1]OUT_TransportEnergyCons!$B$3:$B$1000)*1,ISNUMBER(SEARCH("TPBSc",[1]OUT_TransportEnergyCons!$C$3:$C$1000))*1,[1]OUT_TransportEnergyCons!H$3:H$1000)</f>
        <v>0</v>
      </c>
      <c r="K1456" s="1" cm="1">
        <f t="array" ref="K1456">SUMPRODUCT(("T_B_c-ICEnga-S2"=[1]OUT_TransportEnergyCons!$A$3:$A$1000)*1,("var_fout"=[1]OUT_TransportEnergyCons!$B$3:$B$1000)*1,ISNUMBER(SEARCH("TPBSc",[1]OUT_TransportEnergyCons!$C$3:$C$1000))*1,[1]OUT_TransportEnergyCons!I$3:I$1000)</f>
        <v>0</v>
      </c>
      <c r="L1456" s="1" cm="1">
        <f t="array" ref="L1456">SUMPRODUCT(("T_B_c-ICEnga-S2"=[1]OUT_TransportEnergyCons!$A$3:$A$1000)*1,("var_fout"=[1]OUT_TransportEnergyCons!$B$3:$B$1000)*1,ISNUMBER(SEARCH("TPBSc",[1]OUT_TransportEnergyCons!$C$3:$C$1000))*1,[1]OUT_TransportEnergyCons!J$3:J$1000)</f>
        <v>1.4517060226778169E-7</v>
      </c>
      <c r="M1456" s="1" cm="1">
        <f t="array" ref="M1456">SUMPRODUCT(("T_B_c-ICEnga-S2"=[1]OUT_TransportEnergyCons!$A$3:$A$1000)*1,("var_fout"=[1]OUT_TransportEnergyCons!$B$3:$B$1000)*1,ISNUMBER(SEARCH("TPBSc",[1]OUT_TransportEnergyCons!$C$3:$C$1000))*1,[1]OUT_TransportEnergyCons!K$3:K$1000)</f>
        <v>2.0293555949884012E-7</v>
      </c>
      <c r="N1456" s="1" cm="1">
        <f t="array" ref="N1456">SUMPRODUCT(("T_B_c-ICEnga-S2"=[1]OUT_TransportEnergyCons!$A$3:$A$1000)*1,("var_fout"=[1]OUT_TransportEnergyCons!$B$3:$B$1000)*1,ISNUMBER(SEARCH("TPBSc",[1]OUT_TransportEnergyCons!$C$3:$C$1000))*1,[1]OUT_TransportEnergyCons!L$3:L$1000)</f>
        <v>0</v>
      </c>
      <c r="O1456" s="1" cm="1">
        <f t="array" ref="O1456">SUMPRODUCT(("T_B_c-ICEnga-S2"=[1]OUT_TransportEnergyCons!$A$3:$A$1000)*1,("var_fout"=[1]OUT_TransportEnergyCons!$B$3:$B$1000)*1,ISNUMBER(SEARCH("TPBSc",[1]OUT_TransportEnergyCons!$C$3:$C$1000))*1,[1]OUT_TransportEnergyCons!M$3:M$1000)</f>
        <v>0</v>
      </c>
      <c r="P1456" s="1" cm="1">
        <f t="array" ref="P1456">SUMPRODUCT(("T_B_c-ICEnga-S2"=[1]OUT_TransportEnergyCons!$A$3:$A$1000)*1,("var_fout"=[1]OUT_TransportEnergyCons!$B$3:$B$1000)*1,ISNUMBER(SEARCH("TPBSc",[1]OUT_TransportEnergyCons!$C$3:$C$1000))*1,[1]OUT_TransportEnergyCons!N$3:N$1000)</f>
        <v>0</v>
      </c>
      <c r="Q1456" s="1" cm="1">
        <f t="array" ref="Q1456">SUMPRODUCT(("T_B_c-ICEnga-S2"=[1]OUT_TransportEnergyCons!$A$3:$A$1000)*1,("var_fout"=[1]OUT_TransportEnergyCons!$B$3:$B$1000)*1,ISNUMBER(SEARCH("TPBSc",[1]OUT_TransportEnergyCons!$C$3:$C$1000))*1,[1]OUT_TransportEnergyCons!O$3:O$1000)</f>
        <v>0</v>
      </c>
      <c r="S1456" s="3"/>
    </row>
    <row r="1457" spans="2:19" x14ac:dyDescent="0.5">
      <c r="B1457" s="5" t="str">
        <f t="shared" si="1609"/>
        <v>SPS1</v>
      </c>
      <c r="C1457" s="5" t="str">
        <f t="shared" si="1610"/>
        <v>CH</v>
      </c>
      <c r="D1457" t="s">
        <v>1447</v>
      </c>
      <c r="E1457" t="str">
        <f t="shared" si="1611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1.081077691680985E-6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5.4184494936978191E-6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SUMPRODUCT(("T_B_c-ICEnga-S3"=[1]OUT_TransportEnergyCons!$A$3:$A$1000)*1,("var_fout"=[1]OUT_TransportEnergyCons!$B$3:$B$1000)*1,ISNUMBER(SEARCH("TPBSc",[1]OUT_TransportEnergyCons!$C$3:$C$1000))*1,[1]OUT_TransportEnergyCons!H$3:H$1000)</f>
        <v>0</v>
      </c>
      <c r="K1457" s="1" cm="1">
        <f t="array" ref="K1457">SUMPRODUCT(("T_B_c-ICEnga-S3"=[1]OUT_TransportEnergyCons!$A$3:$A$1000)*1,("var_fout"=[1]OUT_TransportEnergyCons!$B$3:$B$1000)*1,ISNUMBER(SEARCH("TPBSc",[1]OUT_TransportEnergyCons!$C$3:$C$1000))*1,[1]OUT_TransportEnergyCons!I$3:I$1000)</f>
        <v>0</v>
      </c>
      <c r="L1457" s="1" cm="1">
        <f t="array" ref="L1457">SUMPRODUCT(("T_B_c-ICEnga-S3"=[1]OUT_TransportEnergyCons!$A$3:$A$1000)*1,("var_fout"=[1]OUT_TransportEnergyCons!$B$3:$B$1000)*1,ISNUMBER(SEARCH("TPBSc",[1]OUT_TransportEnergyCons!$C$3:$C$1000))*1,[1]OUT_TransportEnergyCons!J$3:J$1000)</f>
        <v>0</v>
      </c>
      <c r="M1457" s="1" cm="1">
        <f t="array" ref="M1457">SUMPRODUCT(("T_B_c-ICEnga-S3"=[1]OUT_TransportEnergyCons!$A$3:$A$1000)*1,("var_fout"=[1]OUT_TransportEnergyCons!$B$3:$B$1000)*1,ISNUMBER(SEARCH("TPBSc",[1]OUT_TransportEnergyCons!$C$3:$C$1000))*1,[1]OUT_TransportEnergyCons!K$3:K$1000)</f>
        <v>0</v>
      </c>
      <c r="N1457" s="1" cm="1">
        <f t="array" ref="N1457">SUMPRODUCT(("T_B_c-ICEnga-S3"=[1]OUT_TransportEnergyCons!$A$3:$A$1000)*1,("var_fout"=[1]OUT_TransportEnergyCons!$B$3:$B$1000)*1,ISNUMBER(SEARCH("TPBSc",[1]OUT_TransportEnergyCons!$C$3:$C$1000))*1,[1]OUT_TransportEnergyCons!L$3:L$1000)</f>
        <v>0</v>
      </c>
      <c r="O1457" s="1" cm="1">
        <f t="array" ref="O1457">SUMPRODUCT(("T_B_c-ICEnga-S3"=[1]OUT_TransportEnergyCons!$A$3:$A$1000)*1,("var_fout"=[1]OUT_TransportEnergyCons!$B$3:$B$1000)*1,ISNUMBER(SEARCH("TPBSc",[1]OUT_TransportEnergyCons!$C$3:$C$1000))*1,[1]OUT_TransportEnergyCons!M$3:M$1000)</f>
        <v>0</v>
      </c>
      <c r="P1457" s="1" cm="1">
        <f t="array" ref="P1457">SUMPRODUCT(("T_B_c-ICEnga-S3"=[1]OUT_TransportEnergyCons!$A$3:$A$1000)*1,("var_fout"=[1]OUT_TransportEnergyCons!$B$3:$B$1000)*1,ISNUMBER(SEARCH("TPBSc",[1]OUT_TransportEnergyCons!$C$3:$C$1000))*1,[1]OUT_TransportEnergyCons!N$3:N$1000)</f>
        <v>0</v>
      </c>
      <c r="Q1457" s="1" cm="1">
        <f t="array" ref="Q1457">SUMPRODUCT(("T_B_c-ICEnga-S3"=[1]OUT_TransportEnergyCons!$A$3:$A$1000)*1,("var_fout"=[1]OUT_TransportEnergyCons!$B$3:$B$1000)*1,ISNUMBER(SEARCH("TPBSc",[1]OUT_TransportEnergyCons!$C$3:$C$1000))*1,[1]OUT_TransportEnergyCons!O$3:O$1000)</f>
        <v>0</v>
      </c>
      <c r="S1457" s="3"/>
    </row>
    <row r="1458" spans="2:19" x14ac:dyDescent="0.5">
      <c r="B1458" s="5" t="str">
        <f t="shared" si="1609"/>
        <v>SPS1</v>
      </c>
      <c r="C1458" s="5" t="str">
        <f t="shared" si="1610"/>
        <v>CH</v>
      </c>
      <c r="D1458" t="s">
        <v>1448</v>
      </c>
      <c r="E1458" t="str">
        <f t="shared" si="1611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0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2.0064586217885761E-7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SUMPRODUCT(("T_B_c-ICEnga-S4"=[1]OUT_TransportEnergyCons!$A$3:$A$1000)*1,("var_fout"=[1]OUT_TransportEnergyCons!$B$3:$B$1000)*1,ISNUMBER(SEARCH("TPBSc",[1]OUT_TransportEnergyCons!$C$3:$C$1000))*1,[1]OUT_TransportEnergyCons!H$3:H$1000)</f>
        <v>0</v>
      </c>
      <c r="K1458" s="1" cm="1">
        <f t="array" ref="K1458">SUMPRODUCT(("T_B_c-ICEnga-S4"=[1]OUT_TransportEnergyCons!$A$3:$A$1000)*1,("var_fout"=[1]OUT_TransportEnergyCons!$B$3:$B$1000)*1,ISNUMBER(SEARCH("TPBSc",[1]OUT_TransportEnergyCons!$C$3:$C$1000))*1,[1]OUT_TransportEnergyCons!I$3:I$1000)</f>
        <v>0</v>
      </c>
      <c r="L1458" s="1" cm="1">
        <f t="array" ref="L1458">SUMPRODUCT(("T_B_c-ICEnga-S4"=[1]OUT_TransportEnergyCons!$A$3:$A$1000)*1,("var_fout"=[1]OUT_TransportEnergyCons!$B$3:$B$1000)*1,ISNUMBER(SEARCH("TPBSc",[1]OUT_TransportEnergyCons!$C$3:$C$1000))*1,[1]OUT_TransportEnergyCons!J$3:J$1000)</f>
        <v>0</v>
      </c>
      <c r="M1458" s="1" cm="1">
        <f t="array" ref="M1458">SUMPRODUCT(("T_B_c-ICEnga-S4"=[1]OUT_TransportEnergyCons!$A$3:$A$1000)*1,("var_fout"=[1]OUT_TransportEnergyCons!$B$3:$B$1000)*1,ISNUMBER(SEARCH("TPBSc",[1]OUT_TransportEnergyCons!$C$3:$C$1000))*1,[1]OUT_TransportEnergyCons!K$3:K$1000)</f>
        <v>0</v>
      </c>
      <c r="N1458" s="1" cm="1">
        <f t="array" ref="N1458">SUMPRODUCT(("T_B_c-ICEnga-S4"=[1]OUT_TransportEnergyCons!$A$3:$A$1000)*1,("var_fout"=[1]OUT_TransportEnergyCons!$B$3:$B$1000)*1,ISNUMBER(SEARCH("TPBSc",[1]OUT_TransportEnergyCons!$C$3:$C$1000))*1,[1]OUT_TransportEnergyCons!L$3:L$1000)</f>
        <v>0</v>
      </c>
      <c r="O1458" s="1" cm="1">
        <f t="array" ref="O1458">SUMPRODUCT(("T_B_c-ICEnga-S4"=[1]OUT_TransportEnergyCons!$A$3:$A$1000)*1,("var_fout"=[1]OUT_TransportEnergyCons!$B$3:$B$1000)*1,ISNUMBER(SEARCH("TPBSc",[1]OUT_TransportEnergyCons!$C$3:$C$1000))*1,[1]OUT_TransportEnergyCons!M$3:M$1000)</f>
        <v>0</v>
      </c>
      <c r="P1458" s="1" cm="1">
        <f t="array" ref="P1458">SUMPRODUCT(("T_B_c-ICEnga-S4"=[1]OUT_TransportEnergyCons!$A$3:$A$1000)*1,("var_fout"=[1]OUT_TransportEnergyCons!$B$3:$B$1000)*1,ISNUMBER(SEARCH("TPBSc",[1]OUT_TransportEnergyCons!$C$3:$C$1000))*1,[1]OUT_TransportEnergyCons!N$3:N$1000)</f>
        <v>0</v>
      </c>
      <c r="Q1458" s="1" cm="1">
        <f t="array" ref="Q1458">SUMPRODUCT(("T_B_c-ICEnga-S4"=[1]OUT_TransportEnergyCons!$A$3:$A$1000)*1,("var_fout"=[1]OUT_TransportEnergyCons!$B$3:$B$1000)*1,ISNUMBER(SEARCH("TPBSc",[1]OUT_TransportEnergyCons!$C$3:$C$1000))*1,[1]OUT_TransportEnergyCons!O$3:O$1000)</f>
        <v>0</v>
      </c>
      <c r="S1458" s="3"/>
    </row>
    <row r="1459" spans="2:19" x14ac:dyDescent="0.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19" t="s">
        <v>292</v>
      </c>
      <c r="G1459" s="19" t="s">
        <v>292</v>
      </c>
      <c r="H1459" s="19" t="s">
        <v>292</v>
      </c>
      <c r="I1459" s="19" t="s">
        <v>292</v>
      </c>
      <c r="J1459" s="19" t="s">
        <v>292</v>
      </c>
      <c r="K1459" s="19" t="s">
        <v>292</v>
      </c>
      <c r="L1459" s="19" t="s">
        <v>292</v>
      </c>
      <c r="M1459" s="19" t="s">
        <v>292</v>
      </c>
      <c r="N1459" s="19" t="s">
        <v>292</v>
      </c>
      <c r="O1459" s="19" t="s">
        <v>292</v>
      </c>
      <c r="P1459" s="19" t="s">
        <v>292</v>
      </c>
      <c r="Q1459" s="19" t="s">
        <v>292</v>
      </c>
      <c r="S1459" s="3"/>
    </row>
    <row r="1460" spans="2:19" x14ac:dyDescent="0.5">
      <c r="B1460" s="5" t="str">
        <f t="shared" ref="B1460:B1482" si="1612">B1459</f>
        <v>SPS1</v>
      </c>
      <c r="C1460" s="5" t="str">
        <f t="shared" ref="C1460:C1482" si="1613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614">IFERROR(G1436/G1401,"-")</f>
        <v>-</v>
      </c>
      <c r="H1460" s="1" t="str">
        <f t="shared" si="1614"/>
        <v>-</v>
      </c>
      <c r="I1460" s="1" t="str">
        <f t="shared" si="1614"/>
        <v>-</v>
      </c>
      <c r="J1460" s="1" t="str">
        <f t="shared" si="1614"/>
        <v>-</v>
      </c>
      <c r="K1460" s="1" t="str">
        <f t="shared" si="1614"/>
        <v>-</v>
      </c>
      <c r="L1460" s="1" t="str">
        <f t="shared" ref="L1460:O1460" si="1615">IFERROR(L1436/L1401,"-")</f>
        <v>-</v>
      </c>
      <c r="M1460" s="1" t="str">
        <f t="shared" si="1615"/>
        <v>-</v>
      </c>
      <c r="N1460" s="1" t="str">
        <f t="shared" si="1615"/>
        <v>-</v>
      </c>
      <c r="O1460" s="1" t="str">
        <f t="shared" si="1615"/>
        <v>-</v>
      </c>
      <c r="P1460" s="1" t="str">
        <f t="shared" ref="P1460:Q1464" si="1616">IFERROR(P1436/P1401,"-")</f>
        <v>-</v>
      </c>
      <c r="Q1460" s="1" t="str">
        <f t="shared" si="1616"/>
        <v>-</v>
      </c>
      <c r="S1460" s="3"/>
    </row>
    <row r="1461" spans="2:19" x14ac:dyDescent="0.5">
      <c r="B1461" s="5" t="str">
        <f t="shared" si="1612"/>
        <v>SPS1</v>
      </c>
      <c r="C1461" s="5" t="str">
        <f t="shared" si="1613"/>
        <v>CH</v>
      </c>
      <c r="D1461" t="s">
        <v>1450</v>
      </c>
      <c r="E1461" t="s">
        <v>1229</v>
      </c>
      <c r="F1461" s="1">
        <f t="shared" ref="F1461:K1461" si="1617">IFERROR(F1437/F1402,"-")</f>
        <v>0.37869321701871794</v>
      </c>
      <c r="G1461" s="1">
        <f t="shared" si="1617"/>
        <v>0.38401459832442075</v>
      </c>
      <c r="H1461" s="1">
        <f t="shared" si="1617"/>
        <v>0.39184887949686092</v>
      </c>
      <c r="I1461" s="1">
        <f t="shared" si="1617"/>
        <v>0.44734145348586457</v>
      </c>
      <c r="J1461" s="1">
        <f t="shared" si="1617"/>
        <v>0.4709099394609374</v>
      </c>
      <c r="K1461" s="1">
        <f t="shared" si="1617"/>
        <v>0.47125622267544603</v>
      </c>
      <c r="L1461" s="1">
        <f t="shared" ref="L1461:O1461" si="1618">IFERROR(L1437/L1402,"-")</f>
        <v>0.49280577052140756</v>
      </c>
      <c r="M1461" s="1">
        <f t="shared" si="1618"/>
        <v>0.53066618841807178</v>
      </c>
      <c r="N1461" s="1">
        <f t="shared" si="1618"/>
        <v>0.53727524350662692</v>
      </c>
      <c r="O1461" s="1">
        <f t="shared" si="1618"/>
        <v>0.54235716283703539</v>
      </c>
      <c r="P1461" s="1">
        <f t="shared" si="1616"/>
        <v>0.5423571628370355</v>
      </c>
      <c r="Q1461" s="1">
        <f t="shared" si="1616"/>
        <v>0.54235716283703406</v>
      </c>
      <c r="S1461" s="3"/>
    </row>
    <row r="1462" spans="2:19" x14ac:dyDescent="0.5">
      <c r="B1462" s="5" t="str">
        <f t="shared" si="1612"/>
        <v>SPS1</v>
      </c>
      <c r="C1462" s="5" t="str">
        <f t="shared" si="1613"/>
        <v>CH</v>
      </c>
      <c r="D1462" t="s">
        <v>1451</v>
      </c>
      <c r="E1462" t="s">
        <v>1229</v>
      </c>
      <c r="F1462" s="1">
        <f t="shared" ref="F1462:K1462" si="1619">IFERROR(F1438/F1403,"-")</f>
        <v>0.27518070496490682</v>
      </c>
      <c r="G1462" s="1">
        <f t="shared" si="1619"/>
        <v>0.27933620808152765</v>
      </c>
      <c r="H1462" s="1">
        <f t="shared" si="1619"/>
        <v>0.28125651164595494</v>
      </c>
      <c r="I1462" s="1">
        <f t="shared" si="1619"/>
        <v>0.32434249111226254</v>
      </c>
      <c r="J1462" s="1">
        <f t="shared" si="1619"/>
        <v>0.32558144248645782</v>
      </c>
      <c r="K1462" s="1">
        <f t="shared" si="1619"/>
        <v>0.34994203367783305</v>
      </c>
      <c r="L1462" s="1">
        <f t="shared" ref="L1462:O1462" si="1620">IFERROR(L1438/L1403,"-")</f>
        <v>0.36148395568351382</v>
      </c>
      <c r="M1462" s="1">
        <f t="shared" si="1620"/>
        <v>0.37948475323067721</v>
      </c>
      <c r="N1462" s="1">
        <f t="shared" si="1620"/>
        <v>0.39062724598411103</v>
      </c>
      <c r="O1462" s="1">
        <f t="shared" si="1620"/>
        <v>0.39241606511730998</v>
      </c>
      <c r="P1462" s="1">
        <f t="shared" si="1616"/>
        <v>0.39241606511730998</v>
      </c>
      <c r="Q1462" s="1">
        <f t="shared" si="1616"/>
        <v>0.39241606511731009</v>
      </c>
      <c r="S1462" s="3"/>
    </row>
    <row r="1463" spans="2:19" x14ac:dyDescent="0.5">
      <c r="B1463" s="5" t="str">
        <f t="shared" si="1612"/>
        <v>SPS1</v>
      </c>
      <c r="C1463" s="5" t="str">
        <f t="shared" si="1613"/>
        <v>CH</v>
      </c>
      <c r="D1463" t="s">
        <v>1452</v>
      </c>
      <c r="E1463" t="s">
        <v>1229</v>
      </c>
      <c r="F1463" s="1">
        <f t="shared" ref="F1463:K1463" si="1621">IFERROR(F1439/F1404,"-")</f>
        <v>0.18297040713439905</v>
      </c>
      <c r="G1463" s="1">
        <f t="shared" si="1621"/>
        <v>0.18362989716764899</v>
      </c>
      <c r="H1463" s="1">
        <f t="shared" si="1621"/>
        <v>0.18548167596532977</v>
      </c>
      <c r="I1463" s="1">
        <f t="shared" si="1621"/>
        <v>0.21595533290354482</v>
      </c>
      <c r="J1463" s="1">
        <f t="shared" si="1621"/>
        <v>0.2184586117413535</v>
      </c>
      <c r="K1463" s="1">
        <f t="shared" si="1621"/>
        <v>0.23643450939205612</v>
      </c>
      <c r="L1463" s="1">
        <f t="shared" ref="L1463:O1463" si="1622">IFERROR(L1439/L1404,"-")</f>
        <v>0.24200046350904211</v>
      </c>
      <c r="M1463" s="1">
        <f t="shared" si="1622"/>
        <v>0.25851963994985871</v>
      </c>
      <c r="N1463" s="1">
        <f t="shared" si="1622"/>
        <v>0.26159685319745085</v>
      </c>
      <c r="O1463" s="1">
        <f t="shared" si="1622"/>
        <v>0.26214281836713782</v>
      </c>
      <c r="P1463" s="1">
        <f t="shared" si="1616"/>
        <v>0.26214281836713765</v>
      </c>
      <c r="Q1463" s="1">
        <f t="shared" si="1616"/>
        <v>0.26214281836713804</v>
      </c>
      <c r="S1463" s="3"/>
    </row>
    <row r="1464" spans="2:19" x14ac:dyDescent="0.5">
      <c r="B1464" s="5" t="str">
        <f t="shared" si="1612"/>
        <v>SPS1</v>
      </c>
      <c r="C1464" s="5" t="str">
        <f t="shared" si="1613"/>
        <v>CH</v>
      </c>
      <c r="D1464" t="s">
        <v>1453</v>
      </c>
      <c r="E1464" t="s">
        <v>1229</v>
      </c>
      <c r="F1464" s="1" t="str">
        <f t="shared" ref="F1464:K1464" si="1623">IFERROR(F1440/F1405,"-")</f>
        <v>-</v>
      </c>
      <c r="G1464" s="1">
        <f t="shared" si="1623"/>
        <v>0.12643429100140427</v>
      </c>
      <c r="H1464" s="1">
        <f t="shared" si="1623"/>
        <v>0.12955665969551336</v>
      </c>
      <c r="I1464" s="1">
        <f t="shared" si="1623"/>
        <v>0.14422302917473703</v>
      </c>
      <c r="J1464" s="1">
        <f t="shared" si="1623"/>
        <v>0.15203630835067847</v>
      </c>
      <c r="K1464" s="1">
        <f t="shared" si="1623"/>
        <v>0.15806231975398616</v>
      </c>
      <c r="L1464" s="1">
        <f t="shared" ref="L1464:O1464" si="1624">IFERROR(L1440/L1405,"-")</f>
        <v>0.16572605062346749</v>
      </c>
      <c r="M1464" s="1">
        <f t="shared" si="1624"/>
        <v>0.17293544884585343</v>
      </c>
      <c r="N1464" s="1">
        <f t="shared" si="1624"/>
        <v>0.17547614587850299</v>
      </c>
      <c r="O1464" s="1">
        <f t="shared" si="1624"/>
        <v>0.17547614587850316</v>
      </c>
      <c r="P1464" s="1">
        <f t="shared" si="1616"/>
        <v>0.17547614587850302</v>
      </c>
      <c r="Q1464" s="1">
        <f t="shared" si="1616"/>
        <v>0.17547614587850294</v>
      </c>
      <c r="S1464" s="3"/>
    </row>
    <row r="1465" spans="2:19" x14ac:dyDescent="0.5">
      <c r="B1465" s="5" t="str">
        <f t="shared" si="1612"/>
        <v>SPS1</v>
      </c>
      <c r="C1465" s="5" t="str">
        <f t="shared" si="1613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625">IFERROR(G1441/G1407,"-")</f>
        <v>-</v>
      </c>
      <c r="H1465" s="1" t="str">
        <f t="shared" si="1625"/>
        <v>-</v>
      </c>
      <c r="I1465" s="1" t="str">
        <f t="shared" si="1625"/>
        <v>-</v>
      </c>
      <c r="J1465" s="1" t="str">
        <f t="shared" si="1625"/>
        <v>-</v>
      </c>
      <c r="K1465" s="1" t="str">
        <f t="shared" si="1625"/>
        <v>-</v>
      </c>
      <c r="L1465" s="1" t="str">
        <f t="shared" ref="L1465:O1465" si="1626">IFERROR(L1441/L1407,"-")</f>
        <v>-</v>
      </c>
      <c r="M1465" s="1" t="str">
        <f t="shared" si="1626"/>
        <v>-</v>
      </c>
      <c r="N1465" s="1" t="str">
        <f t="shared" si="1626"/>
        <v>-</v>
      </c>
      <c r="O1465" s="1" t="str">
        <f t="shared" si="1626"/>
        <v>-</v>
      </c>
      <c r="P1465" s="1" t="str">
        <f t="shared" ref="P1465:Q1468" si="1627">IFERROR(P1441/P1407,"-")</f>
        <v>-</v>
      </c>
      <c r="Q1465" s="1" t="str">
        <f t="shared" si="1627"/>
        <v>-</v>
      </c>
      <c r="S1465" s="3"/>
    </row>
    <row r="1466" spans="2:19" x14ac:dyDescent="0.5">
      <c r="B1466" s="5" t="str">
        <f t="shared" si="1612"/>
        <v>SPS1</v>
      </c>
      <c r="C1466" s="5" t="str">
        <f t="shared" si="1613"/>
        <v>CH</v>
      </c>
      <c r="D1466" t="s">
        <v>1455</v>
      </c>
      <c r="E1466" t="s">
        <v>1229</v>
      </c>
      <c r="F1466" s="1" t="str">
        <f t="shared" ref="F1466:K1466" si="1628">IFERROR(F1442/F1408,"-")</f>
        <v>-</v>
      </c>
      <c r="G1466" s="1" t="str">
        <f t="shared" si="1628"/>
        <v>-</v>
      </c>
      <c r="H1466" s="1" t="str">
        <f t="shared" si="1628"/>
        <v>-</v>
      </c>
      <c r="I1466" s="1" t="str">
        <f t="shared" si="1628"/>
        <v>-</v>
      </c>
      <c r="J1466" s="1" t="str">
        <f t="shared" si="1628"/>
        <v>-</v>
      </c>
      <c r="K1466" s="1" t="str">
        <f t="shared" si="1628"/>
        <v>-</v>
      </c>
      <c r="L1466" s="1" t="str">
        <f t="shared" ref="L1466:O1466" si="1629">IFERROR(L1442/L1408,"-")</f>
        <v>-</v>
      </c>
      <c r="M1466" s="1" t="str">
        <f t="shared" si="1629"/>
        <v>-</v>
      </c>
      <c r="N1466" s="1" t="str">
        <f t="shared" si="1629"/>
        <v>-</v>
      </c>
      <c r="O1466" s="1" t="str">
        <f t="shared" si="1629"/>
        <v>-</v>
      </c>
      <c r="P1466" s="1" t="str">
        <f t="shared" si="1627"/>
        <v>-</v>
      </c>
      <c r="Q1466" s="1" t="str">
        <f t="shared" si="1627"/>
        <v>-</v>
      </c>
      <c r="S1466" s="3"/>
    </row>
    <row r="1467" spans="2:19" x14ac:dyDescent="0.5">
      <c r="B1467" s="5" t="str">
        <f t="shared" si="1612"/>
        <v>SPS1</v>
      </c>
      <c r="C1467" s="5" t="str">
        <f t="shared" si="1613"/>
        <v>CH</v>
      </c>
      <c r="D1467" t="s">
        <v>1456</v>
      </c>
      <c r="E1467" t="s">
        <v>1229</v>
      </c>
      <c r="F1467" s="1" t="str">
        <f t="shared" ref="F1467:K1467" si="1630">IFERROR(F1443/F1409,"-")</f>
        <v>-</v>
      </c>
      <c r="G1467" s="1" t="str">
        <f t="shared" si="1630"/>
        <v>-</v>
      </c>
      <c r="H1467" s="1" t="str">
        <f t="shared" si="1630"/>
        <v>-</v>
      </c>
      <c r="I1467" s="1" t="str">
        <f t="shared" si="1630"/>
        <v>-</v>
      </c>
      <c r="J1467" s="1" t="str">
        <f t="shared" si="1630"/>
        <v>-</v>
      </c>
      <c r="K1467" s="1" t="str">
        <f t="shared" si="1630"/>
        <v>-</v>
      </c>
      <c r="L1467" s="1" t="str">
        <f t="shared" ref="L1467:O1467" si="1631">IFERROR(L1443/L1409,"-")</f>
        <v>-</v>
      </c>
      <c r="M1467" s="1" t="str">
        <f t="shared" si="1631"/>
        <v>-</v>
      </c>
      <c r="N1467" s="1" t="str">
        <f t="shared" si="1631"/>
        <v>-</v>
      </c>
      <c r="O1467" s="1" t="str">
        <f t="shared" si="1631"/>
        <v>-</v>
      </c>
      <c r="P1467" s="1" t="str">
        <f t="shared" si="1627"/>
        <v>-</v>
      </c>
      <c r="Q1467" s="1" t="str">
        <f t="shared" si="1627"/>
        <v>-</v>
      </c>
      <c r="S1467" s="3"/>
    </row>
    <row r="1468" spans="2:19" x14ac:dyDescent="0.5">
      <c r="B1468" s="5" t="str">
        <f t="shared" si="1612"/>
        <v>SPS1</v>
      </c>
      <c r="C1468" s="5" t="str">
        <f t="shared" si="1613"/>
        <v>CH</v>
      </c>
      <c r="D1468" t="s">
        <v>1457</v>
      </c>
      <c r="E1468" t="s">
        <v>1229</v>
      </c>
      <c r="F1468" s="1" t="str">
        <f t="shared" ref="F1468:K1468" si="1632">IFERROR(F1444/F1410,"-")</f>
        <v>-</v>
      </c>
      <c r="G1468" s="1" t="str">
        <f t="shared" si="1632"/>
        <v>-</v>
      </c>
      <c r="H1468" s="1" t="str">
        <f t="shared" si="1632"/>
        <v>-</v>
      </c>
      <c r="I1468" s="1" t="str">
        <f t="shared" si="1632"/>
        <v>-</v>
      </c>
      <c r="J1468" s="1" t="str">
        <f t="shared" si="1632"/>
        <v>-</v>
      </c>
      <c r="K1468" s="1" t="str">
        <f t="shared" si="1632"/>
        <v>-</v>
      </c>
      <c r="L1468" s="1" t="str">
        <f t="shared" ref="L1468:O1468" si="1633">IFERROR(L1444/L1410,"-")</f>
        <v>-</v>
      </c>
      <c r="M1468" s="1" t="str">
        <f t="shared" si="1633"/>
        <v>-</v>
      </c>
      <c r="N1468" s="1" t="str">
        <f t="shared" si="1633"/>
        <v>-</v>
      </c>
      <c r="O1468" s="1" t="str">
        <f t="shared" si="1633"/>
        <v>-</v>
      </c>
      <c r="P1468" s="1" t="str">
        <f t="shared" si="1627"/>
        <v>-</v>
      </c>
      <c r="Q1468" s="1" t="str">
        <f t="shared" si="1627"/>
        <v>-</v>
      </c>
      <c r="S1468" s="3"/>
    </row>
    <row r="1469" spans="2:19" x14ac:dyDescent="0.5">
      <c r="B1469" s="5" t="str">
        <f t="shared" si="1612"/>
        <v>SPS1</v>
      </c>
      <c r="C1469" s="5" t="str">
        <f t="shared" si="1613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634">IFERROR(G1445/G1416,"-")</f>
        <v>0.16251369968883847</v>
      </c>
      <c r="H1469" s="1">
        <f t="shared" si="1634"/>
        <v>0.16364664082425159</v>
      </c>
      <c r="I1469" s="1" t="str">
        <f t="shared" si="1634"/>
        <v>-</v>
      </c>
      <c r="J1469" s="1" t="str">
        <f t="shared" si="1634"/>
        <v>-</v>
      </c>
      <c r="K1469" s="1" t="str">
        <f t="shared" si="1634"/>
        <v>-</v>
      </c>
      <c r="L1469" s="1">
        <f t="shared" ref="L1469:O1469" si="1635">IFERROR(L1445/L1416,"-")</f>
        <v>0.21479064195617406</v>
      </c>
      <c r="M1469" s="1">
        <f t="shared" si="1635"/>
        <v>0.21479064195617403</v>
      </c>
      <c r="N1469" s="1" t="str">
        <f t="shared" si="1635"/>
        <v>-</v>
      </c>
      <c r="O1469" s="1" t="str">
        <f t="shared" si="1635"/>
        <v>-</v>
      </c>
      <c r="P1469" s="1" t="str">
        <f t="shared" ref="P1469:Q1477" si="1636">IFERROR(P1445/P1416,"-")</f>
        <v>-</v>
      </c>
      <c r="Q1469" s="1" t="str">
        <f t="shared" si="1636"/>
        <v>-</v>
      </c>
      <c r="S1469" s="3"/>
    </row>
    <row r="1470" spans="2:19" x14ac:dyDescent="0.5">
      <c r="B1470" s="5" t="str">
        <f t="shared" si="1612"/>
        <v>SPS1</v>
      </c>
      <c r="C1470" s="5" t="str">
        <f t="shared" si="1613"/>
        <v>CH</v>
      </c>
      <c r="D1470" t="s">
        <v>1459</v>
      </c>
      <c r="E1470" t="s">
        <v>1229</v>
      </c>
      <c r="F1470" s="1" t="str">
        <f t="shared" ref="F1470:K1470" si="1637">IFERROR(F1446/F1417,"-")</f>
        <v>-</v>
      </c>
      <c r="G1470" s="1">
        <f t="shared" si="1637"/>
        <v>0.11649393435744143</v>
      </c>
      <c r="H1470" s="1">
        <f t="shared" si="1637"/>
        <v>0.11928163846137271</v>
      </c>
      <c r="I1470" s="1" t="str">
        <f t="shared" si="1637"/>
        <v>-</v>
      </c>
      <c r="J1470" s="1" t="str">
        <f t="shared" si="1637"/>
        <v>-</v>
      </c>
      <c r="K1470" s="1" t="str">
        <f t="shared" si="1637"/>
        <v>-</v>
      </c>
      <c r="L1470" s="1" t="str">
        <f t="shared" ref="L1470:O1470" si="1638">IFERROR(L1446/L1417,"-")</f>
        <v>-</v>
      </c>
      <c r="M1470" s="1" t="str">
        <f t="shared" si="1638"/>
        <v>-</v>
      </c>
      <c r="N1470" s="1" t="str">
        <f t="shared" si="1638"/>
        <v>-</v>
      </c>
      <c r="O1470" s="1" t="str">
        <f t="shared" si="1638"/>
        <v>-</v>
      </c>
      <c r="P1470" s="1" t="str">
        <f t="shared" si="1636"/>
        <v>-</v>
      </c>
      <c r="Q1470" s="1" t="str">
        <f t="shared" si="1636"/>
        <v>-</v>
      </c>
      <c r="S1470" s="3"/>
    </row>
    <row r="1471" spans="2:19" x14ac:dyDescent="0.5">
      <c r="B1471" s="5" t="str">
        <f t="shared" si="1612"/>
        <v>SPS1</v>
      </c>
      <c r="C1471" s="5" t="str">
        <f t="shared" si="1613"/>
        <v>CH</v>
      </c>
      <c r="D1471" t="s">
        <v>1460</v>
      </c>
      <c r="E1471" t="s">
        <v>1229</v>
      </c>
      <c r="F1471" s="1" t="str">
        <f t="shared" ref="F1471:K1471" si="1639">IFERROR(F1447/F1418,"-")</f>
        <v>-</v>
      </c>
      <c r="G1471" s="1">
        <f t="shared" si="1639"/>
        <v>7.8235828164578913E-2</v>
      </c>
      <c r="H1471" s="1">
        <f t="shared" si="1639"/>
        <v>7.9874481739331524E-2</v>
      </c>
      <c r="I1471" s="1" t="str">
        <f t="shared" si="1639"/>
        <v>-</v>
      </c>
      <c r="J1471" s="1" t="str">
        <f t="shared" si="1639"/>
        <v>-</v>
      </c>
      <c r="K1471" s="1" t="str">
        <f t="shared" si="1639"/>
        <v>-</v>
      </c>
      <c r="L1471" s="1" t="str">
        <f t="shared" ref="L1471:O1471" si="1640">IFERROR(L1447/L1418,"-")</f>
        <v>-</v>
      </c>
      <c r="M1471" s="1" t="str">
        <f t="shared" si="1640"/>
        <v>-</v>
      </c>
      <c r="N1471" s="1" t="str">
        <f t="shared" si="1640"/>
        <v>-</v>
      </c>
      <c r="O1471" s="1" t="str">
        <f t="shared" si="1640"/>
        <v>-</v>
      </c>
      <c r="P1471" s="1" t="str">
        <f t="shared" si="1636"/>
        <v>-</v>
      </c>
      <c r="Q1471" s="1" t="str">
        <f t="shared" si="1636"/>
        <v>-</v>
      </c>
      <c r="S1471" s="3"/>
    </row>
    <row r="1472" spans="2:19" x14ac:dyDescent="0.5">
      <c r="B1472" s="5" t="str">
        <f t="shared" si="1612"/>
        <v>SPS1</v>
      </c>
      <c r="C1472" s="5" t="str">
        <f t="shared" si="1613"/>
        <v>CH</v>
      </c>
      <c r="D1472" t="s">
        <v>1461</v>
      </c>
      <c r="E1472" t="s">
        <v>1229</v>
      </c>
      <c r="F1472" s="1" t="str">
        <f t="shared" ref="F1472:K1472" si="1641">IFERROR(F1448/F1419,"-")</f>
        <v>-</v>
      </c>
      <c r="G1472" s="1">
        <f t="shared" si="1641"/>
        <v>5.2751439830497723E-2</v>
      </c>
      <c r="H1472" s="1">
        <f t="shared" si="1641"/>
        <v>5.3922100231809926E-2</v>
      </c>
      <c r="I1472" s="1" t="str">
        <f t="shared" si="1641"/>
        <v>-</v>
      </c>
      <c r="J1472" s="1" t="str">
        <f t="shared" si="1641"/>
        <v>-</v>
      </c>
      <c r="K1472" s="1" t="str">
        <f t="shared" si="1641"/>
        <v>-</v>
      </c>
      <c r="L1472" s="1" t="str">
        <f t="shared" ref="L1472:O1472" si="1642">IFERROR(L1448/L1419,"-")</f>
        <v>-</v>
      </c>
      <c r="M1472" s="1" t="str">
        <f t="shared" si="1642"/>
        <v>-</v>
      </c>
      <c r="N1472" s="1" t="str">
        <f t="shared" si="1642"/>
        <v>-</v>
      </c>
      <c r="O1472" s="1" t="str">
        <f t="shared" si="1642"/>
        <v>-</v>
      </c>
      <c r="P1472" s="1" t="str">
        <f t="shared" si="1636"/>
        <v>-</v>
      </c>
      <c r="Q1472" s="1" t="str">
        <f t="shared" si="1636"/>
        <v>-</v>
      </c>
      <c r="S1472" s="3"/>
    </row>
    <row r="1473" spans="2:19" x14ac:dyDescent="0.5">
      <c r="B1473" s="5" t="str">
        <f t="shared" si="1612"/>
        <v>SPS1</v>
      </c>
      <c r="C1473" s="5" t="str">
        <f t="shared" si="1613"/>
        <v>CH</v>
      </c>
      <c r="D1473" t="s">
        <v>2117</v>
      </c>
      <c r="E1473" t="s">
        <v>1229</v>
      </c>
      <c r="F1473" s="1">
        <f>IFERROR(F1449/F1420,"-")</f>
        <v>9.9502495941956628</v>
      </c>
      <c r="G1473" s="1">
        <f t="shared" ref="G1473:K1473" si="1643">IFERROR(G1449/G1420,"-")</f>
        <v>7.9797266512003127</v>
      </c>
      <c r="H1473" s="1">
        <f t="shared" si="1643"/>
        <v>5.0239422367072892</v>
      </c>
      <c r="I1473" s="1" t="str">
        <f t="shared" si="1643"/>
        <v>-</v>
      </c>
      <c r="J1473" s="1" t="str">
        <f t="shared" si="1643"/>
        <v>-</v>
      </c>
      <c r="K1473" s="1" t="str">
        <f t="shared" si="1643"/>
        <v>-</v>
      </c>
      <c r="L1473" s="1" t="str">
        <f t="shared" ref="L1473:O1473" si="1644">IFERROR(L1449/L1420,"-")</f>
        <v>-</v>
      </c>
      <c r="M1473" s="1" t="str">
        <f t="shared" si="1644"/>
        <v>-</v>
      </c>
      <c r="N1473" s="1" t="str">
        <f t="shared" si="1644"/>
        <v>-</v>
      </c>
      <c r="O1473" s="1" t="str">
        <f t="shared" si="1644"/>
        <v>-</v>
      </c>
      <c r="P1473" s="1" t="str">
        <f t="shared" si="1636"/>
        <v>-</v>
      </c>
      <c r="Q1473" s="1" t="str">
        <f t="shared" si="1636"/>
        <v>-</v>
      </c>
      <c r="S1473" s="3"/>
    </row>
    <row r="1474" spans="2:19" x14ac:dyDescent="0.5">
      <c r="B1474" s="5" t="str">
        <f t="shared" si="1612"/>
        <v>SPS1</v>
      </c>
      <c r="C1474" s="5" t="str">
        <f t="shared" si="1613"/>
        <v>CH</v>
      </c>
      <c r="D1474" t="s">
        <v>1462</v>
      </c>
      <c r="E1474" t="s">
        <v>1229</v>
      </c>
      <c r="F1474" s="1">
        <f t="shared" ref="F1474:K1474" si="1645">IFERROR(F1450/F1421,"-")</f>
        <v>0.12391916748597503</v>
      </c>
      <c r="G1474" s="1">
        <f t="shared" si="1645"/>
        <v>0.12668767742421666</v>
      </c>
      <c r="H1474" s="1">
        <f t="shared" si="1645"/>
        <v>0.12808712909792017</v>
      </c>
      <c r="I1474" s="1">
        <f t="shared" si="1645"/>
        <v>0.1290090294209057</v>
      </c>
      <c r="J1474" s="1" t="str">
        <f t="shared" si="1645"/>
        <v>-</v>
      </c>
      <c r="K1474" s="1" t="str">
        <f t="shared" si="1645"/>
        <v>-</v>
      </c>
      <c r="L1474" s="1">
        <f t="shared" ref="L1474:O1474" si="1646">IFERROR(L1450/L1421,"-")</f>
        <v>0.17071152040619406</v>
      </c>
      <c r="M1474" s="1">
        <f t="shared" si="1646"/>
        <v>0.17071152040619433</v>
      </c>
      <c r="N1474" s="1" t="str">
        <f t="shared" si="1646"/>
        <v>-</v>
      </c>
      <c r="O1474" s="1" t="str">
        <f t="shared" si="1646"/>
        <v>-</v>
      </c>
      <c r="P1474" s="1" t="str">
        <f t="shared" si="1636"/>
        <v>-</v>
      </c>
      <c r="Q1474" s="1" t="str">
        <f t="shared" si="1636"/>
        <v>-</v>
      </c>
      <c r="S1474" s="3"/>
    </row>
    <row r="1475" spans="2:19" x14ac:dyDescent="0.5">
      <c r="B1475" s="5" t="str">
        <f t="shared" si="1612"/>
        <v>SPS1</v>
      </c>
      <c r="C1475" s="5" t="str">
        <f t="shared" si="1613"/>
        <v>CH</v>
      </c>
      <c r="D1475" t="s">
        <v>1463</v>
      </c>
      <c r="E1475" t="s">
        <v>1229</v>
      </c>
      <c r="F1475" s="1">
        <f t="shared" ref="F1475:K1475" si="1647">IFERROR(F1451/F1422,"-")</f>
        <v>8.7465847585616582E-2</v>
      </c>
      <c r="G1475" s="1">
        <f t="shared" si="1647"/>
        <v>8.7810236318716886E-2</v>
      </c>
      <c r="H1475" s="1">
        <f t="shared" si="1647"/>
        <v>8.7749564804628047E-2</v>
      </c>
      <c r="I1475" s="1" t="str">
        <f t="shared" si="1647"/>
        <v>-</v>
      </c>
      <c r="J1475" s="1" t="str">
        <f t="shared" si="1647"/>
        <v>-</v>
      </c>
      <c r="K1475" s="1" t="str">
        <f t="shared" si="1647"/>
        <v>-</v>
      </c>
      <c r="L1475" s="1" t="str">
        <f t="shared" ref="L1475:O1475" si="1648">IFERROR(L1451/L1422,"-")</f>
        <v>-</v>
      </c>
      <c r="M1475" s="1" t="str">
        <f t="shared" si="1648"/>
        <v>-</v>
      </c>
      <c r="N1475" s="1" t="str">
        <f t="shared" si="1648"/>
        <v>-</v>
      </c>
      <c r="O1475" s="1" t="str">
        <f t="shared" si="1648"/>
        <v>-</v>
      </c>
      <c r="P1475" s="1" t="str">
        <f t="shared" si="1636"/>
        <v>-</v>
      </c>
      <c r="Q1475" s="1" t="str">
        <f t="shared" si="1636"/>
        <v>-</v>
      </c>
      <c r="S1475" s="3"/>
    </row>
    <row r="1476" spans="2:19" x14ac:dyDescent="0.5">
      <c r="B1476" s="5" t="str">
        <f t="shared" si="1612"/>
        <v>SPS1</v>
      </c>
      <c r="C1476" s="5" t="str">
        <f t="shared" si="1613"/>
        <v>CH</v>
      </c>
      <c r="D1476" t="s">
        <v>1464</v>
      </c>
      <c r="E1476" t="s">
        <v>1229</v>
      </c>
      <c r="F1476" s="1">
        <f t="shared" ref="F1476:K1476" si="1649">IFERROR(F1452/F1423,"-")</f>
        <v>5.7949527986548531E-2</v>
      </c>
      <c r="G1476" s="1">
        <f t="shared" si="1649"/>
        <v>5.8176697875654659E-2</v>
      </c>
      <c r="H1476" s="1">
        <f t="shared" si="1649"/>
        <v>5.8138315743774135E-2</v>
      </c>
      <c r="I1476" s="1" t="str">
        <f t="shared" si="1649"/>
        <v>-</v>
      </c>
      <c r="J1476" s="1" t="str">
        <f t="shared" si="1649"/>
        <v>-</v>
      </c>
      <c r="K1476" s="1" t="str">
        <f t="shared" si="1649"/>
        <v>-</v>
      </c>
      <c r="L1476" s="1" t="str">
        <f t="shared" ref="L1476:O1476" si="1650">IFERROR(L1452/L1423,"-")</f>
        <v>-</v>
      </c>
      <c r="M1476" s="1" t="str">
        <f t="shared" si="1650"/>
        <v>-</v>
      </c>
      <c r="N1476" s="1" t="str">
        <f t="shared" si="1650"/>
        <v>-</v>
      </c>
      <c r="O1476" s="1" t="str">
        <f t="shared" si="1650"/>
        <v>-</v>
      </c>
      <c r="P1476" s="1" t="str">
        <f t="shared" si="1636"/>
        <v>-</v>
      </c>
      <c r="Q1476" s="1" t="str">
        <f t="shared" si="1636"/>
        <v>-</v>
      </c>
      <c r="S1476" s="3"/>
    </row>
    <row r="1477" spans="2:19" x14ac:dyDescent="0.5">
      <c r="B1477" s="5" t="str">
        <f t="shared" si="1612"/>
        <v>SPS1</v>
      </c>
      <c r="C1477" s="5" t="str">
        <f t="shared" si="1613"/>
        <v>CH</v>
      </c>
      <c r="D1477" t="s">
        <v>1465</v>
      </c>
      <c r="E1477" t="s">
        <v>1229</v>
      </c>
      <c r="F1477" s="1">
        <f t="shared" ref="F1477:K1477" si="1651">IFERROR(F1453/F1424,"-")</f>
        <v>3.8646481387947525E-2</v>
      </c>
      <c r="G1477" s="1">
        <f t="shared" si="1651"/>
        <v>3.889646879126047E-2</v>
      </c>
      <c r="H1477" s="1">
        <f t="shared" si="1651"/>
        <v>3.9070678663008535E-2</v>
      </c>
      <c r="I1477" s="1" t="str">
        <f t="shared" si="1651"/>
        <v>-</v>
      </c>
      <c r="J1477" s="1" t="str">
        <f t="shared" si="1651"/>
        <v>-</v>
      </c>
      <c r="K1477" s="1" t="str">
        <f t="shared" si="1651"/>
        <v>-</v>
      </c>
      <c r="L1477" s="1" t="str">
        <f t="shared" ref="L1477:O1477" si="1652">IFERROR(L1453/L1424,"-")</f>
        <v>-</v>
      </c>
      <c r="M1477" s="1" t="str">
        <f t="shared" si="1652"/>
        <v>-</v>
      </c>
      <c r="N1477" s="1" t="str">
        <f t="shared" si="1652"/>
        <v>-</v>
      </c>
      <c r="O1477" s="1" t="str">
        <f t="shared" si="1652"/>
        <v>-</v>
      </c>
      <c r="P1477" s="1" t="str">
        <f t="shared" si="1636"/>
        <v>-</v>
      </c>
      <c r="Q1477" s="1" t="str">
        <f t="shared" si="1636"/>
        <v>-</v>
      </c>
      <c r="S1477" s="3"/>
    </row>
    <row r="1478" spans="2:19" x14ac:dyDescent="0.5">
      <c r="B1478" s="5" t="str">
        <f t="shared" si="1612"/>
        <v>SPS1</v>
      </c>
      <c r="C1478" s="5" t="str">
        <f t="shared" si="1613"/>
        <v>CH</v>
      </c>
      <c r="D1478" t="s">
        <v>2120</v>
      </c>
      <c r="E1478" t="s">
        <v>1229</v>
      </c>
      <c r="F1478" s="1">
        <f>IFERROR(F1454/F1430,"-")</f>
        <v>9.9502495941956628</v>
      </c>
      <c r="G1478" s="1">
        <f t="shared" ref="G1478:K1478" si="1653">IFERROR(G1454/G1430,"-")</f>
        <v>7.9767976048237532</v>
      </c>
      <c r="H1478" s="1">
        <f t="shared" si="1653"/>
        <v>5.0166196207658658</v>
      </c>
      <c r="I1478" s="1" t="str">
        <f t="shared" si="1653"/>
        <v>-</v>
      </c>
      <c r="J1478" s="1" t="str">
        <f t="shared" si="1653"/>
        <v>-</v>
      </c>
      <c r="K1478" s="1" t="str">
        <f t="shared" si="1653"/>
        <v>-</v>
      </c>
      <c r="L1478" s="1" t="str">
        <f t="shared" ref="L1478:O1478" si="1654">IFERROR(L1454/L1430,"-")</f>
        <v>-</v>
      </c>
      <c r="M1478" s="1" t="str">
        <f t="shared" si="1654"/>
        <v>-</v>
      </c>
      <c r="N1478" s="1" t="str">
        <f t="shared" si="1654"/>
        <v>-</v>
      </c>
      <c r="O1478" s="1" t="str">
        <f t="shared" si="1654"/>
        <v>-</v>
      </c>
      <c r="P1478" s="1" t="str">
        <f t="shared" ref="P1478:Q1482" si="1655">IFERROR(P1454/P1430,"-")</f>
        <v>-</v>
      </c>
      <c r="Q1478" s="1" t="str">
        <f t="shared" si="1655"/>
        <v>-</v>
      </c>
      <c r="S1478" s="3"/>
    </row>
    <row r="1479" spans="2:19" x14ac:dyDescent="0.5">
      <c r="B1479" s="5" t="str">
        <f t="shared" si="1612"/>
        <v>SPS1</v>
      </c>
      <c r="C1479" s="5" t="str">
        <f t="shared" si="1613"/>
        <v>CH</v>
      </c>
      <c r="D1479" t="s">
        <v>1466</v>
      </c>
      <c r="E1479" t="s">
        <v>1229</v>
      </c>
      <c r="F1479" s="1" t="str">
        <f t="shared" ref="F1479:K1479" si="1656">IFERROR(F1455/F1431,"-")</f>
        <v>-</v>
      </c>
      <c r="G1479" s="1">
        <f t="shared" si="1656"/>
        <v>0.12023751974847223</v>
      </c>
      <c r="H1479" s="1">
        <f t="shared" si="1656"/>
        <v>0.12672065633091514</v>
      </c>
      <c r="I1479" s="1">
        <f t="shared" si="1656"/>
        <v>0.12726356817233087</v>
      </c>
      <c r="J1479" s="1" t="str">
        <f t="shared" si="1656"/>
        <v>-</v>
      </c>
      <c r="K1479" s="1" t="str">
        <f t="shared" si="1656"/>
        <v>-</v>
      </c>
      <c r="L1479" s="1">
        <f t="shared" ref="L1479:O1479" si="1657">IFERROR(L1455/L1431,"-")</f>
        <v>0.16049525829203692</v>
      </c>
      <c r="M1479" s="1">
        <f t="shared" si="1657"/>
        <v>0.16049525829203712</v>
      </c>
      <c r="N1479" s="1" t="str">
        <f t="shared" si="1657"/>
        <v>-</v>
      </c>
      <c r="O1479" s="1" t="str">
        <f t="shared" si="1657"/>
        <v>-</v>
      </c>
      <c r="P1479" s="1" t="str">
        <f t="shared" si="1655"/>
        <v>-</v>
      </c>
      <c r="Q1479" s="1" t="str">
        <f t="shared" si="1655"/>
        <v>-</v>
      </c>
      <c r="S1479" s="3"/>
    </row>
    <row r="1480" spans="2:19" x14ac:dyDescent="0.5">
      <c r="B1480" s="5" t="str">
        <f t="shared" si="1612"/>
        <v>SPS1</v>
      </c>
      <c r="C1480" s="5" t="str">
        <f t="shared" si="1613"/>
        <v>CH</v>
      </c>
      <c r="D1480" t="s">
        <v>1467</v>
      </c>
      <c r="E1480" t="s">
        <v>1229</v>
      </c>
      <c r="F1480" s="1" t="str">
        <f t="shared" ref="F1480:K1480" si="1658">IFERROR(F1456/F1432,"-")</f>
        <v>-</v>
      </c>
      <c r="G1480" s="1">
        <f t="shared" si="1658"/>
        <v>8.4998076233608832E-2</v>
      </c>
      <c r="H1480" s="1">
        <f t="shared" si="1658"/>
        <v>8.8404885221037038E-2</v>
      </c>
      <c r="I1480" s="1" t="str">
        <f t="shared" si="1658"/>
        <v>-</v>
      </c>
      <c r="J1480" s="1" t="str">
        <f t="shared" si="1658"/>
        <v>-</v>
      </c>
      <c r="K1480" s="1" t="str">
        <f t="shared" si="1658"/>
        <v>-</v>
      </c>
      <c r="L1480" s="1">
        <f t="shared" ref="L1480:O1480" si="1659">IFERROR(L1456/L1432,"-")</f>
        <v>0.11195928139851116</v>
      </c>
      <c r="M1480" s="1">
        <f t="shared" si="1659"/>
        <v>0.11195928139851123</v>
      </c>
      <c r="N1480" s="1" t="str">
        <f t="shared" si="1659"/>
        <v>-</v>
      </c>
      <c r="O1480" s="1" t="str">
        <f t="shared" si="1659"/>
        <v>-</v>
      </c>
      <c r="P1480" s="1" t="str">
        <f t="shared" si="1655"/>
        <v>-</v>
      </c>
      <c r="Q1480" s="1" t="str">
        <f t="shared" si="1655"/>
        <v>-</v>
      </c>
      <c r="S1480" s="3"/>
    </row>
    <row r="1481" spans="2:19" x14ac:dyDescent="0.5">
      <c r="B1481" s="5" t="str">
        <f t="shared" si="1612"/>
        <v>SPS1</v>
      </c>
      <c r="C1481" s="5" t="str">
        <f t="shared" si="1613"/>
        <v>CH</v>
      </c>
      <c r="D1481" t="s">
        <v>1468</v>
      </c>
      <c r="E1481" t="s">
        <v>1229</v>
      </c>
      <c r="F1481" s="1" t="str">
        <f t="shared" ref="F1481:K1481" si="1660">IFERROR(F1457/F1433,"-")</f>
        <v>-</v>
      </c>
      <c r="G1481" s="1">
        <f t="shared" si="1660"/>
        <v>5.6422133461237159E-2</v>
      </c>
      <c r="H1481" s="1">
        <f t="shared" si="1660"/>
        <v>5.862132751785324E-2</v>
      </c>
      <c r="I1481" s="1" t="str">
        <f t="shared" si="1660"/>
        <v>-</v>
      </c>
      <c r="J1481" s="1" t="str">
        <f t="shared" si="1660"/>
        <v>-</v>
      </c>
      <c r="K1481" s="1" t="str">
        <f t="shared" si="1660"/>
        <v>-</v>
      </c>
      <c r="L1481" s="1" t="str">
        <f t="shared" ref="L1481:O1481" si="1661">IFERROR(L1457/L1433,"-")</f>
        <v>-</v>
      </c>
      <c r="M1481" s="1" t="str">
        <f t="shared" si="1661"/>
        <v>-</v>
      </c>
      <c r="N1481" s="1" t="str">
        <f t="shared" si="1661"/>
        <v>-</v>
      </c>
      <c r="O1481" s="1" t="str">
        <f t="shared" si="1661"/>
        <v>-</v>
      </c>
      <c r="P1481" s="1" t="str">
        <f t="shared" si="1655"/>
        <v>-</v>
      </c>
      <c r="Q1481" s="1" t="str">
        <f t="shared" si="1655"/>
        <v>-</v>
      </c>
      <c r="S1481" s="3"/>
    </row>
    <row r="1482" spans="2:19" x14ac:dyDescent="0.5">
      <c r="B1482" s="5" t="str">
        <f t="shared" si="1612"/>
        <v>SPS1</v>
      </c>
      <c r="C1482" s="5" t="str">
        <f t="shared" si="1613"/>
        <v>CH</v>
      </c>
      <c r="D1482" t="s">
        <v>1469</v>
      </c>
      <c r="E1482" t="s">
        <v>1229</v>
      </c>
      <c r="F1482" s="1" t="str">
        <f t="shared" ref="F1482:K1482" si="1662">IFERROR(F1458/F1434,"-")</f>
        <v>-</v>
      </c>
      <c r="G1482" s="1" t="str">
        <f t="shared" si="1662"/>
        <v>-</v>
      </c>
      <c r="H1482" s="1">
        <f t="shared" si="1662"/>
        <v>3.9228928203362642E-2</v>
      </c>
      <c r="I1482" s="1" t="str">
        <f t="shared" si="1662"/>
        <v>-</v>
      </c>
      <c r="J1482" s="1" t="str">
        <f t="shared" si="1662"/>
        <v>-</v>
      </c>
      <c r="K1482" s="1" t="str">
        <f t="shared" si="1662"/>
        <v>-</v>
      </c>
      <c r="L1482" s="1" t="str">
        <f t="shared" ref="L1482:O1482" si="1663">IFERROR(L1458/L1434,"-")</f>
        <v>-</v>
      </c>
      <c r="M1482" s="1" t="str">
        <f t="shared" si="1663"/>
        <v>-</v>
      </c>
      <c r="N1482" s="1" t="str">
        <f t="shared" si="1663"/>
        <v>-</v>
      </c>
      <c r="O1482" s="1" t="str">
        <f t="shared" si="1663"/>
        <v>-</v>
      </c>
      <c r="P1482" s="1" t="str">
        <f t="shared" si="1655"/>
        <v>-</v>
      </c>
      <c r="Q1482" s="1" t="str">
        <f t="shared" si="1655"/>
        <v>-</v>
      </c>
      <c r="S1482" s="3"/>
    </row>
    <row r="1483" spans="2:19" x14ac:dyDescent="0.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O1483" si="1664">G1484</f>
        <v>0.30668648626079364</v>
      </c>
      <c r="H1483" s="3">
        <f t="shared" si="1664"/>
        <v>0.35078787907941233</v>
      </c>
      <c r="I1483" s="3">
        <f t="shared" si="1664"/>
        <v>0.44905706465165934</v>
      </c>
      <c r="J1483" s="3">
        <f t="shared" si="1664"/>
        <v>0.45786518239100965</v>
      </c>
      <c r="K1483" s="3">
        <f t="shared" si="1664"/>
        <v>0.4706886426319784</v>
      </c>
      <c r="L1483" s="3">
        <f t="shared" si="1664"/>
        <v>0.47857062553803131</v>
      </c>
      <c r="M1483" s="3">
        <f t="shared" si="1664"/>
        <v>0.48645260844408511</v>
      </c>
      <c r="N1483" s="3">
        <f t="shared" si="1664"/>
        <v>0.5304172714770905</v>
      </c>
      <c r="O1483" s="3">
        <f t="shared" si="1664"/>
        <v>0.5611192082193377</v>
      </c>
      <c r="P1483" s="3">
        <f>P1484</f>
        <v>0.59169365220825365</v>
      </c>
      <c r="Q1483" s="3">
        <f>Q1484</f>
        <v>0.62178111980442863</v>
      </c>
      <c r="S1483" s="3"/>
    </row>
    <row r="1484" spans="2:19" x14ac:dyDescent="0.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O1484" si="1665">G1485</f>
        <v>0.30668648626079364</v>
      </c>
      <c r="H1484" s="1">
        <f t="shared" si="1665"/>
        <v>0.35078787907941233</v>
      </c>
      <c r="I1484" s="1">
        <f t="shared" si="1665"/>
        <v>0.44905706465165934</v>
      </c>
      <c r="J1484" s="1">
        <f t="shared" si="1665"/>
        <v>0.45786518239100965</v>
      </c>
      <c r="K1484" s="1">
        <f t="shared" si="1665"/>
        <v>0.4706886426319784</v>
      </c>
      <c r="L1484" s="1">
        <f t="shared" si="1665"/>
        <v>0.47857062553803131</v>
      </c>
      <c r="M1484" s="1">
        <f t="shared" si="1665"/>
        <v>0.48645260844408511</v>
      </c>
      <c r="N1484" s="1">
        <f t="shared" si="1665"/>
        <v>0.5304172714770905</v>
      </c>
      <c r="O1484" s="1">
        <f t="shared" si="1665"/>
        <v>0.5611192082193377</v>
      </c>
      <c r="P1484" s="1">
        <f>P1485</f>
        <v>0.59169365220825365</v>
      </c>
      <c r="Q1484" s="1">
        <f>Q1485</f>
        <v>0.62178111980442863</v>
      </c>
      <c r="S1484" s="3"/>
    </row>
    <row r="1485" spans="2:19" x14ac:dyDescent="0.5">
      <c r="B1485" s="5" t="str">
        <f t="shared" ref="B1485" si="1666">B1484</f>
        <v>SPS1</v>
      </c>
      <c r="C1485" s="5" t="str">
        <f t="shared" ref="C1485" si="1667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0.35078787907941233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0.44905706465165934</v>
      </c>
      <c r="J1485" s="1" cm="1">
        <f t="array" ref="J1485">SUMPRODUCT(("T_TRLY_ELC"=[1]OUT_TransportEnergyCons!$A$3:$A$1000)*1,("Var_Fin"=[1]OUT_TransportEnergyCons!$B$3:$B$1000)*1,ISNUMBER(SEARCH("ELC",[1]OUT_TransportEnergyCons!$C$3:$C$1000))*1,[1]OUT_TransportEnergyCons!H$3:H$1000)</f>
        <v>0.45786518239100965</v>
      </c>
      <c r="K1485" s="1" cm="1">
        <f t="array" ref="K1485">SUMPRODUCT(("T_TRLY_ELC"=[1]OUT_TransportEnergyCons!$A$3:$A$1000)*1,("Var_Fin"=[1]OUT_TransportEnergyCons!$B$3:$B$1000)*1,ISNUMBER(SEARCH("ELC",[1]OUT_TransportEnergyCons!$C$3:$C$1000))*1,[1]OUT_TransportEnergyCons!I$3:I$1000)</f>
        <v>0.4706886426319784</v>
      </c>
      <c r="L1485" s="1" cm="1">
        <f t="array" ref="L1485">SUMPRODUCT(("T_TRLY_ELC"=[1]OUT_TransportEnergyCons!$A$3:$A$1000)*1,("Var_Fin"=[1]OUT_TransportEnergyCons!$B$3:$B$1000)*1,ISNUMBER(SEARCH("ELC",[1]OUT_TransportEnergyCons!$C$3:$C$1000))*1,[1]OUT_TransportEnergyCons!J$3:J$1000)</f>
        <v>0.47857062553803131</v>
      </c>
      <c r="M1485" s="1" cm="1">
        <f t="array" ref="M1485">SUMPRODUCT(("T_TRLY_ELC"=[1]OUT_TransportEnergyCons!$A$3:$A$1000)*1,("Var_Fin"=[1]OUT_TransportEnergyCons!$B$3:$B$1000)*1,ISNUMBER(SEARCH("ELC",[1]OUT_TransportEnergyCons!$C$3:$C$1000))*1,[1]OUT_TransportEnergyCons!K$3:K$1000)</f>
        <v>0.48645260844408511</v>
      </c>
      <c r="N1485" s="1" cm="1">
        <f t="array" ref="N1485">SUMPRODUCT(("T_TRLY_ELC"=[1]OUT_TransportEnergyCons!$A$3:$A$1000)*1,("Var_Fin"=[1]OUT_TransportEnergyCons!$B$3:$B$1000)*1,ISNUMBER(SEARCH("ELC",[1]OUT_TransportEnergyCons!$C$3:$C$1000))*1,[1]OUT_TransportEnergyCons!L$3:L$1000)</f>
        <v>0.5304172714770905</v>
      </c>
      <c r="O1485" s="1" cm="1">
        <f t="array" ref="O1485">SUMPRODUCT(("T_TRLY_ELC"=[1]OUT_TransportEnergyCons!$A$3:$A$1000)*1,("Var_Fin"=[1]OUT_TransportEnergyCons!$B$3:$B$1000)*1,ISNUMBER(SEARCH("ELC",[1]OUT_TransportEnergyCons!$C$3:$C$1000))*1,[1]OUT_TransportEnergyCons!M$3:M$1000)</f>
        <v>0.5611192082193377</v>
      </c>
      <c r="P1485" s="1" cm="1">
        <f t="array" ref="P1485">SUMPRODUCT(("T_TRLY_ELC"=[1]OUT_TransportEnergyCons!$A$3:$A$1000)*1,("Var_Fin"=[1]OUT_TransportEnergyCons!$B$3:$B$1000)*1,ISNUMBER(SEARCH("ELC",[1]OUT_TransportEnergyCons!$C$3:$C$1000))*1,[1]OUT_TransportEnergyCons!N$3:N$1000)</f>
        <v>0.59169365220825365</v>
      </c>
      <c r="Q1485" s="1" cm="1">
        <f t="array" ref="Q1485">SUMPRODUCT(("T_TRLY_ELC"=[1]OUT_TransportEnergyCons!$A$3:$A$1000)*1,("Var_Fin"=[1]OUT_TransportEnergyCons!$B$3:$B$1000)*1,ISNUMBER(SEARCH("ELC",[1]OUT_TransportEnergyCons!$C$3:$C$1000))*1,[1]OUT_TransportEnergyCons!O$3:O$1000)</f>
        <v>0.62178111980442863</v>
      </c>
      <c r="S1485" s="3"/>
    </row>
    <row r="1486" spans="2:19" x14ac:dyDescent="0.5">
      <c r="B1486" s="9" t="str">
        <f t="shared" ref="B1486:C1489" si="1668">B1485</f>
        <v>SPS1</v>
      </c>
      <c r="C1486" s="9" t="str">
        <f t="shared" si="1668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O1486" si="1669">G1487</f>
        <v>2.7782165745480814E-2</v>
      </c>
      <c r="H1486" s="3">
        <f t="shared" si="1669"/>
        <v>2.8773914363701983E-2</v>
      </c>
      <c r="I1486" s="3">
        <f t="shared" si="1669"/>
        <v>3.042682872740389E-2</v>
      </c>
      <c r="J1486" s="3">
        <f t="shared" si="1669"/>
        <v>3.1023641718362919E-2</v>
      </c>
      <c r="K1486" s="3">
        <f t="shared" si="1669"/>
        <v>3.1892522889951397E-2</v>
      </c>
      <c r="L1486" s="3">
        <f t="shared" si="1669"/>
        <v>3.2426583620297177E-2</v>
      </c>
      <c r="M1486" s="3">
        <f t="shared" si="1669"/>
        <v>3.2960644350642984E-2</v>
      </c>
      <c r="N1486" s="3">
        <f t="shared" si="1669"/>
        <v>3.5939564798539693E-2</v>
      </c>
      <c r="O1486" s="3">
        <f t="shared" si="1669"/>
        <v>3.8019840657423198E-2</v>
      </c>
      <c r="P1486" s="3">
        <f>P1487</f>
        <v>4.0091477970173192E-2</v>
      </c>
      <c r="Q1486" s="3">
        <f>Q1487</f>
        <v>4.2130119148439206E-2</v>
      </c>
      <c r="S1486" s="3"/>
    </row>
    <row r="1487" spans="2:19" x14ac:dyDescent="0.5">
      <c r="B1487" s="5" t="str">
        <f t="shared" si="1668"/>
        <v>SPS1</v>
      </c>
      <c r="C1487" s="5" t="str">
        <f t="shared" si="1668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2.8773914363701983E-2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3.042682872740389E-2</v>
      </c>
      <c r="J1487" s="1" cm="1">
        <f t="array" ref="J1487">SUMPRODUCT(("T_TRLY_ELC"=[1]OUT_TransportEnergyCons!$A$3:$A$1000)*1,("Var_Fout"=[1]OUT_TransportEnergyCons!$B$3:$B$1000)*1,ISNUMBER(SEARCH("tptrly",[1]OUT_TransportEnergyCons!$C$3:$C$1000))*1,[1]OUT_TransportEnergyCons!H$3:H$1000)</f>
        <v>3.1023641718362919E-2</v>
      </c>
      <c r="K1487" s="1" cm="1">
        <f t="array" ref="K1487">SUMPRODUCT(("T_TRLY_ELC"=[1]OUT_TransportEnergyCons!$A$3:$A$1000)*1,("Var_Fout"=[1]OUT_TransportEnergyCons!$B$3:$B$1000)*1,ISNUMBER(SEARCH("tptrly",[1]OUT_TransportEnergyCons!$C$3:$C$1000))*1,[1]OUT_TransportEnergyCons!I$3:I$1000)</f>
        <v>3.1892522889951397E-2</v>
      </c>
      <c r="L1487" s="1" cm="1">
        <f t="array" ref="L1487">SUMPRODUCT(("T_TRLY_ELC"=[1]OUT_TransportEnergyCons!$A$3:$A$1000)*1,("Var_Fout"=[1]OUT_TransportEnergyCons!$B$3:$B$1000)*1,ISNUMBER(SEARCH("tptrly",[1]OUT_TransportEnergyCons!$C$3:$C$1000))*1,[1]OUT_TransportEnergyCons!J$3:J$1000)</f>
        <v>3.2426583620297177E-2</v>
      </c>
      <c r="M1487" s="1" cm="1">
        <f t="array" ref="M1487">SUMPRODUCT(("T_TRLY_ELC"=[1]OUT_TransportEnergyCons!$A$3:$A$1000)*1,("Var_Fout"=[1]OUT_TransportEnergyCons!$B$3:$B$1000)*1,ISNUMBER(SEARCH("tptrly",[1]OUT_TransportEnergyCons!$C$3:$C$1000))*1,[1]OUT_TransportEnergyCons!K$3:K$1000)</f>
        <v>3.2960644350642984E-2</v>
      </c>
      <c r="N1487" s="1" cm="1">
        <f t="array" ref="N1487">SUMPRODUCT(("T_TRLY_ELC"=[1]OUT_TransportEnergyCons!$A$3:$A$1000)*1,("Var_Fout"=[1]OUT_TransportEnergyCons!$B$3:$B$1000)*1,ISNUMBER(SEARCH("tptrly",[1]OUT_TransportEnergyCons!$C$3:$C$1000))*1,[1]OUT_TransportEnergyCons!L$3:L$1000)</f>
        <v>3.5939564798539693E-2</v>
      </c>
      <c r="O1487" s="1" cm="1">
        <f t="array" ref="O1487">SUMPRODUCT(("T_TRLY_ELC"=[1]OUT_TransportEnergyCons!$A$3:$A$1000)*1,("Var_Fout"=[1]OUT_TransportEnergyCons!$B$3:$B$1000)*1,ISNUMBER(SEARCH("tptrly",[1]OUT_TransportEnergyCons!$C$3:$C$1000))*1,[1]OUT_TransportEnergyCons!M$3:M$1000)</f>
        <v>3.8019840657423198E-2</v>
      </c>
      <c r="P1487" s="1" cm="1">
        <f t="array" ref="P1487">SUMPRODUCT(("T_TRLY_ELC"=[1]OUT_TransportEnergyCons!$A$3:$A$1000)*1,("Var_Fout"=[1]OUT_TransportEnergyCons!$B$3:$B$1000)*1,ISNUMBER(SEARCH("tptrly",[1]OUT_TransportEnergyCons!$C$3:$C$1000))*1,[1]OUT_TransportEnergyCons!N$3:N$1000)</f>
        <v>4.0091477970173192E-2</v>
      </c>
      <c r="Q1487" s="1" cm="1">
        <f t="array" ref="Q1487">SUMPRODUCT(("T_TRLY_ELC"=[1]OUT_TransportEnergyCons!$A$3:$A$1000)*1,("Var_Fout"=[1]OUT_TransportEnergyCons!$B$3:$B$1000)*1,ISNUMBER(SEARCH("tptrly",[1]OUT_TransportEnergyCons!$C$3:$C$1000))*1,[1]OUT_TransportEnergyCons!O$3:O$1000)</f>
        <v>4.2130119148439206E-2</v>
      </c>
      <c r="S1487" s="3"/>
    </row>
    <row r="1488" spans="2:19" x14ac:dyDescent="0.5">
      <c r="B1488" s="9" t="str">
        <f t="shared" si="1668"/>
        <v>SPS1</v>
      </c>
      <c r="C1488" s="9" t="str">
        <f t="shared" si="1668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M1488" s="1" t="s">
        <v>292</v>
      </c>
      <c r="N1488" s="1" t="s">
        <v>292</v>
      </c>
      <c r="O1488" s="1" t="s">
        <v>292</v>
      </c>
      <c r="P1488" s="1" t="s">
        <v>292</v>
      </c>
      <c r="Q1488" s="1" t="s">
        <v>292</v>
      </c>
      <c r="S1488" s="3"/>
    </row>
    <row r="1489" spans="2:19" x14ac:dyDescent="0.5">
      <c r="B1489" s="5" t="str">
        <f t="shared" si="1668"/>
        <v>SPS1</v>
      </c>
      <c r="C1489" s="5" t="str">
        <f t="shared" si="1668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670">G1487/G1485</f>
        <v>9.0588164102724744E-2</v>
      </c>
      <c r="H1489" s="1">
        <f t="shared" si="1670"/>
        <v>8.2026535350122706E-2</v>
      </c>
      <c r="I1489" s="1">
        <f t="shared" si="1670"/>
        <v>6.7757154095786157E-2</v>
      </c>
      <c r="J1489" s="1">
        <f t="shared" si="1670"/>
        <v>6.7757154095786254E-2</v>
      </c>
      <c r="K1489" s="1">
        <f t="shared" si="1670"/>
        <v>6.7757154095786185E-2</v>
      </c>
      <c r="L1489" s="1">
        <f t="shared" ref="L1489:O1489" si="1671">L1487/L1485</f>
        <v>6.7757154095786185E-2</v>
      </c>
      <c r="M1489" s="1">
        <f t="shared" si="1671"/>
        <v>6.7757154095786115E-2</v>
      </c>
      <c r="N1489" s="1">
        <f t="shared" si="1671"/>
        <v>6.7757154095786212E-2</v>
      </c>
      <c r="O1489" s="1">
        <f t="shared" si="1671"/>
        <v>6.7757154095786185E-2</v>
      </c>
      <c r="P1489" s="1">
        <f>P1487/P1485</f>
        <v>6.775715409578624E-2</v>
      </c>
      <c r="Q1489" s="1">
        <f>Q1487/Q1485</f>
        <v>6.7757154095786254E-2</v>
      </c>
      <c r="S1489" s="3"/>
    </row>
    <row r="1490" spans="2:19" x14ac:dyDescent="0.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672">G1491</f>
        <v>0.61504030570008339</v>
      </c>
      <c r="H1490" s="3">
        <f t="shared" ref="H1490:H1491" si="1673">H1491</f>
        <v>0.65847123751882963</v>
      </c>
      <c r="I1490" s="3">
        <f t="shared" ref="I1490:I1491" si="1674">I1491</f>
        <v>0.73826743502205472</v>
      </c>
      <c r="J1490" s="3">
        <f t="shared" ref="J1490:J1491" si="1675">J1491</f>
        <v>0.7564574460789345</v>
      </c>
      <c r="K1490" s="3">
        <f t="shared" ref="K1490:O1491" si="1676">K1491</f>
        <v>0.77350814954032066</v>
      </c>
      <c r="L1490" s="3">
        <f t="shared" si="1676"/>
        <v>0.78633099956125296</v>
      </c>
      <c r="M1490" s="3">
        <f t="shared" si="1676"/>
        <v>0.7991538495821856</v>
      </c>
      <c r="N1490" s="3">
        <f t="shared" si="1676"/>
        <v>0.83907095970389334</v>
      </c>
      <c r="O1490" s="3">
        <f t="shared" si="1676"/>
        <v>0.86191110505360957</v>
      </c>
      <c r="P1490" s="3">
        <f>P1491</f>
        <v>0.88464264231103162</v>
      </c>
      <c r="Q1490" s="3">
        <f>Q1491</f>
        <v>0.90719138572521052</v>
      </c>
      <c r="S1490" s="3"/>
    </row>
    <row r="1491" spans="2:19" x14ac:dyDescent="0.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672"/>
        <v>0.61504030570008339</v>
      </c>
      <c r="H1491" s="1">
        <f t="shared" si="1673"/>
        <v>0.65847123751882963</v>
      </c>
      <c r="I1491" s="1">
        <f t="shared" si="1674"/>
        <v>0.73826743502205472</v>
      </c>
      <c r="J1491" s="1">
        <f t="shared" si="1675"/>
        <v>0.7564574460789345</v>
      </c>
      <c r="K1491" s="1">
        <f t="shared" si="1676"/>
        <v>0.77350814954032066</v>
      </c>
      <c r="L1491" s="1">
        <f t="shared" si="1676"/>
        <v>0.78633099956125296</v>
      </c>
      <c r="M1491" s="1">
        <f t="shared" si="1676"/>
        <v>0.7991538495821856</v>
      </c>
      <c r="N1491" s="1">
        <f t="shared" si="1676"/>
        <v>0.83907095970389334</v>
      </c>
      <c r="O1491" s="1">
        <f t="shared" si="1676"/>
        <v>0.86191110505360957</v>
      </c>
      <c r="P1491" s="1">
        <f>P1492</f>
        <v>0.88464264231103162</v>
      </c>
      <c r="Q1491" s="1">
        <f>Q1492</f>
        <v>0.90719138572521052</v>
      </c>
      <c r="S1491" s="3"/>
    </row>
    <row r="1492" spans="2:19" x14ac:dyDescent="0.5">
      <c r="B1492" s="5" t="str">
        <f t="shared" ref="B1492" si="1677">B1491</f>
        <v>SPS1</v>
      </c>
      <c r="C1492" s="5" t="str">
        <f t="shared" ref="C1492" si="1678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0.65847123751882963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0.73826743502205472</v>
      </c>
      <c r="J1492" s="1" cm="1">
        <f t="array" ref="J1492">SUMPRODUCT(("T_TRM_ELC"=[1]OUT_TransportEnergyCons!$A$3:$A$1000)*1,("Var_Fin"=[1]OUT_TransportEnergyCons!$B$3:$B$1000)*1,ISNUMBER(SEARCH("ELC",[1]OUT_TransportEnergyCons!$C$3:$C$1000))*1,[1]OUT_TransportEnergyCons!H$3:H$1000)</f>
        <v>0.7564574460789345</v>
      </c>
      <c r="K1492" s="1" cm="1">
        <f t="array" ref="K1492">SUMPRODUCT(("T_TRM_ELC"=[1]OUT_TransportEnergyCons!$A$3:$A$1000)*1,("Var_Fin"=[1]OUT_TransportEnergyCons!$B$3:$B$1000)*1,ISNUMBER(SEARCH("ELC",[1]OUT_TransportEnergyCons!$C$3:$C$1000))*1,[1]OUT_TransportEnergyCons!I$3:I$1000)</f>
        <v>0.77350814954032066</v>
      </c>
      <c r="L1492" s="1" cm="1">
        <f t="array" ref="L1492">SUMPRODUCT(("T_TRM_ELC"=[1]OUT_TransportEnergyCons!$A$3:$A$1000)*1,("Var_Fin"=[1]OUT_TransportEnergyCons!$B$3:$B$1000)*1,ISNUMBER(SEARCH("ELC",[1]OUT_TransportEnergyCons!$C$3:$C$1000))*1,[1]OUT_TransportEnergyCons!J$3:J$1000)</f>
        <v>0.78633099956125296</v>
      </c>
      <c r="M1492" s="1" cm="1">
        <f t="array" ref="M1492">SUMPRODUCT(("T_TRM_ELC"=[1]OUT_TransportEnergyCons!$A$3:$A$1000)*1,("Var_Fin"=[1]OUT_TransportEnergyCons!$B$3:$B$1000)*1,ISNUMBER(SEARCH("ELC",[1]OUT_TransportEnergyCons!$C$3:$C$1000))*1,[1]OUT_TransportEnergyCons!K$3:K$1000)</f>
        <v>0.7991538495821856</v>
      </c>
      <c r="N1492" s="1" cm="1">
        <f t="array" ref="N1492">SUMPRODUCT(("T_TRM_ELC"=[1]OUT_TransportEnergyCons!$A$3:$A$1000)*1,("Var_Fin"=[1]OUT_TransportEnergyCons!$B$3:$B$1000)*1,ISNUMBER(SEARCH("ELC",[1]OUT_TransportEnergyCons!$C$3:$C$1000))*1,[1]OUT_TransportEnergyCons!L$3:L$1000)</f>
        <v>0.83907095970389334</v>
      </c>
      <c r="O1492" s="1" cm="1">
        <f t="array" ref="O1492">SUMPRODUCT(("T_TRM_ELC"=[1]OUT_TransportEnergyCons!$A$3:$A$1000)*1,("Var_Fin"=[1]OUT_TransportEnergyCons!$B$3:$B$1000)*1,ISNUMBER(SEARCH("ELC",[1]OUT_TransportEnergyCons!$C$3:$C$1000))*1,[1]OUT_TransportEnergyCons!M$3:M$1000)</f>
        <v>0.86191110505360957</v>
      </c>
      <c r="P1492" s="1" cm="1">
        <f t="array" ref="P1492">SUMPRODUCT(("T_TRM_ELC"=[1]OUT_TransportEnergyCons!$A$3:$A$1000)*1,("Var_Fin"=[1]OUT_TransportEnergyCons!$B$3:$B$1000)*1,ISNUMBER(SEARCH("ELC",[1]OUT_TransportEnergyCons!$C$3:$C$1000))*1,[1]OUT_TransportEnergyCons!N$3:N$1000)</f>
        <v>0.88464264231103162</v>
      </c>
      <c r="Q1492" s="1" cm="1">
        <f t="array" ref="Q1492">SUMPRODUCT(("T_TRM_ELC"=[1]OUT_TransportEnergyCons!$A$3:$A$1000)*1,("Var_Fin"=[1]OUT_TransportEnergyCons!$B$3:$B$1000)*1,ISNUMBER(SEARCH("ELC",[1]OUT_TransportEnergyCons!$C$3:$C$1000))*1,[1]OUT_TransportEnergyCons!O$3:O$1000)</f>
        <v>0.90719138572521052</v>
      </c>
      <c r="S1492" s="3"/>
    </row>
    <row r="1493" spans="2:19" x14ac:dyDescent="0.5">
      <c r="B1493" s="9" t="str">
        <f t="shared" ref="B1493:C1497" si="1679">B1492</f>
        <v>SPS1</v>
      </c>
      <c r="C1493" s="9" t="str">
        <f t="shared" si="1679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680">G1494</f>
        <v>3.4238693943285006E-2</v>
      </c>
      <c r="H1493" s="3">
        <f t="shared" ref="H1493" si="1681">H1494</f>
        <v>3.537973485821249E-2</v>
      </c>
      <c r="I1493" s="3">
        <f t="shared" ref="I1493" si="1682">I1494</f>
        <v>3.7281469716424979E-2</v>
      </c>
      <c r="J1493" s="3">
        <f t="shared" ref="J1493" si="1683">J1494</f>
        <v>3.8200039755124107E-2</v>
      </c>
      <c r="K1493" s="3">
        <f t="shared" ref="K1493:O1493" si="1684">K1494</f>
        <v>3.9061076358642186E-2</v>
      </c>
      <c r="L1493" s="3">
        <f t="shared" si="1684"/>
        <v>3.9708612294883733E-2</v>
      </c>
      <c r="M1493" s="3">
        <f t="shared" si="1684"/>
        <v>4.0356148231125301E-2</v>
      </c>
      <c r="N1493" s="3">
        <f t="shared" si="1684"/>
        <v>4.2371906290567779E-2</v>
      </c>
      <c r="O1493" s="3">
        <f t="shared" si="1684"/>
        <v>4.3525301587149907E-2</v>
      </c>
      <c r="P1493" s="3">
        <f>P1494</f>
        <v>4.4673212327442917E-2</v>
      </c>
      <c r="Q1493" s="3">
        <f>Q1494</f>
        <v>4.5811892235102694E-2</v>
      </c>
      <c r="S1493" s="3"/>
    </row>
    <row r="1494" spans="2:19" x14ac:dyDescent="0.5">
      <c r="B1494" s="5" t="str">
        <f t="shared" si="1679"/>
        <v>SPS1</v>
      </c>
      <c r="C1494" s="5" t="str">
        <f t="shared" si="1679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3.537973485821249E-2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3.7281469716424979E-2</v>
      </c>
      <c r="J1494" s="1" cm="1">
        <f t="array" ref="J1494">SUMPRODUCT(("T_TRM_ELC"=[1]OUT_TransportEnergyCons!$A$3:$A$1000)*1,("Var_Fout"=[1]OUT_TransportEnergyCons!$B$3:$B$1000)*1,ISNUMBER(SEARCH("tptrm",[1]OUT_TransportEnergyCons!$C$3:$C$1000))*1,[1]OUT_TransportEnergyCons!H$3:H$1000)</f>
        <v>3.8200039755124107E-2</v>
      </c>
      <c r="K1494" s="1" cm="1">
        <f t="array" ref="K1494">SUMPRODUCT(("T_TRM_ELC"=[1]OUT_TransportEnergyCons!$A$3:$A$1000)*1,("Var_Fout"=[1]OUT_TransportEnergyCons!$B$3:$B$1000)*1,ISNUMBER(SEARCH("tptrm",[1]OUT_TransportEnergyCons!$C$3:$C$1000))*1,[1]OUT_TransportEnergyCons!I$3:I$1000)</f>
        <v>3.9061076358642186E-2</v>
      </c>
      <c r="L1494" s="1" cm="1">
        <f t="array" ref="L1494">SUMPRODUCT(("T_TRM_ELC"=[1]OUT_TransportEnergyCons!$A$3:$A$1000)*1,("Var_Fout"=[1]OUT_TransportEnergyCons!$B$3:$B$1000)*1,ISNUMBER(SEARCH("tptrm",[1]OUT_TransportEnergyCons!$C$3:$C$1000))*1,[1]OUT_TransportEnergyCons!J$3:J$1000)</f>
        <v>3.9708612294883733E-2</v>
      </c>
      <c r="M1494" s="1" cm="1">
        <f t="array" ref="M1494">SUMPRODUCT(("T_TRM_ELC"=[1]OUT_TransportEnergyCons!$A$3:$A$1000)*1,("Var_Fout"=[1]OUT_TransportEnergyCons!$B$3:$B$1000)*1,ISNUMBER(SEARCH("tptrm",[1]OUT_TransportEnergyCons!$C$3:$C$1000))*1,[1]OUT_TransportEnergyCons!K$3:K$1000)</f>
        <v>4.0356148231125301E-2</v>
      </c>
      <c r="N1494" s="1" cm="1">
        <f t="array" ref="N1494">SUMPRODUCT(("T_TRM_ELC"=[1]OUT_TransportEnergyCons!$A$3:$A$1000)*1,("Var_Fout"=[1]OUT_TransportEnergyCons!$B$3:$B$1000)*1,ISNUMBER(SEARCH("tptrm",[1]OUT_TransportEnergyCons!$C$3:$C$1000))*1,[1]OUT_TransportEnergyCons!L$3:L$1000)</f>
        <v>4.2371906290567779E-2</v>
      </c>
      <c r="O1494" s="1" cm="1">
        <f t="array" ref="O1494">SUMPRODUCT(("T_TRM_ELC"=[1]OUT_TransportEnergyCons!$A$3:$A$1000)*1,("Var_Fout"=[1]OUT_TransportEnergyCons!$B$3:$B$1000)*1,ISNUMBER(SEARCH("tptrm",[1]OUT_TransportEnergyCons!$C$3:$C$1000))*1,[1]OUT_TransportEnergyCons!M$3:M$1000)</f>
        <v>4.3525301587149907E-2</v>
      </c>
      <c r="P1494" s="1" cm="1">
        <f t="array" ref="P1494">SUMPRODUCT(("T_TRM_ELC"=[1]OUT_TransportEnergyCons!$A$3:$A$1000)*1,("Var_Fout"=[1]OUT_TransportEnergyCons!$B$3:$B$1000)*1,ISNUMBER(SEARCH("tptrm",[1]OUT_TransportEnergyCons!$C$3:$C$1000))*1,[1]OUT_TransportEnergyCons!N$3:N$1000)</f>
        <v>4.4673212327442917E-2</v>
      </c>
      <c r="Q1494" s="1" cm="1">
        <f t="array" ref="Q1494">SUMPRODUCT(("T_TRM_ELC"=[1]OUT_TransportEnergyCons!$A$3:$A$1000)*1,("Var_Fout"=[1]OUT_TransportEnergyCons!$B$3:$B$1000)*1,ISNUMBER(SEARCH("tptrm",[1]OUT_TransportEnergyCons!$C$3:$C$1000))*1,[1]OUT_TransportEnergyCons!O$3:O$1000)</f>
        <v>4.5811892235102694E-2</v>
      </c>
      <c r="S1494" s="3"/>
    </row>
    <row r="1495" spans="2:19" x14ac:dyDescent="0.5">
      <c r="B1495" s="9" t="str">
        <f t="shared" si="1679"/>
        <v>SPS1</v>
      </c>
      <c r="C1495" s="9" t="str">
        <f t="shared" si="1679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M1495" s="1" t="s">
        <v>292</v>
      </c>
      <c r="N1495" s="1" t="s">
        <v>292</v>
      </c>
      <c r="O1495" s="1" t="s">
        <v>292</v>
      </c>
      <c r="P1495" s="1" t="s">
        <v>292</v>
      </c>
      <c r="Q1495" s="1" t="s">
        <v>292</v>
      </c>
      <c r="S1495" s="3"/>
    </row>
    <row r="1496" spans="2:19" x14ac:dyDescent="0.5">
      <c r="B1496" s="5" t="str">
        <f t="shared" si="1679"/>
        <v>SPS1</v>
      </c>
      <c r="C1496" s="5" t="str">
        <f t="shared" si="1679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685">G1494/G1492</f>
        <v>5.5669024657354849E-2</v>
      </c>
      <c r="H1496" s="1">
        <f t="shared" si="1685"/>
        <v>5.3730114304652181E-2</v>
      </c>
      <c r="I1496" s="1">
        <f t="shared" si="1685"/>
        <v>5.0498597050147885E-2</v>
      </c>
      <c r="J1496" s="1">
        <f t="shared" si="1685"/>
        <v>5.0498597050147913E-2</v>
      </c>
      <c r="K1496" s="1">
        <f t="shared" si="1685"/>
        <v>5.0498597050147885E-2</v>
      </c>
      <c r="L1496" s="1">
        <f t="shared" ref="L1496:O1496" si="1686">L1494/L1492</f>
        <v>5.0498597050147892E-2</v>
      </c>
      <c r="M1496" s="1">
        <f t="shared" si="1686"/>
        <v>5.0498597050147906E-2</v>
      </c>
      <c r="N1496" s="1">
        <f t="shared" si="1686"/>
        <v>5.0498597050147878E-2</v>
      </c>
      <c r="O1496" s="1">
        <f t="shared" si="1686"/>
        <v>5.0498597050147878E-2</v>
      </c>
      <c r="P1496" s="1">
        <f>P1494/P1492</f>
        <v>5.0498597050147913E-2</v>
      </c>
      <c r="Q1496" s="1">
        <f>Q1494/Q1492</f>
        <v>5.0498597050147892E-2</v>
      </c>
      <c r="S1496" s="3"/>
    </row>
    <row r="1497" spans="2:19" x14ac:dyDescent="0.5">
      <c r="B1497" s="9" t="str">
        <f t="shared" si="1679"/>
        <v>SPS1</v>
      </c>
      <c r="C1497" s="9" t="str">
        <f t="shared" si="1679"/>
        <v>CH</v>
      </c>
      <c r="D1497" s="2" t="s">
        <v>1487</v>
      </c>
      <c r="E1497" s="2" t="s">
        <v>8</v>
      </c>
      <c r="F1497" s="3">
        <f>SUM(F1498,F1503,F1508)</f>
        <v>2.4111845892105332</v>
      </c>
      <c r="G1497" s="3">
        <f t="shared" ref="G1497:K1497" si="1687">SUM(G1498,G1503,G1508)</f>
        <v>1.6969165288184007</v>
      </c>
      <c r="H1497" s="3">
        <f t="shared" si="1687"/>
        <v>1.6744707926468525</v>
      </c>
      <c r="I1497" s="3">
        <f t="shared" si="1687"/>
        <v>1.5008571528066905</v>
      </c>
      <c r="J1497" s="3">
        <f t="shared" si="1687"/>
        <v>1.1726889050265092</v>
      </c>
      <c r="K1497" s="3">
        <f t="shared" si="1687"/>
        <v>1.0716074142760335</v>
      </c>
      <c r="L1497" s="3">
        <f t="shared" ref="L1497:O1497" si="1688">SUM(L1498,L1503,L1508)</f>
        <v>0.93756066075119604</v>
      </c>
      <c r="M1497" s="3">
        <f t="shared" si="1688"/>
        <v>0.47872060717894188</v>
      </c>
      <c r="N1497" s="3">
        <f t="shared" si="1688"/>
        <v>0.27857621596882237</v>
      </c>
      <c r="O1497" s="3">
        <f t="shared" si="1688"/>
        <v>0.15672988950129874</v>
      </c>
      <c r="P1497" s="3">
        <f>SUM(P1498,P1503,P1508)</f>
        <v>0.15404000688844927</v>
      </c>
      <c r="Q1497" s="3">
        <f>SUM(Q1498,Q1503,Q1508)</f>
        <v>0.15311143919827769</v>
      </c>
      <c r="S1497" s="3"/>
    </row>
    <row r="1498" spans="2:19" x14ac:dyDescent="0.5">
      <c r="B1498" s="5" t="str">
        <f>B1497</f>
        <v>SPS1</v>
      </c>
      <c r="C1498" t="str">
        <f t="shared" ref="C1498:C1502" si="1689">C1497</f>
        <v>CH</v>
      </c>
      <c r="D1498" t="s">
        <v>1488</v>
      </c>
      <c r="E1498" t="str">
        <f>E1497</f>
        <v>PJ/yr.</v>
      </c>
      <c r="F1498" s="1">
        <f>SUM(F1499:F1502)</f>
        <v>2.0069110830199435E-3</v>
      </c>
      <c r="G1498" s="1">
        <f t="shared" ref="G1498:K1498" si="1690">SUM(G1499:G1502)</f>
        <v>2.6856222082159375E-3</v>
      </c>
      <c r="H1498" s="1">
        <f t="shared" si="1690"/>
        <v>2.7109250537465891E-3</v>
      </c>
      <c r="I1498" s="1">
        <f t="shared" si="1690"/>
        <v>1.9601679627250998E-3</v>
      </c>
      <c r="J1498" s="1">
        <f t="shared" si="1690"/>
        <v>4.0465243184160292E-4</v>
      </c>
      <c r="K1498" s="1">
        <f t="shared" si="1690"/>
        <v>4.5080973148853802E-4</v>
      </c>
      <c r="L1498" s="1">
        <f t="shared" ref="L1498:O1498" si="1691">SUM(L1499:L1502)</f>
        <v>1.3468195978478246E-3</v>
      </c>
      <c r="M1498" s="1">
        <f t="shared" si="1691"/>
        <v>9.2137769422297511E-2</v>
      </c>
      <c r="N1498" s="1">
        <f t="shared" si="1691"/>
        <v>0.13143308002297327</v>
      </c>
      <c r="O1498" s="1">
        <f t="shared" si="1691"/>
        <v>0.15388733177100528</v>
      </c>
      <c r="P1498" s="1">
        <f>SUM(P1499:P1502)</f>
        <v>0.15101079768922193</v>
      </c>
      <c r="Q1498" s="1">
        <f>SUM(Q1499:Q1502)</f>
        <v>0.14794535759038971</v>
      </c>
      <c r="S1498" s="3"/>
    </row>
    <row r="1499" spans="2:19" x14ac:dyDescent="0.5">
      <c r="B1499" t="str">
        <f t="shared" ref="B1499:B1502" si="1692">B1498</f>
        <v>SPS1</v>
      </c>
      <c r="C1499" t="str">
        <f t="shared" si="1689"/>
        <v>CH</v>
      </c>
      <c r="D1499" t="s">
        <v>1489</v>
      </c>
      <c r="E1499" t="str">
        <f t="shared" ref="E1499:E1502" si="1693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1.5560661957034784E-3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2.0872578643325954E-3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2.0950945875445126E-3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1.4016407986123705E-3</v>
      </c>
      <c r="J1499" s="1" cm="1">
        <f t="array" ref="J1499">SUMPRODUCT(("T_TW-BEVELC-S1"=[1]OUT_TransportEnergyCons!$A$3:$A$1000)*1,("Var_Fin"=[1]OUT_TransportEnergyCons!$B$3:$B$1000)*1,ISNUMBER(SEARCH("ELC",[1]OUT_TransportEnergyCons!$C$3:$C$1000))*1,[1]OUT_TransportEnergyCons!H$3:H$1000)</f>
        <v>1.1248366773541275E-4</v>
      </c>
      <c r="K1499" s="1" cm="1">
        <f t="array" ref="K1499">SUMPRODUCT(("T_TW-BEVELC-S1"=[1]OUT_TransportEnergyCons!$A$3:$A$1000)*1,("Var_Fin"=[1]OUT_TransportEnergyCons!$B$3:$B$1000)*1,ISNUMBER(SEARCH("ELC",[1]OUT_TransportEnergyCons!$C$3:$C$1000))*1,[1]OUT_TransportEnergyCons!I$3:I$1000)</f>
        <v>1.8151221228298873E-4</v>
      </c>
      <c r="L1499" s="1" cm="1">
        <f t="array" ref="L1499">SUMPRODUCT(("T_TW-BEVELC-S1"=[1]OUT_TransportEnergyCons!$A$3:$A$1000)*1,("Var_Fin"=[1]OUT_TransportEnergyCons!$B$3:$B$1000)*1,ISNUMBER(SEARCH("ELC",[1]OUT_TransportEnergyCons!$C$3:$C$1000))*1,[1]OUT_TransportEnergyCons!J$3:J$1000)</f>
        <v>1.0706436874819568E-3</v>
      </c>
      <c r="M1499" s="1" cm="1">
        <f t="array" ref="M1499">SUMPRODUCT(("T_TW-BEVELC-S1"=[1]OUT_TransportEnergyCons!$A$3:$A$1000)*1,("Var_Fin"=[1]OUT_TransportEnergyCons!$B$3:$B$1000)*1,ISNUMBER(SEARCH("ELC",[1]OUT_TransportEnergyCons!$C$3:$C$1000))*1,[1]OUT_TransportEnergyCons!K$3:K$1000)</f>
        <v>9.1797701156080172E-2</v>
      </c>
      <c r="N1499" s="1" cm="1">
        <f t="array" ref="N1499">SUMPRODUCT(("T_TW-BEVELC-S1"=[1]OUT_TransportEnergyCons!$A$3:$A$1000)*1,("Var_Fin"=[1]OUT_TransportEnergyCons!$B$3:$B$1000)*1,ISNUMBER(SEARCH("ELC",[1]OUT_TransportEnergyCons!$C$3:$C$1000))*1,[1]OUT_TransportEnergyCons!L$3:L$1000)</f>
        <v>0.13103445097594443</v>
      </c>
      <c r="O1499" s="1" cm="1">
        <f t="array" ref="O1499">SUMPRODUCT(("T_TW-BEVELC-S1"=[1]OUT_TransportEnergyCons!$A$3:$A$1000)*1,("Var_Fin"=[1]OUT_TransportEnergyCons!$B$3:$B$1000)*1,ISNUMBER(SEARCH("ELC",[1]OUT_TransportEnergyCons!$C$3:$C$1000))*1,[1]OUT_TransportEnergyCons!M$3:M$1000)</f>
        <v>0.15339008412569727</v>
      </c>
      <c r="P1499" s="1" cm="1">
        <f t="array" ref="P1499">SUMPRODUCT(("T_TW-BEVELC-S1"=[1]OUT_TransportEnergyCons!$A$3:$A$1000)*1,("Var_Fin"=[1]OUT_TransportEnergyCons!$B$3:$B$1000)*1,ISNUMBER(SEARCH("ELC",[1]OUT_TransportEnergyCons!$C$3:$C$1000))*1,[1]OUT_TransportEnergyCons!N$3:N$1000)</f>
        <v>0.15048434038262101</v>
      </c>
      <c r="Q1499" s="1" cm="1">
        <f t="array" ref="Q1499">SUMPRODUCT(("T_TW-BEVELC-S1"=[1]OUT_TransportEnergyCons!$A$3:$A$1000)*1,("Var_Fin"=[1]OUT_TransportEnergyCons!$B$3:$B$1000)*1,ISNUMBER(SEARCH("ELC",[1]OUT_TransportEnergyCons!$C$3:$C$1000))*1,[1]OUT_TransportEnergyCons!O$3:O$1000)</f>
        <v>0.14724531854841841</v>
      </c>
      <c r="S1499" s="3"/>
    </row>
    <row r="1500" spans="2:19" x14ac:dyDescent="0.5">
      <c r="B1500" t="str">
        <f t="shared" si="1692"/>
        <v>SPS1</v>
      </c>
      <c r="C1500" t="str">
        <f t="shared" si="1689"/>
        <v>CH</v>
      </c>
      <c r="D1500" t="s">
        <v>1490</v>
      </c>
      <c r="E1500" t="str">
        <f t="shared" si="1693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3.5723403441114028E-4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4.3177321825226152E-4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4.3428181347196482E-4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3.6339197735787255E-4</v>
      </c>
      <c r="J1500" s="1" cm="1">
        <f t="array" ref="J1500">SUMPRODUCT(("T_TW-BEVELC-S2"=[1]OUT_TransportEnergyCons!$A$3:$A$1000)*1,("Var_Fin"=[1]OUT_TransportEnergyCons!$B$3:$B$1000)*1,ISNUMBER(SEARCH("ELC",[1]OUT_TransportEnergyCons!$C$3:$C$1000))*1,[1]OUT_TransportEnergyCons!H$3:H$1000)</f>
        <v>6.2575292570056658E-5</v>
      </c>
      <c r="K1500" s="1" cm="1">
        <f t="array" ref="K1500">SUMPRODUCT(("T_TW-BEVELC-S2"=[1]OUT_TransportEnergyCons!$A$3:$A$1000)*1,("Var_Fin"=[1]OUT_TransportEnergyCons!$B$3:$B$1000)*1,ISNUMBER(SEARCH("ELC",[1]OUT_TransportEnergyCons!$C$3:$C$1000))*1,[1]OUT_TransportEnergyCons!I$3:I$1000)</f>
        <v>6.1950654195531786E-5</v>
      </c>
      <c r="L1500" s="1" cm="1">
        <f t="array" ref="L1500">SUMPRODUCT(("T_TW-BEVELC-S2"=[1]OUT_TransportEnergyCons!$A$3:$A$1000)*1,("Var_Fin"=[1]OUT_TransportEnergyCons!$B$3:$B$1000)*1,ISNUMBER(SEARCH("ELC",[1]OUT_TransportEnergyCons!$C$3:$C$1000))*1,[1]OUT_TransportEnergyCons!J$3:J$1000)</f>
        <v>9.1232605791622916E-5</v>
      </c>
      <c r="M1500" s="1" cm="1">
        <f t="array" ref="M1500">SUMPRODUCT(("T_TW-BEVELC-S2"=[1]OUT_TransportEnergyCons!$A$3:$A$1000)*1,("Var_Fin"=[1]OUT_TransportEnergyCons!$B$3:$B$1000)*1,ISNUMBER(SEARCH("ELC",[1]OUT_TransportEnergyCons!$C$3:$C$1000))*1,[1]OUT_TransportEnergyCons!K$3:K$1000)</f>
        <v>1.2147793546031718E-4</v>
      </c>
      <c r="N1500" s="1" cm="1">
        <f t="array" ref="N1500">SUMPRODUCT(("T_TW-BEVELC-S2"=[1]OUT_TransportEnergyCons!$A$3:$A$1000)*1,("Var_Fin"=[1]OUT_TransportEnergyCons!$B$3:$B$1000)*1,ISNUMBER(SEARCH("ELC",[1]OUT_TransportEnergyCons!$C$3:$C$1000))*1,[1]OUT_TransportEnergyCons!L$3:L$1000)</f>
        <v>1.4054532793576833E-4</v>
      </c>
      <c r="O1500" s="1" cm="1">
        <f t="array" ref="O1500">SUMPRODUCT(("T_TW-BEVELC-S2"=[1]OUT_TransportEnergyCons!$A$3:$A$1000)*1,("Var_Fin"=[1]OUT_TransportEnergyCons!$B$3:$B$1000)*1,ISNUMBER(SEARCH("ELC",[1]OUT_TransportEnergyCons!$C$3:$C$1000))*1,[1]OUT_TransportEnergyCons!M$3:M$1000)</f>
        <v>1.8695546403945748E-4</v>
      </c>
      <c r="P1500" s="1" cm="1">
        <f t="array" ref="P1500">SUMPRODUCT(("T_TW-BEVELC-S2"=[1]OUT_TransportEnergyCons!$A$3:$A$1000)*1,("Var_Fin"=[1]OUT_TransportEnergyCons!$B$3:$B$1000)*1,ISNUMBER(SEARCH("ELC",[1]OUT_TransportEnergyCons!$C$3:$C$1000))*1,[1]OUT_TransportEnergyCons!N$3:N$1000)</f>
        <v>1.7821670505901484E-4</v>
      </c>
      <c r="Q1500" s="1" cm="1">
        <f t="array" ref="Q1500">SUMPRODUCT(("T_TW-BEVELC-S2"=[1]OUT_TransportEnergyCons!$A$3:$A$1000)*1,("Var_Fin"=[1]OUT_TransportEnergyCons!$B$3:$B$1000)*1,ISNUMBER(SEARCH("ELC",[1]OUT_TransportEnergyCons!$C$3:$C$1000))*1,[1]OUT_TransportEnergyCons!O$3:O$1000)</f>
        <v>2.6186357834954028E-4</v>
      </c>
      <c r="S1500" s="3"/>
    </row>
    <row r="1501" spans="2:19" x14ac:dyDescent="0.5">
      <c r="B1501" t="str">
        <f t="shared" si="1692"/>
        <v>SPS1</v>
      </c>
      <c r="C1501" t="str">
        <f t="shared" si="1689"/>
        <v>CH</v>
      </c>
      <c r="D1501" t="s">
        <v>1492</v>
      </c>
      <c r="E1501" t="str">
        <f t="shared" si="1693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7.7895448745639361E-5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1.2993810885465331E-4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1.3635794450563116E-4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1.4181552860645919E-4</v>
      </c>
      <c r="J1501" s="1" cm="1">
        <f t="array" ref="J1501">SUMPRODUCT(("T_TW-BEVELC-S3"=[1]OUT_TransportEnergyCons!$A$3:$A$1000)*1,("Var_Fin"=[1]OUT_TransportEnergyCons!$B$3:$B$1000)*1,ISNUMBER(SEARCH("ELC",[1]OUT_TransportEnergyCons!$C$3:$C$1000))*1,[1]OUT_TransportEnergyCons!H$3:H$1000)</f>
        <v>1.6107962287176416E-4</v>
      </c>
      <c r="K1501" s="1" cm="1">
        <f t="array" ref="K1501">SUMPRODUCT(("T_TW-BEVELC-S3"=[1]OUT_TransportEnergyCons!$A$3:$A$1000)*1,("Var_Fin"=[1]OUT_TransportEnergyCons!$B$3:$B$1000)*1,ISNUMBER(SEARCH("ELC",[1]OUT_TransportEnergyCons!$C$3:$C$1000))*1,[1]OUT_TransportEnergyCons!I$3:I$1000)</f>
        <v>1.2040348332394953E-4</v>
      </c>
      <c r="L1501" s="1" cm="1">
        <f t="array" ref="L1501">SUMPRODUCT(("T_TW-BEVELC-S3"=[1]OUT_TransportEnergyCons!$A$3:$A$1000)*1,("Var_Fin"=[1]OUT_TransportEnergyCons!$B$3:$B$1000)*1,ISNUMBER(SEARCH("ELC",[1]OUT_TransportEnergyCons!$C$3:$C$1000))*1,[1]OUT_TransportEnergyCons!J$3:J$1000)</f>
        <v>9.288519230994751E-5</v>
      </c>
      <c r="M1501" s="1" cm="1">
        <f t="array" ref="M1501">SUMPRODUCT(("T_TW-BEVELC-S3"=[1]OUT_TransportEnergyCons!$A$3:$A$1000)*1,("Var_Fin"=[1]OUT_TransportEnergyCons!$B$3:$B$1000)*1,ISNUMBER(SEARCH("ELC",[1]OUT_TransportEnergyCons!$C$3:$C$1000))*1,[1]OUT_TransportEnergyCons!K$3:K$1000)</f>
        <v>1.1987635735125326E-4</v>
      </c>
      <c r="N1501" s="1" cm="1">
        <f t="array" ref="N1501">SUMPRODUCT(("T_TW-BEVELC-S3"=[1]OUT_TransportEnergyCons!$A$3:$A$1000)*1,("Var_Fin"=[1]OUT_TransportEnergyCons!$B$3:$B$1000)*1,ISNUMBER(SEARCH("ELC",[1]OUT_TransportEnergyCons!$C$3:$C$1000))*1,[1]OUT_TransportEnergyCons!L$3:L$1000)</f>
        <v>1.4153179356877178E-4</v>
      </c>
      <c r="O1501" s="1" cm="1">
        <f t="array" ref="O1501">SUMPRODUCT(("T_TW-BEVELC-S3"=[1]OUT_TransportEnergyCons!$A$3:$A$1000)*1,("Var_Fin"=[1]OUT_TransportEnergyCons!$B$3:$B$1000)*1,ISNUMBER(SEARCH("ELC",[1]OUT_TransportEnergyCons!$C$3:$C$1000))*1,[1]OUT_TransportEnergyCons!M$3:M$1000)</f>
        <v>1.7092974450922679E-4</v>
      </c>
      <c r="P1501" s="1" cm="1">
        <f t="array" ref="P1501">SUMPRODUCT(("T_TW-BEVELC-S3"=[1]OUT_TransportEnergyCons!$A$3:$A$1000)*1,("Var_Fin"=[1]OUT_TransportEnergyCons!$B$3:$B$1000)*1,ISNUMBER(SEARCH("ELC",[1]OUT_TransportEnergyCons!$C$3:$C$1000))*1,[1]OUT_TransportEnergyCons!N$3:N$1000)</f>
        <v>1.9317446093238181E-4</v>
      </c>
      <c r="Q1501" s="1" cm="1">
        <f t="array" ref="Q1501">SUMPRODUCT(("T_TW-BEVELC-S3"=[1]OUT_TransportEnergyCons!$A$3:$A$1000)*1,("Var_Fin"=[1]OUT_TransportEnergyCons!$B$3:$B$1000)*1,ISNUMBER(SEARCH("ELC",[1]OUT_TransportEnergyCons!$C$3:$C$1000))*1,[1]OUT_TransportEnergyCons!O$3:O$1000)</f>
        <v>2.4244008913037134E-4</v>
      </c>
      <c r="S1501" s="3"/>
    </row>
    <row r="1502" spans="2:19" x14ac:dyDescent="0.5">
      <c r="B1502" t="str">
        <f t="shared" si="1692"/>
        <v>SPS1</v>
      </c>
      <c r="C1502" t="str">
        <f t="shared" si="1689"/>
        <v>CH</v>
      </c>
      <c r="D1502" t="s">
        <v>1491</v>
      </c>
      <c r="E1502" t="str">
        <f t="shared" si="1693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1.571540415968525E-5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3.6653016776427154E-5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4.5190708224480322E-5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5.3319658148397478E-5</v>
      </c>
      <c r="J1502" s="1" cm="1">
        <f t="array" ref="J1502">SUMPRODUCT(("T_TW-BEVELC-S4"=[1]OUT_TransportEnergyCons!$A$3:$A$1000)*1,("Var_Fin"=[1]OUT_TransportEnergyCons!$B$3:$B$1000)*1,ISNUMBER(SEARCH("ELC",[1]OUT_TransportEnergyCons!$C$3:$C$1000))*1,[1]OUT_TransportEnergyCons!H$3:H$1000)</f>
        <v>6.8513848664369397E-5</v>
      </c>
      <c r="K1502" s="1" cm="1">
        <f t="array" ref="K1502">SUMPRODUCT(("T_TW-BEVELC-S4"=[1]OUT_TransportEnergyCons!$A$3:$A$1000)*1,("Var_Fin"=[1]OUT_TransportEnergyCons!$B$3:$B$1000)*1,ISNUMBER(SEARCH("ELC",[1]OUT_TransportEnergyCons!$C$3:$C$1000))*1,[1]OUT_TransportEnergyCons!I$3:I$1000)</f>
        <v>8.6943381686067976E-5</v>
      </c>
      <c r="L1502" s="1" cm="1">
        <f t="array" ref="L1502">SUMPRODUCT(("T_TW-BEVELC-S4"=[1]OUT_TransportEnergyCons!$A$3:$A$1000)*1,("Var_Fin"=[1]OUT_TransportEnergyCons!$B$3:$B$1000)*1,ISNUMBER(SEARCH("ELC",[1]OUT_TransportEnergyCons!$C$3:$C$1000))*1,[1]OUT_TransportEnergyCons!J$3:J$1000)</f>
        <v>9.2058112264297405E-5</v>
      </c>
      <c r="M1502" s="1" cm="1">
        <f t="array" ref="M1502">SUMPRODUCT(("T_TW-BEVELC-S4"=[1]OUT_TransportEnergyCons!$A$3:$A$1000)*1,("Var_Fin"=[1]OUT_TransportEnergyCons!$B$3:$B$1000)*1,ISNUMBER(SEARCH("ELC",[1]OUT_TransportEnergyCons!$C$3:$C$1000))*1,[1]OUT_TransportEnergyCons!K$3:K$1000)</f>
        <v>9.8713973405771733E-5</v>
      </c>
      <c r="N1502" s="1" cm="1">
        <f t="array" ref="N1502">SUMPRODUCT(("T_TW-BEVELC-S4"=[1]OUT_TransportEnergyCons!$A$3:$A$1000)*1,("Var_Fin"=[1]OUT_TransportEnergyCons!$B$3:$B$1000)*1,ISNUMBER(SEARCH("ELC",[1]OUT_TransportEnergyCons!$C$3:$C$1000))*1,[1]OUT_TransportEnergyCons!L$3:L$1000)</f>
        <v>1.1655192552429424E-4</v>
      </c>
      <c r="O1502" s="1" cm="1">
        <f t="array" ref="O1502">SUMPRODUCT(("T_TW-BEVELC-S4"=[1]OUT_TransportEnergyCons!$A$3:$A$1000)*1,("Var_Fin"=[1]OUT_TransportEnergyCons!$B$3:$B$1000)*1,ISNUMBER(SEARCH("ELC",[1]OUT_TransportEnergyCons!$C$3:$C$1000))*1,[1]OUT_TransportEnergyCons!M$3:M$1000)</f>
        <v>1.3936243675932182E-4</v>
      </c>
      <c r="P1502" s="1" cm="1">
        <f t="array" ref="P1502">SUMPRODUCT(("T_TW-BEVELC-S4"=[1]OUT_TransportEnergyCons!$A$3:$A$1000)*1,("Var_Fin"=[1]OUT_TransportEnergyCons!$B$3:$B$1000)*1,ISNUMBER(SEARCH("ELC",[1]OUT_TransportEnergyCons!$C$3:$C$1000))*1,[1]OUT_TransportEnergyCons!N$3:N$1000)</f>
        <v>1.5506614060949891E-4</v>
      </c>
      <c r="Q1502" s="1" cm="1">
        <f t="array" ref="Q1502">SUMPRODUCT(("T_TW-BEVELC-S4"=[1]OUT_TransportEnergyCons!$A$3:$A$1000)*1,("Var_Fin"=[1]OUT_TransportEnergyCons!$B$3:$B$1000)*1,ISNUMBER(SEARCH("ELC",[1]OUT_TransportEnergyCons!$C$3:$C$1000))*1,[1]OUT_TransportEnergyCons!O$3:O$1000)</f>
        <v>1.9573537449139606E-4</v>
      </c>
      <c r="S1502" s="3"/>
    </row>
    <row r="1503" spans="2:19" x14ac:dyDescent="0.5">
      <c r="B1503" s="5" t="str">
        <f>B1502</f>
        <v>SPS1</v>
      </c>
      <c r="C1503" t="str">
        <f t="shared" ref="C1503:C1507" si="1694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695">SUM(G1504:G1507)</f>
        <v>0</v>
      </c>
      <c r="H1503" s="1">
        <f t="shared" si="1695"/>
        <v>0</v>
      </c>
      <c r="I1503" s="1">
        <f t="shared" si="1695"/>
        <v>3.379687764429311E-5</v>
      </c>
      <c r="J1503" s="1">
        <f t="shared" si="1695"/>
        <v>9.2210075698418846E-5</v>
      </c>
      <c r="K1503" s="1">
        <f t="shared" si="1695"/>
        <v>1.5631034388176169E-4</v>
      </c>
      <c r="L1503" s="1">
        <f t="shared" ref="L1503:O1503" si="1696">SUM(L1504:L1507)</f>
        <v>2.4440761999825947E-4</v>
      </c>
      <c r="M1503" s="1">
        <f t="shared" si="1696"/>
        <v>3.498990917446385E-4</v>
      </c>
      <c r="N1503" s="1">
        <f t="shared" si="1696"/>
        <v>4.3017232433684128E-4</v>
      </c>
      <c r="O1503" s="1">
        <f t="shared" si="1696"/>
        <v>5.3261977588809034E-4</v>
      </c>
      <c r="P1503" s="1">
        <f>SUM(P1504:P1507)</f>
        <v>5.4847624850565811E-4</v>
      </c>
      <c r="Q1503" s="1">
        <f>SUM(Q1504:Q1507)</f>
        <v>7.6324532945893091E-4</v>
      </c>
      <c r="S1503" s="3"/>
    </row>
    <row r="1504" spans="2:19" x14ac:dyDescent="0.5">
      <c r="B1504" t="str">
        <f t="shared" ref="B1504:B1507" si="1697">B1503</f>
        <v>SPS1</v>
      </c>
      <c r="C1504" t="str">
        <f t="shared" si="1694"/>
        <v>CH</v>
      </c>
      <c r="D1504" t="s">
        <v>1494</v>
      </c>
      <c r="E1504" t="str">
        <f t="shared" ref="E1504:E1507" si="1698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1.0530251162486907E-5</v>
      </c>
      <c r="J1504" s="1" cm="1">
        <f t="array" ref="J1504">SUMPRODUCT(("T_TW-fclh2o-S1"=[1]OUT_TransportEnergyCons!$A$3:$A$1000)*1,("Var_Fin"=[1]OUT_TransportEnergyCons!$B$3:$B$1000)*1,ISNUMBER(SEARCH("h2",[1]OUT_TransportEnergyCons!$C$3:$C$1000))*1,[1]OUT_TransportEnergyCons!H$3:H$1000)</f>
        <v>2.9733312927807142E-5</v>
      </c>
      <c r="K1504" s="1" cm="1">
        <f t="array" ref="K1504">SUMPRODUCT(("T_TW-fclh2o-S1"=[1]OUT_TransportEnergyCons!$A$3:$A$1000)*1,("Var_Fin"=[1]OUT_TransportEnergyCons!$B$3:$B$1000)*1,ISNUMBER(SEARCH("h2",[1]OUT_TransportEnergyCons!$C$3:$C$1000))*1,[1]OUT_TransportEnergyCons!I$3:I$1000)</f>
        <v>4.9737199072327289E-5</v>
      </c>
      <c r="L1504" s="1" cm="1">
        <f t="array" ref="L1504">SUMPRODUCT(("T_TW-fclh2o-S1"=[1]OUT_TransportEnergyCons!$A$3:$A$1000)*1,("Var_Fin"=[1]OUT_TransportEnergyCons!$B$3:$B$1000)*1,ISNUMBER(SEARCH("h2",[1]OUT_TransportEnergyCons!$C$3:$C$1000))*1,[1]OUT_TransportEnergyCons!J$3:J$1000)</f>
        <v>9.023859520561941E-5</v>
      </c>
      <c r="M1504" s="1" cm="1">
        <f t="array" ref="M1504">SUMPRODUCT(("T_TW-fclh2o-S1"=[1]OUT_TransportEnergyCons!$A$3:$A$1000)*1,("Var_Fin"=[1]OUT_TransportEnergyCons!$B$3:$B$1000)*1,ISNUMBER(SEARCH("h2",[1]OUT_TransportEnergyCons!$C$3:$C$1000))*1,[1]OUT_TransportEnergyCons!K$3:K$1000)</f>
        <v>1.3489820365540956E-4</v>
      </c>
      <c r="N1504" s="1" cm="1">
        <f t="array" ref="N1504">SUMPRODUCT(("T_TW-fclh2o-S1"=[1]OUT_TransportEnergyCons!$A$3:$A$1000)*1,("Var_Fin"=[1]OUT_TransportEnergyCons!$B$3:$B$1000)*1,ISNUMBER(SEARCH("h2",[1]OUT_TransportEnergyCons!$C$3:$C$1000))*1,[1]OUT_TransportEnergyCons!L$3:L$1000)</f>
        <v>1.7786383138753385E-4</v>
      </c>
      <c r="O1504" s="1" cm="1">
        <f t="array" ref="O1504">SUMPRODUCT(("T_TW-fclh2o-S1"=[1]OUT_TransportEnergyCons!$A$3:$A$1000)*1,("Var_Fin"=[1]OUT_TransportEnergyCons!$B$3:$B$1000)*1,ISNUMBER(SEARCH("h2",[1]OUT_TransportEnergyCons!$C$3:$C$1000))*1,[1]OUT_TransportEnergyCons!M$3:M$1000)</f>
        <v>2.1722679559324254E-4</v>
      </c>
      <c r="P1504" s="1" cm="1">
        <f t="array" ref="P1504">SUMPRODUCT(("T_TW-fclh2o-S1"=[1]OUT_TransportEnergyCons!$A$3:$A$1000)*1,("Var_Fin"=[1]OUT_TransportEnergyCons!$B$3:$B$1000)*1,ISNUMBER(SEARCH("h2",[1]OUT_TransportEnergyCons!$C$3:$C$1000))*1,[1]OUT_TransportEnergyCons!N$3:N$1000)</f>
        <v>2.0681348216685944E-4</v>
      </c>
      <c r="Q1504" s="1" cm="1">
        <f t="array" ref="Q1504">SUMPRODUCT(("T_TW-fclh2o-S1"=[1]OUT_TransportEnergyCons!$A$3:$A$1000)*1,("Var_Fin"=[1]OUT_TransportEnergyCons!$B$3:$B$1000)*1,ISNUMBER(SEARCH("h2",[1]OUT_TransportEnergyCons!$C$3:$C$1000))*1,[1]OUT_TransportEnergyCons!O$3:O$1000)</f>
        <v>3.0500526007731327E-4</v>
      </c>
      <c r="S1504" s="3"/>
    </row>
    <row r="1505" spans="2:19" x14ac:dyDescent="0.5">
      <c r="B1505" t="str">
        <f t="shared" si="1697"/>
        <v>SPS1</v>
      </c>
      <c r="C1505" t="str">
        <f t="shared" si="1694"/>
        <v>CH</v>
      </c>
      <c r="D1505" t="s">
        <v>1495</v>
      </c>
      <c r="E1505" t="str">
        <f t="shared" si="1698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9.2307595337028741E-6</v>
      </c>
      <c r="J1505" s="1" cm="1">
        <f t="array" ref="J1505">SUMPRODUCT(("T_TW-fclh2o-S2"=[1]OUT_TransportEnergyCons!$A$3:$A$1000)*1,("Var_Fin"=[1]OUT_TransportEnergyCons!$B$3:$B$1000)*1,ISNUMBER(SEARCH("h2",[1]OUT_TransportEnergyCons!$C$3:$C$1000))*1,[1]OUT_TransportEnergyCons!H$3:H$1000)</f>
        <v>2.400933914917802E-5</v>
      </c>
      <c r="K1505" s="1" cm="1">
        <f t="array" ref="K1505">SUMPRODUCT(("T_TW-fclh2o-S2"=[1]OUT_TransportEnergyCons!$A$3:$A$1000)*1,("Var_Fin"=[1]OUT_TransportEnergyCons!$B$3:$B$1000)*1,ISNUMBER(SEARCH("h2",[1]OUT_TransportEnergyCons!$C$3:$C$1000))*1,[1]OUT_TransportEnergyCons!I$3:I$1000)</f>
        <v>3.9458877736599983E-5</v>
      </c>
      <c r="L1505" s="1" cm="1">
        <f t="array" ref="L1505">SUMPRODUCT(("T_TW-fclh2o-S2"=[1]OUT_TransportEnergyCons!$A$3:$A$1000)*1,("Var_Fin"=[1]OUT_TransportEnergyCons!$B$3:$B$1000)*1,ISNUMBER(SEARCH("h2",[1]OUT_TransportEnergyCons!$C$3:$C$1000))*1,[1]OUT_TransportEnergyCons!J$3:J$1000)</f>
        <v>5.7506442312998166E-5</v>
      </c>
      <c r="M1505" s="1" cm="1">
        <f t="array" ref="M1505">SUMPRODUCT(("T_TW-fclh2o-S2"=[1]OUT_TransportEnergyCons!$A$3:$A$1000)*1,("Var_Fin"=[1]OUT_TransportEnergyCons!$B$3:$B$1000)*1,ISNUMBER(SEARCH("h2",[1]OUT_TransportEnergyCons!$C$3:$C$1000))*1,[1]OUT_TransportEnergyCons!K$3:K$1000)</f>
        <v>7.7863619065397194E-5</v>
      </c>
      <c r="N1505" s="1" cm="1">
        <f t="array" ref="N1505">SUMPRODUCT(("T_TW-fclh2o-S2"=[1]OUT_TransportEnergyCons!$A$3:$A$1000)*1,("Var_Fin"=[1]OUT_TransportEnergyCons!$B$3:$B$1000)*1,ISNUMBER(SEARCH("h2",[1]OUT_TransportEnergyCons!$C$3:$C$1000))*1,[1]OUT_TransportEnergyCons!L$3:L$1000)</f>
        <v>8.789019658416606E-5</v>
      </c>
      <c r="O1505" s="1" cm="1">
        <f t="array" ref="O1505">SUMPRODUCT(("T_TW-fclh2o-S2"=[1]OUT_TransportEnergyCons!$A$3:$A$1000)*1,("Var_Fin"=[1]OUT_TransportEnergyCons!$B$3:$B$1000)*1,ISNUMBER(SEARCH("h2",[1]OUT_TransportEnergyCons!$C$3:$C$1000))*1,[1]OUT_TransportEnergyCons!M$3:M$1000)</f>
        <v>1.1573865005435111E-4</v>
      </c>
      <c r="P1505" s="1" cm="1">
        <f t="array" ref="P1505">SUMPRODUCT(("T_TW-fclh2o-S2"=[1]OUT_TransportEnergyCons!$A$3:$A$1000)*1,("Var_Fin"=[1]OUT_TransportEnergyCons!$B$3:$B$1000)*1,ISNUMBER(SEARCH("h2",[1]OUT_TransportEnergyCons!$C$3:$C$1000))*1,[1]OUT_TransportEnergyCons!N$3:N$1000)</f>
        <v>1.1197734763728495E-4</v>
      </c>
      <c r="Q1505" s="1" cm="1">
        <f t="array" ref="Q1505">SUMPRODUCT(("T_TW-fclh2o-S2"=[1]OUT_TransportEnergyCons!$A$3:$A$1000)*1,("Var_Fin"=[1]OUT_TransportEnergyCons!$B$3:$B$1000)*1,ISNUMBER(SEARCH("h2",[1]OUT_TransportEnergyCons!$C$3:$C$1000))*1,[1]OUT_TransportEnergyCons!O$3:O$1000)</f>
        <v>1.6660211923309127E-4</v>
      </c>
      <c r="S1505" s="3"/>
    </row>
    <row r="1506" spans="2:19" x14ac:dyDescent="0.5">
      <c r="B1506" t="str">
        <f t="shared" si="1697"/>
        <v>SPS1</v>
      </c>
      <c r="C1506" t="str">
        <f t="shared" si="1694"/>
        <v>CH</v>
      </c>
      <c r="D1506" t="s">
        <v>1496</v>
      </c>
      <c r="E1506" t="str">
        <f t="shared" si="1698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8.4173334498179242E-6</v>
      </c>
      <c r="J1506" s="1" cm="1">
        <f t="array" ref="J1506">SUMPRODUCT(("T_TW-fclh2o-S3"=[1]OUT_TransportEnergyCons!$A$3:$A$1000)*1,("Var_Fin"=[1]OUT_TransportEnergyCons!$B$3:$B$1000)*1,ISNUMBER(SEARCH("h2",[1]OUT_TransportEnergyCons!$C$3:$C$1000))*1,[1]OUT_TransportEnergyCons!H$3:H$1000)</f>
        <v>2.4135820374569975E-5</v>
      </c>
      <c r="K1506" s="1" cm="1">
        <f t="array" ref="K1506">SUMPRODUCT(("T_TW-fclh2o-S3"=[1]OUT_TransportEnergyCons!$A$3:$A$1000)*1,("Var_Fin"=[1]OUT_TransportEnergyCons!$B$3:$B$1000)*1,ISNUMBER(SEARCH("h2",[1]OUT_TransportEnergyCons!$C$3:$C$1000))*1,[1]OUT_TransportEnergyCons!I$3:I$1000)</f>
        <v>4.05725807707143E-5</v>
      </c>
      <c r="L1506" s="1" cm="1">
        <f t="array" ref="L1506">SUMPRODUCT(("T_TW-fclh2o-S3"=[1]OUT_TransportEnergyCons!$A$3:$A$1000)*1,("Var_Fin"=[1]OUT_TransportEnergyCons!$B$3:$B$1000)*1,ISNUMBER(SEARCH("h2",[1]OUT_TransportEnergyCons!$C$3:$C$1000))*1,[1]OUT_TransportEnergyCons!J$3:J$1000)</f>
        <v>5.6967868719560851E-5</v>
      </c>
      <c r="M1506" s="1" cm="1">
        <f t="array" ref="M1506">SUMPRODUCT(("T_TW-fclh2o-S3"=[1]OUT_TransportEnergyCons!$A$3:$A$1000)*1,("Var_Fin"=[1]OUT_TransportEnergyCons!$B$3:$B$1000)*1,ISNUMBER(SEARCH("h2",[1]OUT_TransportEnergyCons!$C$3:$C$1000))*1,[1]OUT_TransportEnergyCons!K$3:K$1000)</f>
        <v>7.7523929389414396E-5</v>
      </c>
      <c r="N1506" s="1" cm="1">
        <f t="array" ref="N1506">SUMPRODUCT(("T_TW-fclh2o-S3"=[1]OUT_TransportEnergyCons!$A$3:$A$1000)*1,("Var_Fin"=[1]OUT_TransportEnergyCons!$B$3:$B$1000)*1,ISNUMBER(SEARCH("h2",[1]OUT_TransportEnergyCons!$C$3:$C$1000))*1,[1]OUT_TransportEnergyCons!L$3:L$1000)</f>
        <v>9.1870453810334701E-5</v>
      </c>
      <c r="O1506" s="1" cm="1">
        <f t="array" ref="O1506">SUMPRODUCT(("T_TW-fclh2o-S3"=[1]OUT_TransportEnergyCons!$A$3:$A$1000)*1,("Var_Fin"=[1]OUT_TransportEnergyCons!$B$3:$B$1000)*1,ISNUMBER(SEARCH("h2",[1]OUT_TransportEnergyCons!$C$3:$C$1000))*1,[1]OUT_TransportEnergyCons!M$3:M$1000)</f>
        <v>1.1067083048932378E-4</v>
      </c>
      <c r="P1506" s="1" cm="1">
        <f t="array" ref="P1506">SUMPRODUCT(("T_TW-fclh2o-S3"=[1]OUT_TransportEnergyCons!$A$3:$A$1000)*1,("Var_Fin"=[1]OUT_TransportEnergyCons!$B$3:$B$1000)*1,ISNUMBER(SEARCH("h2",[1]OUT_TransportEnergyCons!$C$3:$C$1000))*1,[1]OUT_TransportEnergyCons!N$3:N$1000)</f>
        <v>1.2794294124769204E-4</v>
      </c>
      <c r="Q1506" s="1" cm="1">
        <f t="array" ref="Q1506">SUMPRODUCT(("T_TW-fclh2o-S3"=[1]OUT_TransportEnergyCons!$A$3:$A$1000)*1,("Var_Fin"=[1]OUT_TransportEnergyCons!$B$3:$B$1000)*1,ISNUMBER(SEARCH("h2",[1]OUT_TransportEnergyCons!$C$3:$C$1000))*1,[1]OUT_TransportEnergyCons!O$3:O$1000)</f>
        <v>1.605054699650629E-4</v>
      </c>
      <c r="S1506" s="3"/>
    </row>
    <row r="1507" spans="2:19" x14ac:dyDescent="0.5">
      <c r="B1507" t="str">
        <f t="shared" si="1697"/>
        <v>SPS1</v>
      </c>
      <c r="C1507" t="str">
        <f t="shared" si="1694"/>
        <v>CH</v>
      </c>
      <c r="D1507" t="s">
        <v>1497</v>
      </c>
      <c r="E1507" t="str">
        <f t="shared" si="1698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5.6185334982854025E-6</v>
      </c>
      <c r="J1507" s="1" cm="1">
        <f t="array" ref="J1507">SUMPRODUCT(("T_TW-fclh2o-S4"=[1]OUT_TransportEnergyCons!$A$3:$A$1000)*1,("Var_Fin"=[1]OUT_TransportEnergyCons!$B$3:$B$1000)*1,ISNUMBER(SEARCH("h2",[1]OUT_TransportEnergyCons!$C$3:$C$1000))*1,[1]OUT_TransportEnergyCons!H$3:H$1000)</f>
        <v>1.4331603246863712E-5</v>
      </c>
      <c r="K1507" s="1" cm="1">
        <f t="array" ref="K1507">SUMPRODUCT(("T_TW-fclh2o-S4"=[1]OUT_TransportEnergyCons!$A$3:$A$1000)*1,("Var_Fin"=[1]OUT_TransportEnergyCons!$B$3:$B$1000)*1,ISNUMBER(SEARCH("h2",[1]OUT_TransportEnergyCons!$C$3:$C$1000))*1,[1]OUT_TransportEnergyCons!I$3:I$1000)</f>
        <v>2.654168630212013E-5</v>
      </c>
      <c r="L1507" s="1" cm="1">
        <f t="array" ref="L1507">SUMPRODUCT(("T_TW-fclh2o-S4"=[1]OUT_TransportEnergyCons!$A$3:$A$1000)*1,("Var_Fin"=[1]OUT_TransportEnergyCons!$B$3:$B$1000)*1,ISNUMBER(SEARCH("h2",[1]OUT_TransportEnergyCons!$C$3:$C$1000))*1,[1]OUT_TransportEnergyCons!J$3:J$1000)</f>
        <v>3.9694713760081058E-5</v>
      </c>
      <c r="M1507" s="1" cm="1">
        <f t="array" ref="M1507">SUMPRODUCT(("T_TW-fclh2o-S4"=[1]OUT_TransportEnergyCons!$A$3:$A$1000)*1,("Var_Fin"=[1]OUT_TransportEnergyCons!$B$3:$B$1000)*1,ISNUMBER(SEARCH("h2",[1]OUT_TransportEnergyCons!$C$3:$C$1000))*1,[1]OUT_TransportEnergyCons!K$3:K$1000)</f>
        <v>5.9613339634417358E-5</v>
      </c>
      <c r="N1507" s="1" cm="1">
        <f t="array" ref="N1507">SUMPRODUCT(("T_TW-fclh2o-S4"=[1]OUT_TransportEnergyCons!$A$3:$A$1000)*1,("Var_Fin"=[1]OUT_TransportEnergyCons!$B$3:$B$1000)*1,ISNUMBER(SEARCH("h2",[1]OUT_TransportEnergyCons!$C$3:$C$1000))*1,[1]OUT_TransportEnergyCons!L$3:L$1000)</f>
        <v>7.2547842554806613E-5</v>
      </c>
      <c r="O1507" s="1" cm="1">
        <f t="array" ref="O1507">SUMPRODUCT(("T_TW-fclh2o-S4"=[1]OUT_TransportEnergyCons!$A$3:$A$1000)*1,("Var_Fin"=[1]OUT_TransportEnergyCons!$B$3:$B$1000)*1,ISNUMBER(SEARCH("h2",[1]OUT_TransportEnergyCons!$C$3:$C$1000))*1,[1]OUT_TransportEnergyCons!M$3:M$1000)</f>
        <v>8.8983499751172924E-5</v>
      </c>
      <c r="P1507" s="1" cm="1">
        <f t="array" ref="P1507">SUMPRODUCT(("T_TW-fclh2o-S4"=[1]OUT_TransportEnergyCons!$A$3:$A$1000)*1,("Var_Fin"=[1]OUT_TransportEnergyCons!$B$3:$B$1000)*1,ISNUMBER(SEARCH("h2",[1]OUT_TransportEnergyCons!$C$3:$C$1000))*1,[1]OUT_TransportEnergyCons!N$3:N$1000)</f>
        <v>1.0174247745382164E-4</v>
      </c>
      <c r="Q1507" s="1" cm="1">
        <f t="array" ref="Q1507">SUMPRODUCT(("T_TW-fclh2o-S4"=[1]OUT_TransportEnergyCons!$A$3:$A$1000)*1,("Var_Fin"=[1]OUT_TransportEnergyCons!$B$3:$B$1000)*1,ISNUMBER(SEARCH("h2",[1]OUT_TransportEnergyCons!$C$3:$C$1000))*1,[1]OUT_TransportEnergyCons!O$3:O$1000)</f>
        <v>1.3113248018346347E-4</v>
      </c>
      <c r="S1507" s="3"/>
    </row>
    <row r="1508" spans="2:19" x14ac:dyDescent="0.5">
      <c r="B1508" s="5" t="str">
        <f>B1507</f>
        <v>SPS1</v>
      </c>
      <c r="C1508" t="str">
        <f t="shared" ref="C1508:C1518" si="1699">C1507</f>
        <v>CH</v>
      </c>
      <c r="D1508" t="s">
        <v>1498</v>
      </c>
      <c r="E1508" t="str">
        <f>E1507</f>
        <v>PJ/yr.</v>
      </c>
      <c r="F1508" s="1">
        <f>SUM(F1513:F1517)</f>
        <v>2.4091776781275134</v>
      </c>
      <c r="G1508" s="1">
        <f t="shared" ref="G1508:K1508" si="1700">SUM(G1513:G1517)</f>
        <v>1.6942309066101848</v>
      </c>
      <c r="H1508" s="1">
        <f t="shared" si="1700"/>
        <v>1.671759867593106</v>
      </c>
      <c r="I1508" s="1">
        <f t="shared" si="1700"/>
        <v>1.4988631879663212</v>
      </c>
      <c r="J1508" s="1">
        <f t="shared" si="1700"/>
        <v>1.1721920425189691</v>
      </c>
      <c r="K1508" s="1">
        <f t="shared" si="1700"/>
        <v>1.0710002942006631</v>
      </c>
      <c r="L1508" s="1">
        <f t="shared" ref="L1508:O1508" si="1701">SUM(L1513:L1517)</f>
        <v>0.93596943353334994</v>
      </c>
      <c r="M1508" s="1">
        <f t="shared" si="1701"/>
        <v>0.38623293866489972</v>
      </c>
      <c r="N1508" s="1">
        <f t="shared" si="1701"/>
        <v>0.14671296362151226</v>
      </c>
      <c r="O1508" s="1">
        <f t="shared" si="1701"/>
        <v>2.3099379544053748E-3</v>
      </c>
      <c r="P1508" s="1">
        <f>SUM(P1513:P1517)</f>
        <v>2.4807329507216896E-3</v>
      </c>
      <c r="Q1508" s="1">
        <f>SUM(Q1513:Q1517)</f>
        <v>4.4028362784290535E-3</v>
      </c>
      <c r="S1508" s="3"/>
    </row>
    <row r="1509" spans="2:19" x14ac:dyDescent="0.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2.2772986670875754</v>
      </c>
      <c r="G1509" s="1">
        <f t="shared" ref="G1509:K1509" si="1702">IF(G1508-G1510&lt;0,0,G1508-G1510)</f>
        <v>1.6014884061345143</v>
      </c>
      <c r="H1509" s="1">
        <f t="shared" si="1702"/>
        <v>1.5802473500850134</v>
      </c>
      <c r="I1509" s="1">
        <f t="shared" si="1702"/>
        <v>1.4167964869683172</v>
      </c>
      <c r="J1509" s="1">
        <f t="shared" si="1702"/>
        <v>1.1047047335656277</v>
      </c>
      <c r="K1509" s="1">
        <f t="shared" si="1702"/>
        <v>0.99624794294080243</v>
      </c>
      <c r="L1509" s="1">
        <f t="shared" ref="L1509:O1509" si="1703">IF(L1508-L1510&lt;0,0,L1508-L1510)</f>
        <v>0.36861216679769493</v>
      </c>
      <c r="M1509" s="1">
        <f t="shared" si="1703"/>
        <v>0</v>
      </c>
      <c r="N1509" s="1">
        <f t="shared" si="1703"/>
        <v>1.7115639182390702E-2</v>
      </c>
      <c r="O1509" s="1">
        <f t="shared" si="1703"/>
        <v>2.7002917645819547E-4</v>
      </c>
      <c r="P1509" s="1">
        <f>IF(P1508-P1510&lt;0,0,P1508-P1510)</f>
        <v>2.1671013918477065E-4</v>
      </c>
      <c r="Q1509" s="1">
        <f>IF(Q1508-Q1510&lt;0,0,Q1508-Q1510)</f>
        <v>3.676336366129811E-4</v>
      </c>
      <c r="S1509" s="3"/>
    </row>
    <row r="1510" spans="2:19" x14ac:dyDescent="0.5">
      <c r="B1510" s="5" t="str">
        <f t="shared" ref="B1510:B1512" si="1704">B1509</f>
        <v>SPS1</v>
      </c>
      <c r="C1510" s="5" t="str">
        <f t="shared" ref="C1510:C1512" si="1705">C1509</f>
        <v>CH</v>
      </c>
      <c r="D1510" t="s">
        <v>1500</v>
      </c>
      <c r="E1510" t="str">
        <f>E1509</f>
        <v>PJ/yr.</v>
      </c>
      <c r="F1510" s="1">
        <f>SUM(F1511:F1512)</f>
        <v>0.13187901103993813</v>
      </c>
      <c r="G1510" s="1">
        <f t="shared" ref="G1510" si="1706">SUM(G1511:G1512)</f>
        <v>9.2742500475670481E-2</v>
      </c>
      <c r="H1510" s="1">
        <f t="shared" ref="H1510" si="1707">SUM(H1511:H1512)</f>
        <v>9.1512517508092694E-2</v>
      </c>
      <c r="I1510" s="1">
        <f t="shared" ref="I1510" si="1708">SUM(I1511:I1512)</f>
        <v>8.2066700998004158E-2</v>
      </c>
      <c r="J1510" s="1">
        <f t="shared" ref="J1510" si="1709">SUM(J1511:J1512)</f>
        <v>6.7487308953341485E-2</v>
      </c>
      <c r="K1510" s="1">
        <f t="shared" ref="K1510" si="1710">SUM(K1511:K1512)</f>
        <v>7.4752351259860739E-2</v>
      </c>
      <c r="L1510" s="1">
        <f t="shared" ref="L1510:O1510" si="1711">SUM(L1511:L1512)</f>
        <v>0.56735726673565501</v>
      </c>
      <c r="M1510" s="1">
        <f t="shared" si="1711"/>
        <v>0.38709727079021772</v>
      </c>
      <c r="N1510" s="1">
        <f t="shared" si="1711"/>
        <v>0.12959732443912156</v>
      </c>
      <c r="O1510" s="1">
        <f t="shared" si="1711"/>
        <v>2.0399087779471793E-3</v>
      </c>
      <c r="P1510" s="1">
        <f>SUM(P1511:P1512)</f>
        <v>2.2640228115369189E-3</v>
      </c>
      <c r="Q1510" s="1">
        <f>SUM(Q1511:Q1512)</f>
        <v>4.0352026418160724E-3</v>
      </c>
      <c r="S1510" s="3"/>
    </row>
    <row r="1511" spans="2:19" x14ac:dyDescent="0.5">
      <c r="B1511" s="5" t="str">
        <f t="shared" si="1704"/>
        <v>SPS1</v>
      </c>
      <c r="C1511" s="5" t="str">
        <f t="shared" si="1705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0.13187901103993813</v>
      </c>
      <c r="G1511" s="1">
        <f>[1]Transport!C$25/SUM([1]Transport!C$21,[1]Transport!C$25)*G1508*(G$35+G$600)/(G$35+G$600+G$39)</f>
        <v>9.2742500475670481E-2</v>
      </c>
      <c r="H1511" s="1">
        <f>[1]Transport!D$25/SUM([1]Transport!D$21,[1]Transport!D$25)*H1508*(H$35+H$600)/(H$35+H$600+H$39)</f>
        <v>9.1512517508092694E-2</v>
      </c>
      <c r="I1511" s="1">
        <f>[1]Transport!E$25/SUM([1]Transport!E$21,[1]Transport!E$25)*I1508*(I$35+I$600)/(I$35+I$600+I$39)</f>
        <v>8.2066700998004158E-2</v>
      </c>
      <c r="J1511" s="1">
        <f>[1]Transport!F$25/SUM([1]Transport!F$21,[1]Transport!F$25)*J1508*(J$35+J$600)/(J$35+J$600+J$39)</f>
        <v>6.7487308953341485E-2</v>
      </c>
      <c r="K1511" s="1">
        <f>[1]Transport!G$25/SUM([1]Transport!G$21,[1]Transport!G$25)*K1508*(K$35+K$600)/(K$35+K$600+K$39)</f>
        <v>5.8642866017424362E-2</v>
      </c>
      <c r="L1511" s="1">
        <f>[1]Transport!H$25/SUM([1]Transport!H$21,[1]Transport!H$25)*L1508*(L$35+L$600)/(L$35+L$600+L$39)</f>
        <v>0.53445872733902344</v>
      </c>
      <c r="M1511" s="1">
        <f>[1]Transport!I$25/SUM([1]Transport!I$21,[1]Transport!I$25)*M1508*(M$35+M$600)/(M$35+M$600+M$39)</f>
        <v>0.328283582319085</v>
      </c>
      <c r="N1511" s="1">
        <f>[1]Transport!J$25/SUM([1]Transport!J$21,[1]Transport!J$25)*N1508*(N$35+N$600)/(N$35+N$600+N$39)</f>
        <v>0.12470203639105758</v>
      </c>
      <c r="O1511" s="1">
        <f>[1]Transport!K$25/SUM([1]Transport!K$21,[1]Transport!K$25)*O1508*(O$35+O$600)/(O$35+O$600+O$39)</f>
        <v>1.9633297124820107E-3</v>
      </c>
      <c r="P1511" s="1">
        <f>[1]Transport!L$25/SUM([1]Transport!L$21,[1]Transport!L$25)*P1508*(P$35+P$600)/(P$35+P$600+P$39)</f>
        <v>2.1084930039485896E-3</v>
      </c>
      <c r="Q1511" s="1">
        <f>[1]Transport!M$25/SUM([1]Transport!M$21,[1]Transport!M$25)*Q1508*(Q$35+Q$600)/(Q$35+Q$600+Q$39)</f>
        <v>3.7419096214636525E-3</v>
      </c>
      <c r="S1511" s="3"/>
    </row>
    <row r="1512" spans="2:19" x14ac:dyDescent="0.5">
      <c r="B1512" s="5" t="str">
        <f t="shared" si="1704"/>
        <v>SPS1</v>
      </c>
      <c r="C1512" s="5" t="str">
        <f t="shared" si="1705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(J$39+J$719)/([1]Transport!F$21+[1]Transport!F$25)*J1508</f>
        <v>0</v>
      </c>
      <c r="K1512" s="1">
        <f>(K$39+K$719)/([1]Transport!G$21+[1]Transport!G$25)*K1508</f>
        <v>1.610948524243638E-2</v>
      </c>
      <c r="L1512" s="1">
        <f>(L$39+L$719)/([1]Transport!H$21+[1]Transport!H$25)*L1508</f>
        <v>3.2898539396631572E-2</v>
      </c>
      <c r="M1512" s="1">
        <f>(M$39+M$719)/([1]Transport!I$21+[1]Transport!I$25)*M1508</f>
        <v>5.8813688471132719E-2</v>
      </c>
      <c r="N1512" s="1">
        <f>(N$39+N$719)/([1]Transport!J$21+[1]Transport!J$25)*N1508</f>
        <v>4.8952880480639819E-3</v>
      </c>
      <c r="O1512" s="1">
        <f>(O$39+O$719)/([1]Transport!K$21+[1]Transport!K$25)*O1508</f>
        <v>7.6579065465168754E-5</v>
      </c>
      <c r="P1512" s="1">
        <f>(P$39+P$719)/([1]Transport!L$21+[1]Transport!L$25)*P1508</f>
        <v>1.5552980758832917E-4</v>
      </c>
      <c r="Q1512" s="1">
        <f>(Q$39+Q$719)/([1]Transport!M$21+[1]Transport!M$25)*Q1508</f>
        <v>2.9329302035242008E-4</v>
      </c>
      <c r="S1512" s="3"/>
    </row>
    <row r="1513" spans="2:19" x14ac:dyDescent="0.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1.9933583779152619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0.71276757923841672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0.69169275227173488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0.45303935595012562</v>
      </c>
      <c r="J1513" s="1" cm="1">
        <f t="array" ref="J1513">SUMPRODUCT(("T_TW-ICEGSLEXT"=[1]OUT_TransportEnergyCons!$A$3:$A$1000)*1,("Var_Fin"=[1]OUT_TransportEnergyCons!$B$3:$B$1000)*1,ISNUMBER(SEARCH("gsl",[1]OUT_TransportEnergyCons!$C$3:$C$1000))*1,[1]OUT_TransportEnergyCons!H$3:H$1000)</f>
        <v>0</v>
      </c>
      <c r="K1513" s="1" cm="1">
        <f t="array" ref="K1513">SUMPRODUCT(("T_TW-ICEGSLEXT"=[1]OUT_TransportEnergyCons!$A$3:$A$1000)*1,("Var_Fin"=[1]OUT_TransportEnergyCons!$B$3:$B$1000)*1,ISNUMBER(SEARCH("gsl",[1]OUT_TransportEnergyCons!$C$3:$C$1000))*1,[1]OUT_TransportEnergyCons!I$3:I$1000)</f>
        <v>0</v>
      </c>
      <c r="L1513" s="1" cm="1">
        <f t="array" ref="L1513">SUMPRODUCT(("T_TW-ICEGSLEXT"=[1]OUT_TransportEnergyCons!$A$3:$A$1000)*1,("Var_Fin"=[1]OUT_TransportEnergyCons!$B$3:$B$1000)*1,ISNUMBER(SEARCH("gsl",[1]OUT_TransportEnergyCons!$C$3:$C$1000))*1,[1]OUT_TransportEnergyCons!J$3:J$1000)</f>
        <v>0</v>
      </c>
      <c r="M1513" s="1" cm="1">
        <f t="array" ref="M1513">SUMPRODUCT(("T_TW-ICEGSLEXT"=[1]OUT_TransportEnergyCons!$A$3:$A$1000)*1,("Var_Fin"=[1]OUT_TransportEnergyCons!$B$3:$B$1000)*1,ISNUMBER(SEARCH("gsl",[1]OUT_TransportEnergyCons!$C$3:$C$1000))*1,[1]OUT_TransportEnergyCons!K$3:K$1000)</f>
        <v>0</v>
      </c>
      <c r="N1513" s="1" cm="1">
        <f t="array" ref="N1513">SUMPRODUCT(("T_TW-ICEGSLEXT"=[1]OUT_TransportEnergyCons!$A$3:$A$1000)*1,("Var_Fin"=[1]OUT_TransportEnergyCons!$B$3:$B$1000)*1,ISNUMBER(SEARCH("gsl",[1]OUT_TransportEnergyCons!$C$3:$C$1000))*1,[1]OUT_TransportEnergyCons!L$3:L$1000)</f>
        <v>0</v>
      </c>
      <c r="O1513" s="1" cm="1">
        <f t="array" ref="O1513">SUMPRODUCT(("T_TW-ICEGSLEXT"=[1]OUT_TransportEnergyCons!$A$3:$A$1000)*1,("Var_Fin"=[1]OUT_TransportEnergyCons!$B$3:$B$1000)*1,ISNUMBER(SEARCH("gsl",[1]OUT_TransportEnergyCons!$C$3:$C$1000))*1,[1]OUT_TransportEnergyCons!M$3:M$1000)</f>
        <v>0</v>
      </c>
      <c r="P1513" s="1" cm="1">
        <f t="array" ref="P1513">SUMPRODUCT(("T_TW-ICEGSLEXT"=[1]OUT_TransportEnergyCons!$A$3:$A$1000)*1,("Var_Fin"=[1]OUT_TransportEnergyCons!$B$3:$B$1000)*1,ISNUMBER(SEARCH("gsl",[1]OUT_TransportEnergyCons!$C$3:$C$1000))*1,[1]OUT_TransportEnergyCons!N$3:N$1000)</f>
        <v>0</v>
      </c>
      <c r="Q1513" s="1" cm="1">
        <f t="array" ref="Q1513">SUMPRODUCT(("T_TW-ICEGSLEXT"=[1]OUT_TransportEnergyCons!$A$3:$A$1000)*1,("Var_Fin"=[1]OUT_TransportEnergyCons!$B$3:$B$1000)*1,ISNUMBER(SEARCH("gsl",[1]OUT_TransportEnergyCons!$C$3:$C$1000))*1,[1]OUT_TransportEnergyCons!O$3:O$1000)</f>
        <v>0</v>
      </c>
      <c r="S1513" s="3"/>
    </row>
    <row r="1514" spans="2:19" x14ac:dyDescent="0.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4.4322731708552075E-2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0.49655879424369981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0.5024332536484144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0.6224707217099873</v>
      </c>
      <c r="J1514" s="1" cm="1">
        <f t="array" ref="J1514">SUMPRODUCT(("T_TW-icegsl-S1"=[1]OUT_TransportEnergyCons!$A$3:$A$1000)*1,("Var_Fin"=[1]OUT_TransportEnergyCons!$B$3:$B$1000)*1,ISNUMBER(SEARCH("gsl",[1]OUT_TransportEnergyCons!$C$3:$C$1000))*1,[1]OUT_TransportEnergyCons!H$3:H$1000)</f>
        <v>0.84893802206711444</v>
      </c>
      <c r="K1514" s="1" cm="1">
        <f t="array" ref="K1514">SUMPRODUCT(("T_TW-icegsl-S1"=[1]OUT_TransportEnergyCons!$A$3:$A$1000)*1,("Var_Fin"=[1]OUT_TransportEnergyCons!$B$3:$B$1000)*1,ISNUMBER(SEARCH("gsl",[1]OUT_TransportEnergyCons!$C$3:$C$1000))*1,[1]OUT_TransportEnergyCons!I$3:I$1000)</f>
        <v>0.89579853374036378</v>
      </c>
      <c r="L1514" s="1" cm="1">
        <f t="array" ref="L1514">SUMPRODUCT(("T_TW-icegsl-S1"=[1]OUT_TransportEnergyCons!$A$3:$A$1000)*1,("Var_Fin"=[1]OUT_TransportEnergyCons!$B$3:$B$1000)*1,ISNUMBER(SEARCH("gsl",[1]OUT_TransportEnergyCons!$C$3:$C$1000))*1,[1]OUT_TransportEnergyCons!J$3:J$1000)</f>
        <v>0.90883288969246379</v>
      </c>
      <c r="M1514" s="1" cm="1">
        <f t="array" ref="M1514">SUMPRODUCT(("T_TW-icegsl-S1"=[1]OUT_TransportEnergyCons!$A$3:$A$1000)*1,("Var_Fin"=[1]OUT_TransportEnergyCons!$B$3:$B$1000)*1,ISNUMBER(SEARCH("gsl",[1]OUT_TransportEnergyCons!$C$3:$C$1000))*1,[1]OUT_TransportEnergyCons!K$3:K$1000)</f>
        <v>0.38561514326654356</v>
      </c>
      <c r="N1514" s="1" cm="1">
        <f t="array" ref="N1514">SUMPRODUCT(("T_TW-icegsl-S1"=[1]OUT_TransportEnergyCons!$A$3:$A$1000)*1,("Var_Fin"=[1]OUT_TransportEnergyCons!$B$3:$B$1000)*1,ISNUMBER(SEARCH("gsl",[1]OUT_TransportEnergyCons!$C$3:$C$1000))*1,[1]OUT_TransportEnergyCons!L$3:L$1000)</f>
        <v>0.14609646577462662</v>
      </c>
      <c r="O1514" s="1" cm="1">
        <f t="array" ref="O1514">SUMPRODUCT(("T_TW-icegsl-S1"=[1]OUT_TransportEnergyCons!$A$3:$A$1000)*1,("Var_Fin"=[1]OUT_TransportEnergyCons!$B$3:$B$1000)*1,ISNUMBER(SEARCH("gsl",[1]OUT_TransportEnergyCons!$C$3:$C$1000))*1,[1]OUT_TransportEnergyCons!M$3:M$1000)</f>
        <v>1.5774883139138699E-3</v>
      </c>
      <c r="P1514" s="1" cm="1">
        <f t="array" ref="P1514">SUMPRODUCT(("T_TW-icegsl-S1"=[1]OUT_TransportEnergyCons!$A$3:$A$1000)*1,("Var_Fin"=[1]OUT_TransportEnergyCons!$B$3:$B$1000)*1,ISNUMBER(SEARCH("gsl",[1]OUT_TransportEnergyCons!$C$3:$C$1000))*1,[1]OUT_TransportEnergyCons!N$3:N$1000)</f>
        <v>1.7183944543368039E-3</v>
      </c>
      <c r="Q1514" s="1" cm="1">
        <f t="array" ref="Q1514">SUMPRODUCT(("T_TW-icegsl-S1"=[1]OUT_TransportEnergyCons!$A$3:$A$1000)*1,("Var_Fin"=[1]OUT_TransportEnergyCons!$B$3:$B$1000)*1,ISNUMBER(SEARCH("gsl",[1]OUT_TransportEnergyCons!$C$3:$C$1000))*1,[1]OUT_TransportEnergyCons!O$3:O$1000)</f>
        <v>3.3443466024325368E-3</v>
      </c>
      <c r="S1514" s="3"/>
    </row>
    <row r="1515" spans="2:19" x14ac:dyDescent="0.5">
      <c r="B1515" t="str">
        <f t="shared" ref="B1515:B1518" si="1712">B1514</f>
        <v>SPS1</v>
      </c>
      <c r="C1515" t="str">
        <f t="shared" si="1699"/>
        <v>CH</v>
      </c>
      <c r="D1515" t="s">
        <v>1579</v>
      </c>
      <c r="E1515" t="str">
        <f t="shared" ref="E1515:E1517" si="1713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0.11245399543257506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0.1628911438200234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0.15472433608635766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0.10113489229396046</v>
      </c>
      <c r="J1515" s="1" cm="1">
        <f t="array" ref="J1515">SUMPRODUCT(("T_TW-icegsl-S2"=[1]OUT_TransportEnergyCons!$A$3:$A$1000)*1,("Var_Fin"=[1]OUT_TransportEnergyCons!$B$3:$B$1000)*1,ISNUMBER(SEARCH("gsl",[1]OUT_TransportEnergyCons!$C$3:$C$1000))*1,[1]OUT_TransportEnergyCons!H$3:H$1000)</f>
        <v>9.6141267700592184E-3</v>
      </c>
      <c r="K1515" s="1" cm="1">
        <f t="array" ref="K1515">SUMPRODUCT(("T_TW-icegsl-S2"=[1]OUT_TransportEnergyCons!$A$3:$A$1000)*1,("Var_Fin"=[1]OUT_TransportEnergyCons!$B$3:$B$1000)*1,ISNUMBER(SEARCH("gsl",[1]OUT_TransportEnergyCons!$C$3:$C$1000))*1,[1]OUT_TransportEnergyCons!I$3:I$1000)</f>
        <v>2.0046847501927026E-4</v>
      </c>
      <c r="L1515" s="1" cm="1">
        <f t="array" ref="L1515">SUMPRODUCT(("T_TW-icegsl-S2"=[1]OUT_TransportEnergyCons!$A$3:$A$1000)*1,("Var_Fin"=[1]OUT_TransportEnergyCons!$B$3:$B$1000)*1,ISNUMBER(SEARCH("gsl",[1]OUT_TransportEnergyCons!$C$3:$C$1000))*1,[1]OUT_TransportEnergyCons!J$3:J$1000)</f>
        <v>2.2195756344267945E-4</v>
      </c>
      <c r="M1515" s="1" cm="1">
        <f t="array" ref="M1515">SUMPRODUCT(("T_TW-icegsl-S2"=[1]OUT_TransportEnergyCons!$A$3:$A$1000)*1,("Var_Fin"=[1]OUT_TransportEnergyCons!$B$3:$B$1000)*1,ISNUMBER(SEARCH("gsl",[1]OUT_TransportEnergyCons!$C$3:$C$1000))*1,[1]OUT_TransportEnergyCons!K$3:K$1000)</f>
        <v>2.2972937882853367E-4</v>
      </c>
      <c r="N1515" s="1" cm="1">
        <f t="array" ref="N1515">SUMPRODUCT(("T_TW-icegsl-S2"=[1]OUT_TransportEnergyCons!$A$3:$A$1000)*1,("Var_Fin"=[1]OUT_TransportEnergyCons!$B$3:$B$1000)*1,ISNUMBER(SEARCH("gsl",[1]OUT_TransportEnergyCons!$C$3:$C$1000))*1,[1]OUT_TransportEnergyCons!L$3:L$1000)</f>
        <v>2.1733631000344682E-4</v>
      </c>
      <c r="O1515" s="1" cm="1">
        <f t="array" ref="O1515">SUMPRODUCT(("T_TW-icegsl-S2"=[1]OUT_TransportEnergyCons!$A$3:$A$1000)*1,("Var_Fin"=[1]OUT_TransportEnergyCons!$B$3:$B$1000)*1,ISNUMBER(SEARCH("gsl",[1]OUT_TransportEnergyCons!$C$3:$C$1000))*1,[1]OUT_TransportEnergyCons!M$3:M$1000)</f>
        <v>2.7800670024071971E-4</v>
      </c>
      <c r="P1515" s="1" cm="1">
        <f t="array" ref="P1515">SUMPRODUCT(("T_TW-icegsl-S2"=[1]OUT_TransportEnergyCons!$A$3:$A$1000)*1,("Var_Fin"=[1]OUT_TransportEnergyCons!$B$3:$B$1000)*1,ISNUMBER(SEARCH("gsl",[1]OUT_TransportEnergyCons!$C$3:$C$1000))*1,[1]OUT_TransportEnergyCons!N$3:N$1000)</f>
        <v>2.7017219847876896E-4</v>
      </c>
      <c r="Q1515" s="1" cm="1">
        <f t="array" ref="Q1515">SUMPRODUCT(("T_TW-icegsl-S2"=[1]OUT_TransportEnergyCons!$A$3:$A$1000)*1,("Var_Fin"=[1]OUT_TransportEnergyCons!$B$3:$B$1000)*1,ISNUMBER(SEARCH("gsl",[1]OUT_TransportEnergyCons!$C$3:$C$1000))*1,[1]OUT_TransportEnergyCons!O$3:O$1000)</f>
        <v>4.1899877477015441E-4</v>
      </c>
      <c r="S1515" s="3"/>
    </row>
    <row r="1516" spans="2:19" x14ac:dyDescent="0.5">
      <c r="B1516" t="str">
        <f t="shared" si="1712"/>
        <v>SPS1</v>
      </c>
      <c r="C1516" t="str">
        <f t="shared" si="1699"/>
        <v>CH</v>
      </c>
      <c r="D1516" t="s">
        <v>1580</v>
      </c>
      <c r="E1516" t="str">
        <f t="shared" si="1713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0.15622902352601001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0.19646791290001087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0.19695583773537015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0.19657489416766341</v>
      </c>
      <c r="J1516" s="1" cm="1">
        <f t="array" ref="J1516">SUMPRODUCT(("T_TW-icegsl-S3"=[1]OUT_TransportEnergyCons!$A$3:$A$1000)*1,("Var_Fin"=[1]OUT_TransportEnergyCons!$B$3:$B$1000)*1,ISNUMBER(SEARCH("gsl",[1]OUT_TransportEnergyCons!$C$3:$C$1000))*1,[1]OUT_TransportEnergyCons!H$3:H$1000)</f>
        <v>0.18785684634184527</v>
      </c>
      <c r="K1516" s="1" cm="1">
        <f t="array" ref="K1516">SUMPRODUCT(("T_TW-icegsl-S3"=[1]OUT_TransportEnergyCons!$A$3:$A$1000)*1,("Var_Fin"=[1]OUT_TransportEnergyCons!$B$3:$B$1000)*1,ISNUMBER(SEARCH("gsl",[1]OUT_TransportEnergyCons!$C$3:$C$1000))*1,[1]OUT_TransportEnergyCons!I$3:I$1000)</f>
        <v>5.4003035131578406E-2</v>
      </c>
      <c r="L1516" s="1" cm="1">
        <f t="array" ref="L1516">SUMPRODUCT(("T_TW-icegsl-S3"=[1]OUT_TransportEnergyCons!$A$3:$A$1000)*1,("Var_Fin"=[1]OUT_TransportEnergyCons!$B$3:$B$1000)*1,ISNUMBER(SEARCH("gsl",[1]OUT_TransportEnergyCons!$C$3:$C$1000))*1,[1]OUT_TransportEnergyCons!J$3:J$1000)</f>
        <v>2.025326532618931E-4</v>
      </c>
      <c r="M1516" s="1" cm="1">
        <f t="array" ref="M1516">SUMPRODUCT(("T_TW-icegsl-S3"=[1]OUT_TransportEnergyCons!$A$3:$A$1000)*1,("Var_Fin"=[1]OUT_TransportEnergyCons!$B$3:$B$1000)*1,ISNUMBER(SEARCH("gsl",[1]OUT_TransportEnergyCons!$C$3:$C$1000))*1,[1]OUT_TransportEnergyCons!K$3:K$1000)</f>
        <v>2.2218442121490174E-4</v>
      </c>
      <c r="N1516" s="1" cm="1">
        <f t="array" ref="N1516">SUMPRODUCT(("T_TW-icegsl-S3"=[1]OUT_TransportEnergyCons!$A$3:$A$1000)*1,("Var_Fin"=[1]OUT_TransportEnergyCons!$B$3:$B$1000)*1,ISNUMBER(SEARCH("gsl",[1]OUT_TransportEnergyCons!$C$3:$C$1000))*1,[1]OUT_TransportEnergyCons!L$3:L$1000)</f>
        <v>2.2982419795329414E-4</v>
      </c>
      <c r="O1516" s="1" cm="1">
        <f t="array" ref="O1516">SUMPRODUCT(("T_TW-icegsl-S3"=[1]OUT_TransportEnergyCons!$A$3:$A$1000)*1,("Var_Fin"=[1]OUT_TransportEnergyCons!$B$3:$B$1000)*1,ISNUMBER(SEARCH("gsl",[1]OUT_TransportEnergyCons!$C$3:$C$1000))*1,[1]OUT_TransportEnergyCons!M$3:M$1000)</f>
        <v>2.571513211275988E-4</v>
      </c>
      <c r="P1516" s="1" cm="1">
        <f t="array" ref="P1516">SUMPRODUCT(("T_TW-icegsl-S3"=[1]OUT_TransportEnergyCons!$A$3:$A$1000)*1,("Var_Fin"=[1]OUT_TransportEnergyCons!$B$3:$B$1000)*1,ISNUMBER(SEARCH("gsl",[1]OUT_TransportEnergyCons!$C$3:$C$1000))*1,[1]OUT_TransportEnergyCons!N$3:N$1000)</f>
        <v>2.8347419738080281E-4</v>
      </c>
      <c r="Q1516" s="1" cm="1">
        <f t="array" ref="Q1516">SUMPRODUCT(("T_TW-icegsl-S3"=[1]OUT_TransportEnergyCons!$A$3:$A$1000)*1,("Var_Fin"=[1]OUT_TransportEnergyCons!$B$3:$B$1000)*1,ISNUMBER(SEARCH("gsl",[1]OUT_TransportEnergyCons!$C$3:$C$1000))*1,[1]OUT_TransportEnergyCons!O$3:O$1000)</f>
        <v>3.7019497745649629E-4</v>
      </c>
      <c r="S1516" s="3"/>
    </row>
    <row r="1517" spans="2:19" x14ac:dyDescent="0.5">
      <c r="B1517" t="str">
        <f t="shared" si="1712"/>
        <v>SPS1</v>
      </c>
      <c r="C1517" t="str">
        <f t="shared" si="1699"/>
        <v>CH</v>
      </c>
      <c r="D1517" t="s">
        <v>1581</v>
      </c>
      <c r="E1517" t="str">
        <f t="shared" si="1713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0.10281354954511433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0.12554547640803418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0.12595368785122874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0.12564332384458421</v>
      </c>
      <c r="J1517" s="1" cm="1">
        <f t="array" ref="J1517">SUMPRODUCT(("T_TW-icegsl-S4"=[1]OUT_TransportEnergyCons!$A$3:$A$1000)*1,("Var_Fin"=[1]OUT_TransportEnergyCons!$B$3:$B$1000)*1,ISNUMBER(SEARCH("gsl",[1]OUT_TransportEnergyCons!$C$3:$C$1000))*1,[1]OUT_TransportEnergyCons!H$3:H$1000)</f>
        <v>0.12578304733995016</v>
      </c>
      <c r="K1517" s="1" cm="1">
        <f t="array" ref="K1517">SUMPRODUCT(("T_TW-icegsl-S4"=[1]OUT_TransportEnergyCons!$A$3:$A$1000)*1,("Var_Fin"=[1]OUT_TransportEnergyCons!$B$3:$B$1000)*1,ISNUMBER(SEARCH("gsl",[1]OUT_TransportEnergyCons!$C$3:$C$1000))*1,[1]OUT_TransportEnergyCons!I$3:I$1000)</f>
        <v>0.12099825685370168</v>
      </c>
      <c r="L1517" s="1" cm="1">
        <f t="array" ref="L1517">SUMPRODUCT(("T_TW-icegsl-S4"=[1]OUT_TransportEnergyCons!$A$3:$A$1000)*1,("Var_Fin"=[1]OUT_TransportEnergyCons!$B$3:$B$1000)*1,ISNUMBER(SEARCH("gsl",[1]OUT_TransportEnergyCons!$C$3:$C$1000))*1,[1]OUT_TransportEnergyCons!J$3:J$1000)</f>
        <v>2.6712053624181602E-2</v>
      </c>
      <c r="M1517" s="1" cm="1">
        <f t="array" ref="M1517">SUMPRODUCT(("T_TW-icegsl-S4"=[1]OUT_TransportEnergyCons!$A$3:$A$1000)*1,("Var_Fin"=[1]OUT_TransportEnergyCons!$B$3:$B$1000)*1,ISNUMBER(SEARCH("gsl",[1]OUT_TransportEnergyCons!$C$3:$C$1000))*1,[1]OUT_TransportEnergyCons!K$3:K$1000)</f>
        <v>1.6588159831272921E-4</v>
      </c>
      <c r="N1517" s="1" cm="1">
        <f t="array" ref="N1517">SUMPRODUCT(("T_TW-icegsl-S4"=[1]OUT_TransportEnergyCons!$A$3:$A$1000)*1,("Var_Fin"=[1]OUT_TransportEnergyCons!$B$3:$B$1000)*1,ISNUMBER(SEARCH("gsl",[1]OUT_TransportEnergyCons!$C$3:$C$1000))*1,[1]OUT_TransportEnergyCons!L$3:L$1000)</f>
        <v>1.6933733892890654E-4</v>
      </c>
      <c r="O1517" s="1" cm="1">
        <f t="array" ref="O1517">SUMPRODUCT(("T_TW-icegsl-S4"=[1]OUT_TransportEnergyCons!$A$3:$A$1000)*1,("Var_Fin"=[1]OUT_TransportEnergyCons!$B$3:$B$1000)*1,ISNUMBER(SEARCH("gsl",[1]OUT_TransportEnergyCons!$C$3:$C$1000))*1,[1]OUT_TransportEnergyCons!M$3:M$1000)</f>
        <v>1.9729161912318644E-4</v>
      </c>
      <c r="P1517" s="1" cm="1">
        <f t="array" ref="P1517">SUMPRODUCT(("T_TW-icegsl-S4"=[1]OUT_TransportEnergyCons!$A$3:$A$1000)*1,("Var_Fin"=[1]OUT_TransportEnergyCons!$B$3:$B$1000)*1,ISNUMBER(SEARCH("gsl",[1]OUT_TransportEnergyCons!$C$3:$C$1000))*1,[1]OUT_TransportEnergyCons!N$3:N$1000)</f>
        <v>2.0869210052531351E-4</v>
      </c>
      <c r="Q1517" s="1" cm="1">
        <f t="array" ref="Q1517">SUMPRODUCT(("T_TW-icegsl-S4"=[1]OUT_TransportEnergyCons!$A$3:$A$1000)*1,("Var_Fin"=[1]OUT_TransportEnergyCons!$B$3:$B$1000)*1,ISNUMBER(SEARCH("gsl",[1]OUT_TransportEnergyCons!$C$3:$C$1000))*1,[1]OUT_TransportEnergyCons!O$3:O$1000)</f>
        <v>2.6929592376986612E-4</v>
      </c>
      <c r="S1517" s="3"/>
    </row>
    <row r="1518" spans="2:19" x14ac:dyDescent="0.5">
      <c r="B1518" s="9" t="str">
        <f t="shared" si="1712"/>
        <v>SPS1</v>
      </c>
      <c r="C1518" s="9" t="str">
        <f t="shared" si="1699"/>
        <v>CH</v>
      </c>
      <c r="D1518" s="2" t="s">
        <v>1503</v>
      </c>
      <c r="E1518" s="2" t="s">
        <v>1517</v>
      </c>
      <c r="F1518" s="3">
        <f>SUM(F1519:F1531)</f>
        <v>1.9491138584504251</v>
      </c>
      <c r="G1518" s="3">
        <f t="shared" ref="G1518:K1518" si="1714">SUM(G1519:G1531)</f>
        <v>1.9513496055115351</v>
      </c>
      <c r="H1518" s="3">
        <f t="shared" si="1714"/>
        <v>1.9546962601569566</v>
      </c>
      <c r="I1518" s="3">
        <f t="shared" si="1714"/>
        <v>1.9602707263593087</v>
      </c>
      <c r="J1518" s="3">
        <f t="shared" si="1714"/>
        <v>1.9635030500165935</v>
      </c>
      <c r="K1518" s="3">
        <f t="shared" si="1714"/>
        <v>1.967816918798083</v>
      </c>
      <c r="L1518" s="3">
        <f t="shared" ref="L1518:O1518" si="1715">SUM(L1519:L1531)</f>
        <v>1.9436189779292994</v>
      </c>
      <c r="M1518" s="3">
        <f t="shared" si="1715"/>
        <v>1.9194417926200156</v>
      </c>
      <c r="N1518" s="3">
        <f t="shared" si="1715"/>
        <v>1.8778990270490472</v>
      </c>
      <c r="O1518" s="3">
        <f t="shared" si="1715"/>
        <v>1.835982122422241</v>
      </c>
      <c r="P1518" s="3">
        <f>SUM(P1519:P1531)</f>
        <v>1.8017963781949513</v>
      </c>
      <c r="Q1518" s="3">
        <f>SUM(Q1519:Q1531)</f>
        <v>1.7687755261043494</v>
      </c>
      <c r="S1518" s="3"/>
    </row>
    <row r="1519" spans="2:19" x14ac:dyDescent="0.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1.7270665132625481E-2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2.3181854371645379E-2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2.3270306386324234E-2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1.557661480943818E-2</v>
      </c>
      <c r="J1519" s="1" cm="1">
        <f t="array" ref="J1519">SUMPRODUCT(("T_TW-BEVELC-S1"=[1]OUT_TransportEnergyCons!$A$3:$A$1000)*1,("var_fout"=[1]OUT_TransportEnergyCons!$B$3:$B$1000)*1,ISNUMBER(SEARCH("TPTWL",[1]OUT_TransportEnergyCons!$C$3:$C$1000))*1,[1]OUT_TransportEnergyCons!H$3:H$1000)</f>
        <v>1.2916184395822541E-3</v>
      </c>
      <c r="K1519" s="1" cm="1">
        <f t="array" ref="K1519">SUMPRODUCT(("T_TW-BEVELC-S1"=[1]OUT_TransportEnergyCons!$A$3:$A$1000)*1,("var_fout"=[1]OUT_TransportEnergyCons!$B$3:$B$1000)*1,ISNUMBER(SEARCH("TPTWL",[1]OUT_TransportEnergyCons!$C$3:$C$1000))*1,[1]OUT_TransportEnergyCons!I$3:I$1000)</f>
        <v>2.1014183834400127E-3</v>
      </c>
      <c r="L1519" s="1" cm="1">
        <f t="array" ref="L1519">SUMPRODUCT(("T_TW-BEVELC-S1"=[1]OUT_TransportEnergyCons!$A$3:$A$1000)*1,("var_fout"=[1]OUT_TransportEnergyCons!$B$3:$B$1000)*1,ISNUMBER(SEARCH("TPTWL",[1]OUT_TransportEnergyCons!$C$3:$C$1000))*1,[1]OUT_TransportEnergyCons!J$3:J$1000)</f>
        <v>1.2589426077990131E-2</v>
      </c>
      <c r="M1519" s="1" cm="1">
        <f t="array" ref="M1519">SUMPRODUCT(("T_TW-BEVELC-S1"=[1]OUT_TransportEnergyCons!$A$3:$A$1000)*1,("var_fout"=[1]OUT_TransportEnergyCons!$B$3:$B$1000)*1,ISNUMBER(SEARCH("TPTWL",[1]OUT_TransportEnergyCons!$C$3:$C$1000))*1,[1]OUT_TransportEnergyCons!K$3:K$1000)</f>
        <v>1.0935480786414837</v>
      </c>
      <c r="N1519" s="1" cm="1">
        <f t="array" ref="N1519">SUMPRODUCT(("T_TW-BEVELC-S1"=[1]OUT_TransportEnergyCons!$A$3:$A$1000)*1,("var_fout"=[1]OUT_TransportEnergyCons!$B$3:$B$1000)*1,ISNUMBER(SEARCH("TPTWL",[1]OUT_TransportEnergyCons!$C$3:$C$1000))*1,[1]OUT_TransportEnergyCons!L$3:L$1000)</f>
        <v>1.5610772503894497</v>
      </c>
      <c r="O1519" s="1" cm="1">
        <f t="array" ref="O1519">SUMPRODUCT(("T_TW-BEVELC-S1"=[1]OUT_TransportEnergyCons!$A$3:$A$1000)*1,("var_fout"=[1]OUT_TransportEnergyCons!$B$3:$B$1000)*1,ISNUMBER(SEARCH("TPTWL",[1]OUT_TransportEnergyCons!$C$3:$C$1000))*1,[1]OUT_TransportEnergyCons!M$3:M$1000)</f>
        <v>1.8274683708617903</v>
      </c>
      <c r="P1519" s="1" cm="1">
        <f t="array" ref="P1519">SUMPRODUCT(("T_TW-BEVELC-S1"=[1]OUT_TransportEnergyCons!$A$3:$A$1000)*1,("var_fout"=[1]OUT_TransportEnergyCons!$B$3:$B$1000)*1,ISNUMBER(SEARCH("TPTWL",[1]OUT_TransportEnergyCons!$C$3:$C$1000))*1,[1]OUT_TransportEnergyCons!N$3:N$1000)</f>
        <v>1.7928497394517597</v>
      </c>
      <c r="Q1519" s="1" cm="1">
        <f t="array" ref="Q1519">SUMPRODUCT(("T_TW-BEVELC-S1"=[1]OUT_TransportEnergyCons!$A$3:$A$1000)*1,("var_fout"=[1]OUT_TransportEnergyCons!$B$3:$B$1000)*1,ISNUMBER(SEARCH("TPTWL",[1]OUT_TransportEnergyCons!$C$3:$C$1000))*1,[1]OUT_TransportEnergyCons!O$3:O$1000)</f>
        <v>1.7542604786903824</v>
      </c>
      <c r="S1519" s="3"/>
    </row>
    <row r="1520" spans="2:19" x14ac:dyDescent="0.5">
      <c r="B1520" t="str">
        <f t="shared" ref="B1520:B1545" si="1716">B1519</f>
        <v>SPS1</v>
      </c>
      <c r="C1520" t="str">
        <f t="shared" ref="C1520:C1545" si="1717">C1519</f>
        <v>CH</v>
      </c>
      <c r="D1520" t="s">
        <v>1505</v>
      </c>
      <c r="E1520" t="str">
        <f t="shared" ref="E1520:E1531" si="1718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2.2450459925267242E-3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2.7147355472750055E-3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2.7311744755167504E-3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2.2873192832390081E-3</v>
      </c>
      <c r="J1520" s="1" cm="1">
        <f t="array" ref="J1520">SUMPRODUCT(("T_TW-BEVELC-S2"=[1]OUT_TransportEnergyCons!$A$3:$A$1000)*1,("var_fout"=[1]OUT_TransportEnergyCons!$B$3:$B$1000)*1,ISNUMBER(SEARCH("TPTWL",[1]OUT_TransportEnergyCons!$C$3:$C$1000))*1,[1]OUT_TransportEnergyCons!H$3:H$1000)</f>
        <v>4.02762466105636E-4</v>
      </c>
      <c r="K1520" s="1" cm="1">
        <f t="array" ref="K1520">SUMPRODUCT(("T_TW-BEVELC-S2"=[1]OUT_TransportEnergyCons!$A$3:$A$1000)*1,("var_fout"=[1]OUT_TransportEnergyCons!$B$3:$B$1000)*1,ISNUMBER(SEARCH("TPTWL",[1]OUT_TransportEnergyCons!$C$3:$C$1000))*1,[1]OUT_TransportEnergyCons!I$3:I$1000)</f>
        <v>4.056626321555801E-4</v>
      </c>
      <c r="L1520" s="1" cm="1">
        <f t="array" ref="L1520">SUMPRODUCT(("T_TW-BEVELC-S2"=[1]OUT_TransportEnergyCons!$A$3:$A$1000)*1,("var_fout"=[1]OUT_TransportEnergyCons!$B$3:$B$1000)*1,ISNUMBER(SEARCH("TPTWL",[1]OUT_TransportEnergyCons!$C$3:$C$1000))*1,[1]OUT_TransportEnergyCons!J$3:J$1000)</f>
        <v>6.0304746457819026E-4</v>
      </c>
      <c r="M1520" s="1" cm="1">
        <f t="array" ref="M1520">SUMPRODUCT(("T_TW-BEVELC-S2"=[1]OUT_TransportEnergyCons!$A$3:$A$1000)*1,("var_fout"=[1]OUT_TransportEnergyCons!$B$3:$B$1000)*1,ISNUMBER(SEARCH("TPTWL",[1]OUT_TransportEnergyCons!$C$3:$C$1000))*1,[1]OUT_TransportEnergyCons!K$3:K$1000)</f>
        <v>8.1296430099489308E-4</v>
      </c>
      <c r="N1520" s="1" cm="1">
        <f t="array" ref="N1520">SUMPRODUCT(("T_TW-BEVELC-S2"=[1]OUT_TransportEnergyCons!$A$3:$A$1000)*1,("var_fout"=[1]OUT_TransportEnergyCons!$B$3:$B$1000)*1,ISNUMBER(SEARCH("TPTWL",[1]OUT_TransportEnergyCons!$C$3:$C$1000))*1,[1]OUT_TransportEnergyCons!L$3:L$1000)</f>
        <v>9.4619597439532326E-4</v>
      </c>
      <c r="O1520" s="1" cm="1">
        <f t="array" ref="O1520">SUMPRODUCT(("T_TW-BEVELC-S2"=[1]OUT_TransportEnergyCons!$A$3:$A$1000)*1,("var_fout"=[1]OUT_TransportEnergyCons!$B$3:$B$1000)*1,ISNUMBER(SEARCH("TPTWL",[1]OUT_TransportEnergyCons!$C$3:$C$1000))*1,[1]OUT_TransportEnergyCons!M$3:M$1000)</f>
        <v>1.2613229389325687E-3</v>
      </c>
      <c r="P1520" s="1" cm="1">
        <f t="array" ref="P1520">SUMPRODUCT(("T_TW-BEVELC-S2"=[1]OUT_TransportEnergyCons!$A$3:$A$1000)*1,("var_fout"=[1]OUT_TransportEnergyCons!$B$3:$B$1000)*1,ISNUMBER(SEARCH("TPTWL",[1]OUT_TransportEnergyCons!$C$3:$C$1000))*1,[1]OUT_TransportEnergyCons!N$3:N$1000)</f>
        <v>1.2023655973193324E-3</v>
      </c>
      <c r="Q1520" s="1" cm="1">
        <f t="array" ref="Q1520">SUMPRODUCT(("T_TW-BEVELC-S2"=[1]OUT_TransportEnergyCons!$A$3:$A$1000)*1,("var_fout"=[1]OUT_TransportEnergyCons!$B$3:$B$1000)*1,ISNUMBER(SEARCH("TPTWL",[1]OUT_TransportEnergyCons!$C$3:$C$1000))*1,[1]OUT_TransportEnergyCons!O$3:O$1000)</f>
        <v>1.7667017112349857E-3</v>
      </c>
      <c r="S1520" s="3"/>
    </row>
    <row r="1521" spans="2:19" x14ac:dyDescent="0.5">
      <c r="B1521" t="str">
        <f t="shared" si="1716"/>
        <v>SPS1</v>
      </c>
      <c r="C1521" t="str">
        <f t="shared" si="1717"/>
        <v>CH</v>
      </c>
      <c r="D1521" t="s">
        <v>1506</v>
      </c>
      <c r="E1521" t="str">
        <f t="shared" si="1718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3.1860354572818653E-4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5.321875848325596E-4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5.5907302467196607E-4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5.82554196607492E-4</v>
      </c>
      <c r="J1521" s="1" cm="1">
        <f t="array" ref="J1521">SUMPRODUCT(("T_TW-BEVELC-S3"=[1]OUT_TransportEnergyCons!$A$3:$A$1000)*1,("var_fout"=[1]OUT_TransportEnergyCons!$B$3:$B$1000)*1,ISNUMBER(SEARCH("TPTWL",[1]OUT_TransportEnergyCons!$C$3:$C$1000))*1,[1]OUT_TransportEnergyCons!H$3:H$1000)</f>
        <v>6.6535863035529867E-4</v>
      </c>
      <c r="K1521" s="1" cm="1">
        <f t="array" ref="K1521">SUMPRODUCT(("T_TW-BEVELC-S3"=[1]OUT_TransportEnergyCons!$A$3:$A$1000)*1,("var_fout"=[1]OUT_TransportEnergyCons!$B$3:$B$1000)*1,ISNUMBER(SEARCH("TPTWL",[1]OUT_TransportEnergyCons!$C$3:$C$1000))*1,[1]OUT_TransportEnergyCons!I$3:I$1000)</f>
        <v>5.0472796445562404E-4</v>
      </c>
      <c r="L1521" s="1" cm="1">
        <f t="array" ref="L1521">SUMPRODUCT(("T_TW-BEVELC-S3"=[1]OUT_TransportEnergyCons!$A$3:$A$1000)*1,("var_fout"=[1]OUT_TransportEnergyCons!$B$3:$B$1000)*1,ISNUMBER(SEARCH("TPTWL",[1]OUT_TransportEnergyCons!$C$3:$C$1000))*1,[1]OUT_TransportEnergyCons!J$3:J$1000)</f>
        <v>4.0181680033071407E-4</v>
      </c>
      <c r="M1521" s="1" cm="1">
        <f t="array" ref="M1521">SUMPRODUCT(("T_TW-BEVELC-S3"=[1]OUT_TransportEnergyCons!$A$3:$A$1000)*1,("var_fout"=[1]OUT_TransportEnergyCons!$B$3:$B$1000)*1,ISNUMBER(SEARCH("TPTWL",[1]OUT_TransportEnergyCons!$C$3:$C$1000))*1,[1]OUT_TransportEnergyCons!K$3:K$1000)</f>
        <v>5.2381382981069415E-4</v>
      </c>
      <c r="N1521" s="1" cm="1">
        <f t="array" ref="N1521">SUMPRODUCT(("T_TW-BEVELC-S3"=[1]OUT_TransportEnergyCons!$A$3:$A$1000)*1,("var_fout"=[1]OUT_TransportEnergyCons!$B$3:$B$1000)*1,ISNUMBER(SEARCH("TPTWL",[1]OUT_TransportEnergyCons!$C$3:$C$1000))*1,[1]OUT_TransportEnergyCons!L$3:L$1000)</f>
        <v>6.2284838111635653E-4</v>
      </c>
      <c r="O1521" s="1" cm="1">
        <f t="array" ref="O1521">SUMPRODUCT(("T_TW-BEVELC-S3"=[1]OUT_TransportEnergyCons!$A$3:$A$1000)*1,("var_fout"=[1]OUT_TransportEnergyCons!$B$3:$B$1000)*1,ISNUMBER(SEARCH("TPTWL",[1]OUT_TransportEnergyCons!$C$3:$C$1000))*1,[1]OUT_TransportEnergyCons!M$3:M$1000)</f>
        <v>7.5679665278536429E-4</v>
      </c>
      <c r="P1521" s="1" cm="1">
        <f t="array" ref="P1521">SUMPRODUCT(("T_TW-BEVELC-S3"=[1]OUT_TransportEnergyCons!$A$3:$A$1000)*1,("var_fout"=[1]OUT_TransportEnergyCons!$B$3:$B$1000)*1,ISNUMBER(SEARCH("TPTWL",[1]OUT_TransportEnergyCons!$C$3:$C$1000))*1,[1]OUT_TransportEnergyCons!N$3:N$1000)</f>
        <v>8.5749986669721233E-4</v>
      </c>
      <c r="Q1521" s="1" cm="1">
        <f t="array" ref="Q1521">SUMPRODUCT(("T_TW-BEVELC-S3"=[1]OUT_TransportEnergyCons!$A$3:$A$1000)*1,("var_fout"=[1]OUT_TransportEnergyCons!$B$3:$B$1000)*1,ISNUMBER(SEARCH("TPTWL",[1]OUT_TransportEnergyCons!$C$3:$C$1000))*1,[1]OUT_TransportEnergyCons!O$3:O$1000)</f>
        <v>1.076189591046012E-3</v>
      </c>
      <c r="S1521" s="3"/>
    </row>
    <row r="1522" spans="2:19" x14ac:dyDescent="0.5">
      <c r="B1522" t="str">
        <f t="shared" si="1716"/>
        <v>SPS1</v>
      </c>
      <c r="C1522" t="str">
        <f t="shared" si="1717"/>
        <v>CH</v>
      </c>
      <c r="D1522" t="s">
        <v>1507</v>
      </c>
      <c r="E1522" t="str">
        <f t="shared" si="1718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5.9169337167547648E-5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1.3838492977184957E-4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1.711221111804166E-4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2.0294370041198638E-4</v>
      </c>
      <c r="J1522" s="1" cm="1">
        <f t="array" ref="J1522">SUMPRODUCT(("T_TW-BEVELC-S4"=[1]OUT_TransportEnergyCons!$A$3:$A$1000)*1,("var_fout"=[1]OUT_TransportEnergyCons!$B$3:$B$1000)*1,ISNUMBER(SEARCH("TPTWL",[1]OUT_TransportEnergyCons!$C$3:$C$1000))*1,[1]OUT_TransportEnergyCons!H$3:H$1000)</f>
        <v>2.6302938867201213E-4</v>
      </c>
      <c r="K1522" s="1" cm="1">
        <f t="array" ref="K1522">SUMPRODUCT(("T_TW-BEVELC-S4"=[1]OUT_TransportEnergyCons!$A$3:$A$1000)*1,("var_fout"=[1]OUT_TransportEnergyCons!$B$3:$B$1000)*1,ISNUMBER(SEARCH("TPTWL",[1]OUT_TransportEnergyCons!$C$3:$C$1000))*1,[1]OUT_TransportEnergyCons!I$3:I$1000)</f>
        <v>3.369181865773835E-4</v>
      </c>
      <c r="L1522" s="1" cm="1">
        <f t="array" ref="L1522">SUMPRODUCT(("T_TW-BEVELC-S4"=[1]OUT_TransportEnergyCons!$A$3:$A$1000)*1,("var_fout"=[1]OUT_TransportEnergyCons!$B$3:$B$1000)*1,ISNUMBER(SEARCH("TPTWL",[1]OUT_TransportEnergyCons!$C$3:$C$1000))*1,[1]OUT_TransportEnergyCons!J$3:J$1000)</f>
        <v>3.6363118572262944E-4</v>
      </c>
      <c r="M1522" s="1" cm="1">
        <f t="array" ref="M1522">SUMPRODUCT(("T_TW-BEVELC-S4"=[1]OUT_TransportEnergyCons!$A$3:$A$1000)*1,("var_fout"=[1]OUT_TransportEnergyCons!$B$3:$B$1000)*1,ISNUMBER(SEARCH("TPTWL",[1]OUT_TransportEnergyCons!$C$3:$C$1000))*1,[1]OUT_TransportEnergyCons!K$3:K$1000)</f>
        <v>3.9874397764067871E-4</v>
      </c>
      <c r="N1522" s="1" cm="1">
        <f t="array" ref="N1522">SUMPRODUCT(("T_TW-BEVELC-S4"=[1]OUT_TransportEnergyCons!$A$3:$A$1000)*1,("var_fout"=[1]OUT_TransportEnergyCons!$B$3:$B$1000)*1,ISNUMBER(SEARCH("TPTWL",[1]OUT_TransportEnergyCons!$C$3:$C$1000))*1,[1]OUT_TransportEnergyCons!L$3:L$1000)</f>
        <v>4.7452535920191306E-4</v>
      </c>
      <c r="O1522" s="1" cm="1">
        <f t="array" ref="O1522">SUMPRODUCT(("T_TW-BEVELC-S4"=[1]OUT_TransportEnergyCons!$A$3:$A$1000)*1,("var_fout"=[1]OUT_TransportEnergyCons!$B$3:$B$1000)*1,ISNUMBER(SEARCH("TPTWL",[1]OUT_TransportEnergyCons!$C$3:$C$1000))*1,[1]OUT_TransportEnergyCons!M$3:M$1000)</f>
        <v>5.7121907373878014E-4</v>
      </c>
      <c r="P1522" s="1" cm="1">
        <f t="array" ref="P1522">SUMPRODUCT(("T_TW-BEVELC-S4"=[1]OUT_TransportEnergyCons!$A$3:$A$1000)*1,("var_fout"=[1]OUT_TransportEnergyCons!$B$3:$B$1000)*1,ISNUMBER(SEARCH("TPTWL",[1]OUT_TransportEnergyCons!$C$3:$C$1000))*1,[1]OUT_TransportEnergyCons!N$3:N$1000)</f>
        <v>6.3827522745320763E-4</v>
      </c>
      <c r="Q1522" s="1" cm="1">
        <f t="array" ref="Q1522">SUMPRODUCT(("T_TW-BEVELC-S4"=[1]OUT_TransportEnergyCons!$A$3:$A$1000)*1,("var_fout"=[1]OUT_TransportEnergyCons!$B$3:$B$1000)*1,ISNUMBER(SEARCH("TPTWL",[1]OUT_TransportEnergyCons!$C$3:$C$1000))*1,[1]OUT_TransportEnergyCons!O$3:O$1000)</f>
        <v>8.071652641538701E-4</v>
      </c>
      <c r="S1522" s="3"/>
    </row>
    <row r="1523" spans="2:19" x14ac:dyDescent="0.5">
      <c r="B1523" t="str">
        <f t="shared" si="1716"/>
        <v>SPS1</v>
      </c>
      <c r="C1523" t="str">
        <f t="shared" si="1717"/>
        <v>CH</v>
      </c>
      <c r="D1523" t="s">
        <v>1508</v>
      </c>
      <c r="E1523" t="str">
        <f t="shared" si="1718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4.8851077170493286E-5</v>
      </c>
      <c r="J1523" s="1" cm="1">
        <f t="array" ref="J1523">SUMPRODUCT(("T_TW-fclh2o-S1"=[1]OUT_TransportEnergyCons!$A$3:$A$1000)*1,("var_fout"=[1]OUT_TransportEnergyCons!$B$3:$B$1000)*1,ISNUMBER(SEARCH("TPTWL",[1]OUT_TransportEnergyCons!$C$3:$C$1000))*1,[1]OUT_TransportEnergyCons!H$3:H$1000)</f>
        <v>1.3937974472072822E-4</v>
      </c>
      <c r="K1523" s="1" cm="1">
        <f t="array" ref="K1523">SUMPRODUCT(("T_TW-fclh2o-S1"=[1]OUT_TransportEnergyCons!$A$3:$A$1000)*1,("var_fout"=[1]OUT_TransportEnergyCons!$B$3:$B$1000)*1,ISNUMBER(SEARCH("TPTWL",[1]OUT_TransportEnergyCons!$C$3:$C$1000))*1,[1]OUT_TransportEnergyCons!I$3:I$1000)</f>
        <v>2.3638280642579627E-4</v>
      </c>
      <c r="L1523" s="1" cm="1">
        <f t="array" ref="L1523">SUMPRODUCT(("T_TW-fclh2o-S1"=[1]OUT_TransportEnergyCons!$A$3:$A$1000)*1,("var_fout"=[1]OUT_TransportEnergyCons!$B$3:$B$1000)*1,ISNUMBER(SEARCH("TPTWL",[1]OUT_TransportEnergyCons!$C$3:$C$1000))*1,[1]OUT_TransportEnergyCons!J$3:J$1000)</f>
        <v>4.3521610729529362E-4</v>
      </c>
      <c r="M1523" s="1" cm="1">
        <f t="array" ref="M1523">SUMPRODUCT(("T_TW-fclh2o-S1"=[1]OUT_TransportEnergyCons!$A$3:$A$1000)*1,("var_fout"=[1]OUT_TransportEnergyCons!$B$3:$B$1000)*1,ISNUMBER(SEARCH("TPTWL",[1]OUT_TransportEnergyCons!$C$3:$C$1000))*1,[1]OUT_TransportEnergyCons!K$3:K$1000)</f>
        <v>6.6105351233497044E-4</v>
      </c>
      <c r="N1523" s="1" cm="1">
        <f t="array" ref="N1523">SUMPRODUCT(("T_TW-fclh2o-S1"=[1]OUT_TransportEnergyCons!$A$3:$A$1000)*1,("var_fout"=[1]OUT_TransportEnergyCons!$B$3:$B$1000)*1,ISNUMBER(SEARCH("TPTWL",[1]OUT_TransportEnergyCons!$C$3:$C$1000))*1,[1]OUT_TransportEnergyCons!L$3:L$1000)</f>
        <v>8.7658594591426568E-4</v>
      </c>
      <c r="O1523" s="1" cm="1">
        <f t="array" ref="O1523">SUMPRODUCT(("T_TW-fclh2o-S1"=[1]OUT_TransportEnergyCons!$A$3:$A$1000)*1,("var_fout"=[1]OUT_TransportEnergyCons!$B$3:$B$1000)*1,ISNUMBER(SEARCH("TPTWL",[1]OUT_TransportEnergyCons!$C$3:$C$1000))*1,[1]OUT_TransportEnergyCons!M$3:M$1000)</f>
        <v>1.0725806159987514E-3</v>
      </c>
      <c r="P1523" s="1" cm="1">
        <f t="array" ref="P1523">SUMPRODUCT(("T_TW-fclh2o-S1"=[1]OUT_TransportEnergyCons!$A$3:$A$1000)*1,("var_fout"=[1]OUT_TransportEnergyCons!$B$3:$B$1000)*1,ISNUMBER(SEARCH("TPTWL",[1]OUT_TransportEnergyCons!$C$3:$C$1000))*1,[1]OUT_TransportEnergyCons!N$3:N$1000)</f>
        <v>1.0211637634002704E-3</v>
      </c>
      <c r="Q1523" s="1" cm="1">
        <f t="array" ref="Q1523">SUMPRODUCT(("T_TW-fclh2o-S1"=[1]OUT_TransportEnergyCons!$A$3:$A$1000)*1,("var_fout"=[1]OUT_TransportEnergyCons!$B$3:$B$1000)*1,ISNUMBER(SEARCH("TPTWL",[1]OUT_TransportEnergyCons!$C$3:$C$1000))*1,[1]OUT_TransportEnergyCons!O$3:O$1000)</f>
        <v>1.5059962047645292E-3</v>
      </c>
      <c r="S1523" s="3"/>
    </row>
    <row r="1524" spans="2:19" x14ac:dyDescent="0.5">
      <c r="B1524" t="str">
        <f t="shared" si="1716"/>
        <v>SPS1</v>
      </c>
      <c r="C1524" t="str">
        <f t="shared" si="1717"/>
        <v>CH</v>
      </c>
      <c r="D1524" t="s">
        <v>1509</v>
      </c>
      <c r="E1524" t="str">
        <f t="shared" si="1718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2.4931237049315092E-5</v>
      </c>
      <c r="J1524" s="1" cm="1">
        <f t="array" ref="J1524">SUMPRODUCT(("T_TW-fclh2o-S2"=[1]OUT_TransportEnergyCons!$A$3:$A$1000)*1,("var_fout"=[1]OUT_TransportEnergyCons!$B$3:$B$1000)*1,ISNUMBER(SEARCH("TPTWL",[1]OUT_TransportEnergyCons!$C$3:$C$1000))*1,[1]OUT_TransportEnergyCons!H$3:H$1000)</f>
        <v>6.5448083700976543E-5</v>
      </c>
      <c r="K1524" s="1" cm="1">
        <f t="array" ref="K1524">SUMPRODUCT(("T_TW-fclh2o-S2"=[1]OUT_TransportEnergyCons!$A$3:$A$1000)*1,("var_fout"=[1]OUT_TransportEnergyCons!$B$3:$B$1000)*1,ISNUMBER(SEARCH("TPTWL",[1]OUT_TransportEnergyCons!$C$3:$C$1000))*1,[1]OUT_TransportEnergyCons!I$3:I$1000)</f>
        <v>1.0871306040289342E-4</v>
      </c>
      <c r="L1524" s="1" cm="1">
        <f t="array" ref="L1524">SUMPRODUCT(("T_TW-fclh2o-S2"=[1]OUT_TransportEnergyCons!$A$3:$A$1000)*1,("var_fout"=[1]OUT_TransportEnergyCons!$B$3:$B$1000)*1,ISNUMBER(SEARCH("TPTWL",[1]OUT_TransportEnergyCons!$C$3:$C$1000))*1,[1]OUT_TransportEnergyCons!J$3:J$1000)</f>
        <v>1.6051505451326962E-4</v>
      </c>
      <c r="M1524" s="1" cm="1">
        <f t="array" ref="M1524">SUMPRODUCT(("T_TW-fclh2o-S2"=[1]OUT_TransportEnergyCons!$A$3:$A$1000)*1,("var_fout"=[1]OUT_TransportEnergyCons!$B$3:$B$1000)*1,ISNUMBER(SEARCH("TPTWL",[1]OUT_TransportEnergyCons!$C$3:$C$1000))*1,[1]OUT_TransportEnergyCons!K$3:K$1000)</f>
        <v>2.203655747461736E-4</v>
      </c>
      <c r="N1524" s="1" cm="1">
        <f t="array" ref="N1524">SUMPRODUCT(("T_TW-fclh2o-S2"=[1]OUT_TransportEnergyCons!$A$3:$A$1000)*1,("var_fout"=[1]OUT_TransportEnergyCons!$B$3:$B$1000)*1,ISNUMBER(SEARCH("TPTWL",[1]OUT_TransportEnergyCons!$C$3:$C$1000))*1,[1]OUT_TransportEnergyCons!L$3:L$1000)</f>
        <v>2.5087444451495739E-4</v>
      </c>
      <c r="O1524" s="1" cm="1">
        <f t="array" ref="O1524">SUMPRODUCT(("T_TW-fclh2o-S2"=[1]OUT_TransportEnergyCons!$A$3:$A$1000)*1,("var_fout"=[1]OUT_TransportEnergyCons!$B$3:$B$1000)*1,ISNUMBER(SEARCH("TPTWL",[1]OUT_TransportEnergyCons!$C$3:$C$1000))*1,[1]OUT_TransportEnergyCons!M$3:M$1000)</f>
        <v>3.3134959461315558E-4</v>
      </c>
      <c r="P1524" s="1" cm="1">
        <f t="array" ref="P1524">SUMPRODUCT(("T_TW-fclh2o-S2"=[1]OUT_TransportEnergyCons!$A$3:$A$1000)*1,("var_fout"=[1]OUT_TransportEnergyCons!$B$3:$B$1000)*1,ISNUMBER(SEARCH("TPTWL",[1]OUT_TransportEnergyCons!$C$3:$C$1000))*1,[1]OUT_TransportEnergyCons!N$3:N$1000)</f>
        <v>3.2058131599121666E-4</v>
      </c>
      <c r="Q1524" s="1" cm="1">
        <f t="array" ref="Q1524">SUMPRODUCT(("T_TW-fclh2o-S2"=[1]OUT_TransportEnergyCons!$A$3:$A$1000)*1,("var_fout"=[1]OUT_TransportEnergyCons!$B$3:$B$1000)*1,ISNUMBER(SEARCH("TPTWL",[1]OUT_TransportEnergyCons!$C$3:$C$1000))*1,[1]OUT_TransportEnergyCons!O$3:O$1000)</f>
        <v>4.7696724165742071E-4</v>
      </c>
      <c r="S1524" s="3"/>
    </row>
    <row r="1525" spans="2:19" x14ac:dyDescent="0.5">
      <c r="B1525" t="str">
        <f t="shared" si="1716"/>
        <v>SPS1</v>
      </c>
      <c r="C1525" t="str">
        <f t="shared" si="1717"/>
        <v>CH</v>
      </c>
      <c r="D1525" t="s">
        <v>1510</v>
      </c>
      <c r="E1525" t="str">
        <f t="shared" si="1718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1.4819965808482351E-5</v>
      </c>
      <c r="J1525" s="1" cm="1">
        <f t="array" ref="J1525">SUMPRODUCT(("T_TW-fclh2o-S3"=[1]OUT_TransportEnergyCons!$A$3:$A$1000)*1,("var_fout"=[1]OUT_TransportEnergyCons!$B$3:$B$1000)*1,ISNUMBER(SEARCH("TPTWL",[1]OUT_TransportEnergyCons!$C$3:$C$1000))*1,[1]OUT_TransportEnergyCons!H$3:H$1000)</f>
        <v>4.29453509516046E-5</v>
      </c>
      <c r="K1525" s="1" cm="1">
        <f t="array" ref="K1525">SUMPRODUCT(("T_TW-fclh2o-S3"=[1]OUT_TransportEnergyCons!$A$3:$A$1000)*1,("var_fout"=[1]OUT_TransportEnergyCons!$B$3:$B$1000)*1,ISNUMBER(SEARCH("TPTWL",[1]OUT_TransportEnergyCons!$C$3:$C$1000))*1,[1]OUT_TransportEnergyCons!I$3:I$1000)</f>
        <v>7.2788670505552537E-5</v>
      </c>
      <c r="L1525" s="1" cm="1">
        <f t="array" ref="L1525">SUMPRODUCT(("T_TW-fclh2o-S3"=[1]OUT_TransportEnergyCons!$A$3:$A$1000)*1,("var_fout"=[1]OUT_TransportEnergyCons!$B$3:$B$1000)*1,ISNUMBER(SEARCH("TPTWL",[1]OUT_TransportEnergyCons!$C$3:$C$1000))*1,[1]OUT_TransportEnergyCons!J$3:J$1000)</f>
        <v>1.0335402456381335E-4</v>
      </c>
      <c r="M1525" s="1" cm="1">
        <f t="array" ref="M1525">SUMPRODUCT(("T_TW-fclh2o-S3"=[1]OUT_TransportEnergyCons!$A$3:$A$1000)*1,("var_fout"=[1]OUT_TransportEnergyCons!$B$3:$B$1000)*1,ISNUMBER(SEARCH("TPTWL",[1]OUT_TransportEnergyCons!$C$3:$C$1000))*1,[1]OUT_TransportEnergyCons!K$3:K$1000)</f>
        <v>1.4255595139457843E-4</v>
      </c>
      <c r="N1525" s="1" cm="1">
        <f t="array" ref="N1525">SUMPRODUCT(("T_TW-fclh2o-S3"=[1]OUT_TransportEnergyCons!$A$3:$A$1000)*1,("var_fout"=[1]OUT_TransportEnergyCons!$B$3:$B$1000)*1,ISNUMBER(SEARCH("TPTWL",[1]OUT_TransportEnergyCons!$C$3:$C$1000))*1,[1]OUT_TransportEnergyCons!L$3:L$1000)</f>
        <v>1.7057052545147743E-4</v>
      </c>
      <c r="O1525" s="1" cm="1">
        <f t="array" ref="O1525">SUMPRODUCT(("T_TW-fclh2o-S3"=[1]OUT_TransportEnergyCons!$A$3:$A$1000)*1,("var_fout"=[1]OUT_TransportEnergyCons!$B$3:$B$1000)*1,ISNUMBER(SEARCH("TPTWL",[1]OUT_TransportEnergyCons!$C$3:$C$1000))*1,[1]OUT_TransportEnergyCons!M$3:M$1000)</f>
        <v>2.0697020258189378E-4</v>
      </c>
      <c r="P1525" s="1" cm="1">
        <f t="array" ref="P1525">SUMPRODUCT(("T_TW-fclh2o-S3"=[1]OUT_TransportEnergyCons!$A$3:$A$1000)*1,("var_fout"=[1]OUT_TransportEnergyCons!$B$3:$B$1000)*1,ISNUMBER(SEARCH("TPTWL",[1]OUT_TransportEnergyCons!$C$3:$C$1000))*1,[1]OUT_TransportEnergyCons!N$3:N$1000)</f>
        <v>2.3992182934443973E-4</v>
      </c>
      <c r="Q1525" s="1" cm="1">
        <f t="array" ref="Q1525">SUMPRODUCT(("T_TW-fclh2o-S3"=[1]OUT_TransportEnergyCons!$A$3:$A$1000)*1,("var_fout"=[1]OUT_TransportEnergyCons!$B$3:$B$1000)*1,ISNUMBER(SEARCH("TPTWL",[1]OUT_TransportEnergyCons!$C$3:$C$1000))*1,[1]OUT_TransportEnergyCons!O$3:O$1000)</f>
        <v>3.0098390421754931E-4</v>
      </c>
      <c r="S1525" s="3"/>
    </row>
    <row r="1526" spans="2:19" x14ac:dyDescent="0.5">
      <c r="B1526" t="str">
        <f t="shared" si="1716"/>
        <v>SPS1</v>
      </c>
      <c r="C1526" t="str">
        <f t="shared" si="1717"/>
        <v>CH</v>
      </c>
      <c r="D1526" t="s">
        <v>1511</v>
      </c>
      <c r="E1526" t="str">
        <f t="shared" si="1718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8.7763806875401312E-6</v>
      </c>
      <c r="J1526" s="1" cm="1">
        <f t="array" ref="J1526">SUMPRODUCT(("T_TW-fclh2o-S4"=[1]OUT_TransportEnergyCons!$A$3:$A$1000)*1,("var_fout"=[1]OUT_TransportEnergyCons!$B$3:$B$1000)*1,ISNUMBER(SEARCH("TPTWL",[1]OUT_TransportEnergyCons!$C$3:$C$1000))*1,[1]OUT_TransportEnergyCons!H$3:H$1000)</f>
        <v>2.2637818246906084E-5</v>
      </c>
      <c r="K1526" s="1" cm="1">
        <f t="array" ref="K1526">SUMPRODUCT(("T_TW-fclh2o-S4"=[1]OUT_TransportEnergyCons!$A$3:$A$1000)*1,("var_fout"=[1]OUT_TransportEnergyCons!$B$3:$B$1000)*1,ISNUMBER(SEARCH("TPTWL",[1]OUT_TransportEnergyCons!$C$3:$C$1000))*1,[1]OUT_TransportEnergyCons!I$3:I$1000)</f>
        <v>4.2364249854875216E-5</v>
      </c>
      <c r="L1526" s="1" cm="1">
        <f t="array" ref="L1526">SUMPRODUCT(("T_TW-fclh2o-S4"=[1]OUT_TransportEnergyCons!$A$3:$A$1000)*1,("var_fout"=[1]OUT_TransportEnergyCons!$B$3:$B$1000)*1,ISNUMBER(SEARCH("TPTWL",[1]OUT_TransportEnergyCons!$C$3:$C$1000))*1,[1]OUT_TransportEnergyCons!J$3:J$1000)</f>
        <v>6.4115828031786819E-5</v>
      </c>
      <c r="M1526" s="1" cm="1">
        <f t="array" ref="M1526">SUMPRODUCT(("T_TW-fclh2o-S4"=[1]OUT_TransportEnergyCons!$A$3:$A$1000)*1,("var_fout"=[1]OUT_TransportEnergyCons!$B$3:$B$1000)*1,ISNUMBER(SEARCH("TPTWL",[1]OUT_TransportEnergyCons!$C$3:$C$1000))*1,[1]OUT_TransportEnergyCons!K$3:K$1000)</f>
        <v>9.7562289498874565E-5</v>
      </c>
      <c r="N1526" s="1" cm="1">
        <f t="array" ref="N1526">SUMPRODUCT(("T_TW-fclh2o-S4"=[1]OUT_TransportEnergyCons!$A$3:$A$1000)*1,("var_fout"=[1]OUT_TransportEnergyCons!$B$3:$B$1000)*1,ISNUMBER(SEARCH("TPTWL",[1]OUT_TransportEnergyCons!$C$3:$C$1000))*1,[1]OUT_TransportEnergyCons!L$3:L$1000)</f>
        <v>1.19972102615295E-4</v>
      </c>
      <c r="O1526" s="1" cm="1">
        <f t="array" ref="O1526">SUMPRODUCT(("T_TW-fclh2o-S4"=[1]OUT_TransportEnergyCons!$A$3:$A$1000)*1,("var_fout"=[1]OUT_TransportEnergyCons!$B$3:$B$1000)*1,ISNUMBER(SEARCH("TPTWL",[1]OUT_TransportEnergyCons!$C$3:$C$1000))*1,[1]OUT_TransportEnergyCons!M$3:M$1000)</f>
        <v>1.4830484108125709E-4</v>
      </c>
      <c r="P1526" s="1" cm="1">
        <f t="array" ref="P1526">SUMPRODUCT(("T_TW-fclh2o-S4"=[1]OUT_TransportEnergyCons!$A$3:$A$1000)*1,("var_fout"=[1]OUT_TransportEnergyCons!$B$3:$B$1000)*1,ISNUMBER(SEARCH("TPTWL",[1]OUT_TransportEnergyCons!$C$3:$C$1000))*1,[1]OUT_TransportEnergyCons!N$3:N$1000)</f>
        <v>1.7038647929930816E-4</v>
      </c>
      <c r="Q1526" s="1" cm="1">
        <f t="array" ref="Q1526">SUMPRODUCT(("T_TW-fclh2o-S4"=[1]OUT_TransportEnergyCons!$A$3:$A$1000)*1,("var_fout"=[1]OUT_TransportEnergyCons!$B$3:$B$1000)*1,ISNUMBER(SEARCH("TPTWL",[1]OUT_TransportEnergyCons!$C$3:$C$1000))*1,[1]OUT_TransportEnergyCons!O$3:O$1000)</f>
        <v>2.2003841451801235E-4</v>
      </c>
      <c r="S1526" s="3"/>
    </row>
    <row r="1527" spans="2:19" x14ac:dyDescent="0.5">
      <c r="B1527" t="str">
        <f t="shared" si="1716"/>
        <v>SPS1</v>
      </c>
      <c r="C1527" t="str">
        <f t="shared" si="1717"/>
        <v>CH</v>
      </c>
      <c r="D1527" t="s">
        <v>1512</v>
      </c>
      <c r="E1527" t="str">
        <f t="shared" si="1718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1.5372084234969132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0.56111795873450065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0.56120364661343469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0.38577715930998813</v>
      </c>
      <c r="J1527" s="1" cm="1">
        <f t="array" ref="J1527">SUMPRODUCT(("T_TW-ICEGSLEXT"=[1]OUT_TransportEnergyCons!$A$3:$A$1000)*1,("var_fout"=[1]OUT_TransportEnergyCons!$B$3:$B$1000)*1,ISNUMBER(SEARCH("TPTWL",[1]OUT_TransportEnergyCons!$C$3:$C$1000))*1,[1]OUT_TransportEnergyCons!H$3:H$1000)</f>
        <v>0</v>
      </c>
      <c r="K1527" s="1" cm="1">
        <f t="array" ref="K1527">SUMPRODUCT(("T_TW-ICEGSLEXT"=[1]OUT_TransportEnergyCons!$A$3:$A$1000)*1,("var_fout"=[1]OUT_TransportEnergyCons!$B$3:$B$1000)*1,ISNUMBER(SEARCH("TPTWL",[1]OUT_TransportEnergyCons!$C$3:$C$1000))*1,[1]OUT_TransportEnergyCons!I$3:I$1000)</f>
        <v>0</v>
      </c>
      <c r="L1527" s="1" cm="1">
        <f t="array" ref="L1527">SUMPRODUCT(("T_TW-ICEGSLEXT"=[1]OUT_TransportEnergyCons!$A$3:$A$1000)*1,("var_fout"=[1]OUT_TransportEnergyCons!$B$3:$B$1000)*1,ISNUMBER(SEARCH("TPTWL",[1]OUT_TransportEnergyCons!$C$3:$C$1000))*1,[1]OUT_TransportEnergyCons!J$3:J$1000)</f>
        <v>0</v>
      </c>
      <c r="M1527" s="1" cm="1">
        <f t="array" ref="M1527">SUMPRODUCT(("T_TW-ICEGSLEXT"=[1]OUT_TransportEnergyCons!$A$3:$A$1000)*1,("var_fout"=[1]OUT_TransportEnergyCons!$B$3:$B$1000)*1,ISNUMBER(SEARCH("TPTWL",[1]OUT_TransportEnergyCons!$C$3:$C$1000))*1,[1]OUT_TransportEnergyCons!K$3:K$1000)</f>
        <v>0</v>
      </c>
      <c r="N1527" s="1" cm="1">
        <f t="array" ref="N1527">SUMPRODUCT(("T_TW-ICEGSLEXT"=[1]OUT_TransportEnergyCons!$A$3:$A$1000)*1,("var_fout"=[1]OUT_TransportEnergyCons!$B$3:$B$1000)*1,ISNUMBER(SEARCH("TPTWL",[1]OUT_TransportEnergyCons!$C$3:$C$1000))*1,[1]OUT_TransportEnergyCons!L$3:L$1000)</f>
        <v>0</v>
      </c>
      <c r="O1527" s="1" cm="1">
        <f t="array" ref="O1527">SUMPRODUCT(("T_TW-ICEGSLEXT"=[1]OUT_TransportEnergyCons!$A$3:$A$1000)*1,("var_fout"=[1]OUT_TransportEnergyCons!$B$3:$B$1000)*1,ISNUMBER(SEARCH("TPTWL",[1]OUT_TransportEnergyCons!$C$3:$C$1000))*1,[1]OUT_TransportEnergyCons!M$3:M$1000)</f>
        <v>0</v>
      </c>
      <c r="P1527" s="1" cm="1">
        <f t="array" ref="P1527">SUMPRODUCT(("T_TW-ICEGSLEXT"=[1]OUT_TransportEnergyCons!$A$3:$A$1000)*1,("var_fout"=[1]OUT_TransportEnergyCons!$B$3:$B$1000)*1,ISNUMBER(SEARCH("TPTWL",[1]OUT_TransportEnergyCons!$C$3:$C$1000))*1,[1]OUT_TransportEnergyCons!N$3:N$1000)</f>
        <v>0</v>
      </c>
      <c r="Q1527" s="1" cm="1">
        <f t="array" ref="Q1527">SUMPRODUCT(("T_TW-ICEGSLEXT"=[1]OUT_TransportEnergyCons!$A$3:$A$1000)*1,("var_fout"=[1]OUT_TransportEnergyCons!$B$3:$B$1000)*1,ISNUMBER(SEARCH("TPTWL",[1]OUT_TransportEnergyCons!$C$3:$C$1000))*1,[1]OUT_TransportEnergyCons!O$3:O$1000)</f>
        <v>0</v>
      </c>
      <c r="S1527" s="3"/>
    </row>
    <row r="1528" spans="2:19" x14ac:dyDescent="0.5">
      <c r="B1528" t="str">
        <f t="shared" si="1716"/>
        <v>SPS1</v>
      </c>
      <c r="C1528" t="str">
        <f t="shared" si="1717"/>
        <v>CH</v>
      </c>
      <c r="D1528" t="s">
        <v>1513</v>
      </c>
      <c r="E1528" t="str">
        <f t="shared" si="1718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8.4562614414817314E-2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0.95540902301358299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0.96688037077921807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1.215512021247688</v>
      </c>
      <c r="J1528" s="1" cm="1">
        <f t="array" ref="J1528">SUMPRODUCT(("T_TW-icegsl-S1"=[1]OUT_TransportEnergyCons!$A$3:$A$1000)*1,("var_fout"=[1]OUT_TransportEnergyCons!$B$3:$B$1000)*1,ISNUMBER(SEARCH("TPTWL",[1]OUT_TransportEnergyCons!$C$3:$C$1000))*1,[1]OUT_TransportEnergyCons!H$3:H$1000)</f>
        <v>1.7276866639499642</v>
      </c>
      <c r="K1528" s="1" cm="1">
        <f t="array" ref="K1528">SUMPRODUCT(("T_TW-icegsl-S1"=[1]OUT_TransportEnergyCons!$A$3:$A$1000)*1,("var_fout"=[1]OUT_TransportEnergyCons!$B$3:$B$1000)*1,ISNUMBER(SEARCH("TPTWL",[1]OUT_TransportEnergyCons!$C$3:$C$1000))*1,[1]OUT_TransportEnergyCons!I$3:I$1000)</f>
        <v>1.842428569021241</v>
      </c>
      <c r="L1528" s="1" cm="1">
        <f t="array" ref="L1528">SUMPRODUCT(("T_TW-icegsl-S1"=[1]OUT_TransportEnergyCons!$A$3:$A$1000)*1,("var_fout"=[1]OUT_TransportEnergyCons!$B$3:$B$1000)*1,ISNUMBER(SEARCH("TPTWL",[1]OUT_TransportEnergyCons!$C$3:$C$1000))*1,[1]OUT_TransportEnergyCons!J$3:J$1000)</f>
        <v>1.9103713351203484</v>
      </c>
      <c r="M1528" s="1" cm="1">
        <f t="array" ref="M1528">SUMPRODUCT(("T_TW-icegsl-S1"=[1]OUT_TransportEnergyCons!$A$3:$A$1000)*1,("var_fout"=[1]OUT_TransportEnergyCons!$B$3:$B$1000)*1,ISNUMBER(SEARCH("TPTWL",[1]OUT_TransportEnergyCons!$C$3:$C$1000))*1,[1]OUT_TransportEnergyCons!K$3:K$1000)</f>
        <v>0.82245168358275611</v>
      </c>
      <c r="N1528" s="1" cm="1">
        <f t="array" ref="N1528">SUMPRODUCT(("T_TW-icegsl-S1"=[1]OUT_TransportEnergyCons!$A$3:$A$1000)*1,("var_fout"=[1]OUT_TransportEnergyCons!$B$3:$B$1000)*1,ISNUMBER(SEARCH("TPTWL",[1]OUT_TransportEnergyCons!$C$3:$C$1000))*1,[1]OUT_TransportEnergyCons!L$3:L$1000)</f>
        <v>0.31277279630036875</v>
      </c>
      <c r="O1528" s="1" cm="1">
        <f t="array" ref="O1528">SUMPRODUCT(("T_TW-icegsl-S1"=[1]OUT_TransportEnergyCons!$A$3:$A$1000)*1,("var_fout"=[1]OUT_TransportEnergyCons!$B$3:$B$1000)*1,ISNUMBER(SEARCH("TPTWL",[1]OUT_TransportEnergyCons!$C$3:$C$1000))*1,[1]OUT_TransportEnergyCons!M$3:M$1000)</f>
        <v>3.4519837905539787E-3</v>
      </c>
      <c r="P1528" s="1" cm="1">
        <f t="array" ref="P1528">SUMPRODUCT(("T_TW-icegsl-S1"=[1]OUT_TransportEnergyCons!$A$3:$A$1000)*1,("var_fout"=[1]OUT_TransportEnergyCons!$B$3:$B$1000)*1,ISNUMBER(SEARCH("TPTWL",[1]OUT_TransportEnergyCons!$C$3:$C$1000))*1,[1]OUT_TransportEnergyCons!N$3:N$1000)</f>
        <v>3.7603256707690394E-3</v>
      </c>
      <c r="Q1528" s="1" cm="1">
        <f t="array" ref="Q1528">SUMPRODUCT(("T_TW-icegsl-S1"=[1]OUT_TransportEnergyCons!$A$3:$A$1000)*1,("var_fout"=[1]OUT_TransportEnergyCons!$B$3:$B$1000)*1,ISNUMBER(SEARCH("TPTWL",[1]OUT_TransportEnergyCons!$C$3:$C$1000))*1,[1]OUT_TransportEnergyCons!O$3:O$1000)</f>
        <v>7.3183618285882959E-3</v>
      </c>
      <c r="S1528" s="3"/>
    </row>
    <row r="1529" spans="2:19" x14ac:dyDescent="0.5">
      <c r="B1529" t="str">
        <f t="shared" si="1716"/>
        <v>SPS1</v>
      </c>
      <c r="C1529" t="str">
        <f t="shared" si="1717"/>
        <v>CH</v>
      </c>
      <c r="D1529" t="s">
        <v>1514</v>
      </c>
      <c r="E1529" t="str">
        <f t="shared" si="1718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0.12401010364998809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0.17987953380577043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0.1708710658556567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0.11171109557093158</v>
      </c>
      <c r="J1529" s="1" cm="1">
        <f t="array" ref="J1529">SUMPRODUCT(("T_TW-icegsl-S2"=[1]OUT_TransportEnergyCons!$A$3:$A$1000)*1,("var_fout"=[1]OUT_TransportEnergyCons!$B$3:$B$1000)*1,ISNUMBER(SEARCH("TPTWL",[1]OUT_TransportEnergyCons!$C$3:$C$1000))*1,[1]OUT_TransportEnergyCons!H$3:H$1000)</f>
        <v>1.0659728458979027E-2</v>
      </c>
      <c r="K1529" s="1" cm="1">
        <f t="array" ref="K1529">SUMPRODUCT(("T_TW-icegsl-S2"=[1]OUT_TransportEnergyCons!$A$3:$A$1000)*1,("var_fout"=[1]OUT_TransportEnergyCons!$B$3:$B$1000)*1,ISNUMBER(SEARCH("TPTWL",[1]OUT_TransportEnergyCons!$C$3:$C$1000))*1,[1]OUT_TransportEnergyCons!I$3:I$1000)</f>
        <v>2.3715567006912463E-4</v>
      </c>
      <c r="L1529" s="1" cm="1">
        <f t="array" ref="L1529">SUMPRODUCT(("T_TW-icegsl-S2"=[1]OUT_TransportEnergyCons!$A$3:$A$1000)*1,("var_fout"=[1]OUT_TransportEnergyCons!$B$3:$B$1000)*1,ISNUMBER(SEARCH("TPTWL",[1]OUT_TransportEnergyCons!$C$3:$C$1000))*1,[1]OUT_TransportEnergyCons!J$3:J$1000)</f>
        <v>2.6774496025192874E-4</v>
      </c>
      <c r="M1529" s="1" cm="1">
        <f t="array" ref="M1529">SUMPRODUCT(("T_TW-icegsl-S2"=[1]OUT_TransportEnergyCons!$A$3:$A$1000)*1,("var_fout"=[1]OUT_TransportEnergyCons!$B$3:$B$1000)*1,ISNUMBER(SEARCH("TPTWL",[1]OUT_TransportEnergyCons!$C$3:$C$1000))*1,[1]OUT_TransportEnergyCons!K$3:K$1000)</f>
        <v>2.8294705557548548E-4</v>
      </c>
      <c r="N1529" s="1" cm="1">
        <f t="array" ref="N1529">SUMPRODUCT(("T_TW-icegsl-S2"=[1]OUT_TransportEnergyCons!$A$3:$A$1000)*1,("var_fout"=[1]OUT_TransportEnergyCons!$B$3:$B$1000)*1,ISNUMBER(SEARCH("TPTWL",[1]OUT_TransportEnergyCons!$C$3:$C$1000))*1,[1]OUT_TransportEnergyCons!L$3:L$1000)</f>
        <v>2.7183888123456546E-4</v>
      </c>
      <c r="O1529" s="1" cm="1">
        <f t="array" ref="O1529">SUMPRODUCT(("T_TW-icegsl-S2"=[1]OUT_TransportEnergyCons!$A$3:$A$1000)*1,("var_fout"=[1]OUT_TransportEnergyCons!$B$3:$B$1000)*1,ISNUMBER(SEARCH("TPTWL",[1]OUT_TransportEnergyCons!$C$3:$C$1000))*1,[1]OUT_TransportEnergyCons!M$3:M$1000)</f>
        <v>3.4961508593245495E-4</v>
      </c>
      <c r="P1529" s="1" cm="1">
        <f t="array" ref="P1529">SUMPRODUCT(("T_TW-icegsl-S2"=[1]OUT_TransportEnergyCons!$A$3:$A$1000)*1,("var_fout"=[1]OUT_TransportEnergyCons!$B$3:$B$1000)*1,ISNUMBER(SEARCH("TPTWL",[1]OUT_TransportEnergyCons!$C$3:$C$1000))*1,[1]OUT_TransportEnergyCons!N$3:N$1000)</f>
        <v>3.39762589556034E-4</v>
      </c>
      <c r="Q1529" s="1" cm="1">
        <f t="array" ref="Q1529">SUMPRODUCT(("T_TW-icegsl-S2"=[1]OUT_TransportEnergyCons!$A$3:$A$1000)*1,("var_fout"=[1]OUT_TransportEnergyCons!$B$3:$B$1000)*1,ISNUMBER(SEARCH("TPTWL",[1]OUT_TransportEnergyCons!$C$3:$C$1000))*1,[1]OUT_TransportEnergyCons!O$3:O$1000)</f>
        <v>5.269236047908913E-4</v>
      </c>
      <c r="S1529" s="3"/>
    </row>
    <row r="1530" spans="2:19" x14ac:dyDescent="0.5">
      <c r="B1530" t="str">
        <f t="shared" si="1716"/>
        <v>SPS1</v>
      </c>
      <c r="C1530" t="str">
        <f t="shared" si="1717"/>
        <v>CH</v>
      </c>
      <c r="D1530" t="s">
        <v>1515</v>
      </c>
      <c r="E1530" t="str">
        <f t="shared" si="1718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0.1139576648871001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0.14345532792673241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0.14381239425420891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0.1435356955754431</v>
      </c>
      <c r="J1530" s="1" cm="1">
        <f t="array" ref="J1530">SUMPRODUCT(("T_TW-icegsl-S3"=[1]OUT_TransportEnergyCons!$A$3:$A$1000)*1,("var_fout"=[1]OUT_TransportEnergyCons!$B$3:$B$1000)*1,ISNUMBER(SEARCH("TPTWL",[1]OUT_TransportEnergyCons!$C$3:$C$1000))*1,[1]OUT_TransportEnergyCons!H$3:H$1000)</f>
        <v>0.13717964089620968</v>
      </c>
      <c r="K1530" s="1" cm="1">
        <f t="array" ref="K1530">SUMPRODUCT(("T_TW-icegsl-S3"=[1]OUT_TransportEnergyCons!$A$3:$A$1000)*1,("var_fout"=[1]OUT_TransportEnergyCons!$B$3:$B$1000)*1,ISNUMBER(SEARCH("TPTWL",[1]OUT_TransportEnergyCons!$C$3:$C$1000))*1,[1]OUT_TransportEnergyCons!I$3:I$1000)</f>
        <v>3.9490034357897587E-2</v>
      </c>
      <c r="L1530" s="1" cm="1">
        <f t="array" ref="L1530">SUMPRODUCT(("T_TW-icegsl-S3"=[1]OUT_TransportEnergyCons!$A$3:$A$1000)*1,("var_fout"=[1]OUT_TransportEnergyCons!$B$3:$B$1000)*1,ISNUMBER(SEARCH("TPTWL",[1]OUT_TransportEnergyCons!$C$3:$C$1000))*1,[1]OUT_TransportEnergyCons!J$3:J$1000)</f>
        <v>1.59674033491832E-4</v>
      </c>
      <c r="M1530" s="1" cm="1">
        <f t="array" ref="M1530">SUMPRODUCT(("T_TW-icegsl-S3"=[1]OUT_TransportEnergyCons!$A$3:$A$1000)*1,("var_fout"=[1]OUT_TransportEnergyCons!$B$3:$B$1000)*1,ISNUMBER(SEARCH("TPTWL",[1]OUT_TransportEnergyCons!$C$3:$C$1000))*1,[1]OUT_TransportEnergyCons!K$3:K$1000)</f>
        <v>1.7887066570933382E-4</v>
      </c>
      <c r="N1530" s="1" cm="1">
        <f t="array" ref="N1530">SUMPRODUCT(("T_TW-icegsl-S3"=[1]OUT_TransportEnergyCons!$A$3:$A$1000)*1,("var_fout"=[1]OUT_TransportEnergyCons!$B$3:$B$1000)*1,ISNUMBER(SEARCH("TPTWL",[1]OUT_TransportEnergyCons!$C$3:$C$1000))*1,[1]OUT_TransportEnergyCons!L$3:L$1000)</f>
        <v>1.8775739532971779E-4</v>
      </c>
      <c r="O1530" s="1" cm="1">
        <f t="array" ref="O1530">SUMPRODUCT(("T_TW-icegsl-S3"=[1]OUT_TransportEnergyCons!$A$3:$A$1000)*1,("var_fout"=[1]OUT_TransportEnergyCons!$B$3:$B$1000)*1,ISNUMBER(SEARCH("TPTWL",[1]OUT_TransportEnergyCons!$C$3:$C$1000))*1,[1]OUT_TransportEnergyCons!M$3:M$1000)</f>
        <v>2.128598745325709E-4</v>
      </c>
      <c r="P1530" s="1" cm="1">
        <f t="array" ref="P1530">SUMPRODUCT(("T_TW-icegsl-S3"=[1]OUT_TransportEnergyCons!$A$3:$A$1000)*1,("var_fout"=[1]OUT_TransportEnergyCons!$B$3:$B$1000)*1,ISNUMBER(SEARCH("TPTWL",[1]OUT_TransportEnergyCons!$C$3:$C$1000))*1,[1]OUT_TransportEnergyCons!N$3:N$1000)</f>
        <v>2.356656536476403E-4</v>
      </c>
      <c r="Q1530" s="1" cm="1">
        <f t="array" ref="Q1530">SUMPRODUCT(("T_TW-icegsl-S3"=[1]OUT_TransportEnergyCons!$A$3:$A$1000)*1,("var_fout"=[1]OUT_TransportEnergyCons!$B$3:$B$1000)*1,ISNUMBER(SEARCH("TPTWL",[1]OUT_TransportEnergyCons!$C$3:$C$1000))*1,[1]OUT_TransportEnergyCons!O$3:O$1000)</f>
        <v>3.0776078438688657E-4</v>
      </c>
      <c r="S1530" s="3"/>
    </row>
    <row r="1531" spans="2:19" x14ac:dyDescent="0.5">
      <c r="B1531" t="str">
        <f t="shared" si="1716"/>
        <v>SPS1</v>
      </c>
      <c r="C1531" t="str">
        <f t="shared" si="1717"/>
        <v>CH</v>
      </c>
      <c r="D1531" t="s">
        <v>1516</v>
      </c>
      <c r="E1531" t="str">
        <f t="shared" si="1718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6.9481567993558327E-2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8.4920599597424026E-2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8.5197106656744861E-2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8.4987944004845231E-2</v>
      </c>
      <c r="J1531" s="1" cm="1">
        <f t="array" ref="J1531">SUMPRODUCT(("T_TW-icegsl-S4"=[1]OUT_TransportEnergyCons!$A$3:$A$1000)*1,("var_fout"=[1]OUT_TransportEnergyCons!$B$3:$B$1000)*1,ISNUMBER(SEARCH("TPTWL",[1]OUT_TransportEnergyCons!$C$3:$C$1000))*1,[1]OUT_TransportEnergyCons!H$3:H$1000)</f>
        <v>8.5083836789105166E-2</v>
      </c>
      <c r="K1531" s="1" cm="1">
        <f t="array" ref="K1531">SUMPRODUCT(("T_TW-icegsl-S4"=[1]OUT_TransportEnergyCons!$A$3:$A$1000)*1,("var_fout"=[1]OUT_TransportEnergyCons!$B$3:$B$1000)*1,ISNUMBER(SEARCH("TPTWL",[1]OUT_TransportEnergyCons!$C$3:$C$1000))*1,[1]OUT_TransportEnergyCons!I$3:I$1000)</f>
        <v>8.1852183795057432E-2</v>
      </c>
      <c r="L1531" s="1" cm="1">
        <f t="array" ref="L1531">SUMPRODUCT(("T_TW-icegsl-S4"=[1]OUT_TransportEnergyCons!$A$3:$A$1000)*1,("var_fout"=[1]OUT_TransportEnergyCons!$B$3:$B$1000)*1,ISNUMBER(SEARCH("TPTWL",[1]OUT_TransportEnergyCons!$C$3:$C$1000))*1,[1]OUT_TransportEnergyCons!J$3:J$1000)</f>
        <v>1.8099101272181114E-2</v>
      </c>
      <c r="M1531" s="1" cm="1">
        <f t="array" ref="M1531">SUMPRODUCT(("T_TW-icegsl-S4"=[1]OUT_TransportEnergyCons!$A$3:$A$1000)*1,("var_fout"=[1]OUT_TransportEnergyCons!$B$3:$B$1000)*1,ISNUMBER(SEARCH("TPTWL",[1]OUT_TransportEnergyCons!$C$3:$C$1000))*1,[1]OUT_TransportEnergyCons!K$3:K$1000)</f>
        <v>1.2315323807014645E-4</v>
      </c>
      <c r="N1531" s="1" cm="1">
        <f t="array" ref="N1531">SUMPRODUCT(("T_TW-icegsl-S4"=[1]OUT_TransportEnergyCons!$A$3:$A$1000)*1,("var_fout"=[1]OUT_TransportEnergyCons!$B$3:$B$1000)*1,ISNUMBER(SEARCH("TPTWL",[1]OUT_TransportEnergyCons!$C$3:$C$1000))*1,[1]OUT_TransportEnergyCons!L$3:L$1000)</f>
        <v>1.2781134945462434E-4</v>
      </c>
      <c r="O1531" s="1" cm="1">
        <f t="array" ref="O1531">SUMPRODUCT(("T_TW-icegsl-S4"=[1]OUT_TransportEnergyCons!$A$3:$A$1000)*1,("var_fout"=[1]OUT_TransportEnergyCons!$B$3:$B$1000)*1,ISNUMBER(SEARCH("TPTWL",[1]OUT_TransportEnergyCons!$C$3:$C$1000))*1,[1]OUT_TransportEnergyCons!M$3:M$1000)</f>
        <v>1.5074888969961512E-4</v>
      </c>
      <c r="P1531" s="1" cm="1">
        <f t="array" ref="P1531">SUMPRODUCT(("T_TW-icegsl-S4"=[1]OUT_TransportEnergyCons!$A$3:$A$1000)*1,("var_fout"=[1]OUT_TransportEnergyCons!$B$3:$B$1000)*1,ISNUMBER(SEARCH("TPTWL",[1]OUT_TransportEnergyCons!$C$3:$C$1000))*1,[1]OUT_TransportEnergyCons!N$3:N$1000)</f>
        <v>1.6069074971381694E-4</v>
      </c>
      <c r="Q1531" s="1" cm="1">
        <f t="array" ref="Q1531">SUMPRODUCT(("T_TW-icegsl-S4"=[1]OUT_TransportEnergyCons!$A$3:$A$1000)*1,("var_fout"=[1]OUT_TransportEnergyCons!$B$3:$B$1000)*1,ISNUMBER(SEARCH("TPTWL",[1]OUT_TransportEnergyCons!$C$3:$C$1000))*1,[1]OUT_TransportEnergyCons!O$3:O$1000)</f>
        <v>2.0795886460827086E-4</v>
      </c>
      <c r="S1531" s="3"/>
    </row>
    <row r="1532" spans="2:19" x14ac:dyDescent="0.5">
      <c r="B1532" s="9" t="str">
        <f t="shared" si="1716"/>
        <v>SPS1</v>
      </c>
      <c r="C1532" s="9" t="str">
        <f t="shared" si="1717"/>
        <v>CH</v>
      </c>
      <c r="D1532" s="2" t="s">
        <v>1518</v>
      </c>
      <c r="E1532" s="2" t="s">
        <v>1229</v>
      </c>
      <c r="F1532" s="21" t="s">
        <v>1527</v>
      </c>
      <c r="G1532" s="21" t="s">
        <v>1527</v>
      </c>
      <c r="H1532" s="21" t="s">
        <v>1527</v>
      </c>
      <c r="I1532" s="21" t="s">
        <v>1527</v>
      </c>
      <c r="J1532" s="21" t="s">
        <v>1527</v>
      </c>
      <c r="K1532" s="21" t="s">
        <v>1527</v>
      </c>
      <c r="L1532" s="21" t="s">
        <v>1527</v>
      </c>
      <c r="M1532" s="21" t="s">
        <v>1527</v>
      </c>
      <c r="N1532" s="21" t="s">
        <v>1527</v>
      </c>
      <c r="O1532" s="21" t="s">
        <v>1527</v>
      </c>
      <c r="P1532" s="21" t="s">
        <v>1527</v>
      </c>
      <c r="Q1532" s="21" t="s">
        <v>1527</v>
      </c>
      <c r="S1532" s="3"/>
    </row>
    <row r="1533" spans="2:19" x14ac:dyDescent="0.5">
      <c r="B1533" t="str">
        <f t="shared" si="1716"/>
        <v>SPS1</v>
      </c>
      <c r="C1533" t="str">
        <f t="shared" si="1717"/>
        <v>CH</v>
      </c>
      <c r="D1533" t="s">
        <v>1519</v>
      </c>
      <c r="E1533" t="s">
        <v>1229</v>
      </c>
      <c r="F1533" s="1">
        <f t="shared" ref="F1533:K1536" si="1719">IFERROR(F1519/F1499,"-")</f>
        <v>11.098927012431901</v>
      </c>
      <c r="G1533" s="1">
        <f t="shared" si="1719"/>
        <v>11.106368200968701</v>
      </c>
      <c r="H1533" s="1">
        <f t="shared" si="1719"/>
        <v>11.107043340509719</v>
      </c>
      <c r="I1533" s="1">
        <f t="shared" si="1719"/>
        <v>11.113128859304814</v>
      </c>
      <c r="J1533" s="1">
        <f t="shared" si="1719"/>
        <v>11.482719808003019</v>
      </c>
      <c r="K1533" s="1">
        <f t="shared" si="1719"/>
        <v>11.577283737602029</v>
      </c>
      <c r="L1533" s="1">
        <f t="shared" ref="L1533:O1533" si="1720">IFERROR(L1519/L1499,"-")</f>
        <v>11.758744972941614</v>
      </c>
      <c r="M1533" s="1">
        <f t="shared" si="1720"/>
        <v>11.912586751842131</v>
      </c>
      <c r="N1533" s="1">
        <f t="shared" si="1720"/>
        <v>11.91348716892808</v>
      </c>
      <c r="O1533" s="1">
        <f t="shared" si="1720"/>
        <v>11.913862498205884</v>
      </c>
      <c r="P1533" s="1">
        <f t="shared" ref="P1533:Q1536" si="1721">IFERROR(P1519/P1499,"-")</f>
        <v>11.913862498205898</v>
      </c>
      <c r="Q1533" s="1">
        <f t="shared" si="1721"/>
        <v>11.913862498205891</v>
      </c>
      <c r="S1533" s="3"/>
    </row>
    <row r="1534" spans="2:19" x14ac:dyDescent="0.5">
      <c r="B1534" t="str">
        <f t="shared" si="1716"/>
        <v>SPS1</v>
      </c>
      <c r="C1534" t="str">
        <f t="shared" si="1717"/>
        <v>CH</v>
      </c>
      <c r="D1534" t="s">
        <v>1520</v>
      </c>
      <c r="E1534" t="s">
        <v>1229</v>
      </c>
      <c r="F1534" s="1">
        <f t="shared" si="1719"/>
        <v>6.2845243629359882</v>
      </c>
      <c r="G1534" s="1">
        <f t="shared" si="1719"/>
        <v>6.2874106881009322</v>
      </c>
      <c r="H1534" s="1">
        <f t="shared" si="1719"/>
        <v>6.2889450831057241</v>
      </c>
      <c r="I1534" s="1">
        <f t="shared" si="1719"/>
        <v>6.294358229561106</v>
      </c>
      <c r="J1534" s="1">
        <f t="shared" si="1719"/>
        <v>6.4364455931983082</v>
      </c>
      <c r="K1534" s="1">
        <f t="shared" si="1719"/>
        <v>6.5481573588425261</v>
      </c>
      <c r="L1534" s="1">
        <f t="shared" ref="L1534:O1534" si="1722">IFERROR(L1520/L1500,"-")</f>
        <v>6.609999345580051</v>
      </c>
      <c r="M1534" s="1">
        <f t="shared" si="1722"/>
        <v>6.6922795313759806</v>
      </c>
      <c r="N1534" s="1">
        <f t="shared" si="1722"/>
        <v>6.7323189485726012</v>
      </c>
      <c r="O1534" s="1">
        <f t="shared" si="1722"/>
        <v>6.7466492376299998</v>
      </c>
      <c r="P1534" s="1">
        <f t="shared" si="1721"/>
        <v>6.7466492376299962</v>
      </c>
      <c r="Q1534" s="1">
        <f t="shared" si="1721"/>
        <v>6.7466492376299847</v>
      </c>
      <c r="S1534" s="3"/>
    </row>
    <row r="1535" spans="2:19" x14ac:dyDescent="0.5">
      <c r="B1535" t="str">
        <f t="shared" si="1716"/>
        <v>SPS1</v>
      </c>
      <c r="C1535" t="str">
        <f t="shared" si="1717"/>
        <v>CH</v>
      </c>
      <c r="D1535" t="s">
        <v>1521</v>
      </c>
      <c r="E1535" t="s">
        <v>1229</v>
      </c>
      <c r="F1535" s="1">
        <f t="shared" si="1719"/>
        <v>4.0901432735634913</v>
      </c>
      <c r="G1535" s="1">
        <f t="shared" si="1719"/>
        <v>4.0957005571618419</v>
      </c>
      <c r="H1535" s="1">
        <f t="shared" si="1719"/>
        <v>4.1000399844607376</v>
      </c>
      <c r="I1535" s="1">
        <f t="shared" si="1719"/>
        <v>4.1078308019715601</v>
      </c>
      <c r="J1535" s="1">
        <f t="shared" si="1719"/>
        <v>4.1306194942174166</v>
      </c>
      <c r="K1535" s="1">
        <f t="shared" si="1719"/>
        <v>4.1919714490122919</v>
      </c>
      <c r="L1535" s="1">
        <f t="shared" ref="L1535:O1535" si="1723">IFERROR(L1521/L1501,"-")</f>
        <v>4.3259511052084196</v>
      </c>
      <c r="M1535" s="1">
        <f t="shared" si="1723"/>
        <v>4.3696175074443726</v>
      </c>
      <c r="N1535" s="1">
        <f t="shared" si="1723"/>
        <v>4.4007665374049543</v>
      </c>
      <c r="O1535" s="1">
        <f t="shared" si="1723"/>
        <v>4.4275304743377326</v>
      </c>
      <c r="P1535" s="1">
        <f t="shared" si="1721"/>
        <v>4.4389918965394131</v>
      </c>
      <c r="Q1535" s="1">
        <f t="shared" si="1721"/>
        <v>4.4389918965394157</v>
      </c>
      <c r="S1535" s="3"/>
    </row>
    <row r="1536" spans="2:19" x14ac:dyDescent="0.5">
      <c r="B1536" t="str">
        <f t="shared" si="1716"/>
        <v>SPS1</v>
      </c>
      <c r="C1536" t="str">
        <f t="shared" si="1717"/>
        <v>CH</v>
      </c>
      <c r="D1536" t="s">
        <v>1522</v>
      </c>
      <c r="E1536" t="s">
        <v>1229</v>
      </c>
      <c r="F1536" s="1">
        <f t="shared" si="1719"/>
        <v>3.7650534829600399</v>
      </c>
      <c r="G1536" s="1">
        <f t="shared" si="1719"/>
        <v>3.7755399675818713</v>
      </c>
      <c r="H1536" s="1">
        <f t="shared" si="1719"/>
        <v>3.7866658413580208</v>
      </c>
      <c r="I1536" s="1">
        <f t="shared" si="1719"/>
        <v>3.8061703217818899</v>
      </c>
      <c r="J1536" s="1">
        <f t="shared" si="1719"/>
        <v>3.8390689444483139</v>
      </c>
      <c r="K1536" s="1">
        <f t="shared" si="1719"/>
        <v>3.8751447211234034</v>
      </c>
      <c r="L1536" s="1">
        <f t="shared" ref="L1536:O1536" si="1724">IFERROR(L1522/L1502,"-")</f>
        <v>3.9500178395864776</v>
      </c>
      <c r="M1536" s="1">
        <f t="shared" si="1724"/>
        <v>4.0393873722579228</v>
      </c>
      <c r="N1536" s="1">
        <f t="shared" si="1724"/>
        <v>4.0713643903120449</v>
      </c>
      <c r="O1536" s="1">
        <f t="shared" si="1724"/>
        <v>4.0988022814589016</v>
      </c>
      <c r="P1536" s="1">
        <f t="shared" si="1721"/>
        <v>4.1161482767573876</v>
      </c>
      <c r="Q1536" s="1">
        <f t="shared" si="1721"/>
        <v>4.1237577328637176</v>
      </c>
      <c r="S1536" s="3"/>
    </row>
    <row r="1537" spans="2:19" x14ac:dyDescent="0.5">
      <c r="B1537" t="str">
        <f t="shared" si="1716"/>
        <v>SPS1</v>
      </c>
      <c r="C1537" t="str">
        <f t="shared" si="1717"/>
        <v>CH</v>
      </c>
      <c r="D1537" t="s">
        <v>1523</v>
      </c>
      <c r="E1537" t="s">
        <v>1229</v>
      </c>
      <c r="F1537" s="1" t="str">
        <f t="shared" ref="F1537:K1540" si="1725">IFERROR(F1523/F1504,"-")</f>
        <v>-</v>
      </c>
      <c r="G1537" s="1" t="str">
        <f t="shared" si="1725"/>
        <v>-</v>
      </c>
      <c r="H1537" s="1" t="str">
        <f t="shared" si="1725"/>
        <v>-</v>
      </c>
      <c r="I1537" s="1">
        <f t="shared" si="1725"/>
        <v>4.6391179485367786</v>
      </c>
      <c r="J1537" s="1">
        <f t="shared" si="1725"/>
        <v>4.6876627928796228</v>
      </c>
      <c r="K1537" s="1">
        <f t="shared" si="1725"/>
        <v>4.752636071887582</v>
      </c>
      <c r="L1537" s="1">
        <f t="shared" ref="L1537:O1537" si="1726">IFERROR(L1523/L1504,"-")</f>
        <v>4.8229486097783525</v>
      </c>
      <c r="M1537" s="1">
        <f t="shared" si="1726"/>
        <v>4.9003878066723354</v>
      </c>
      <c r="N1537" s="1">
        <f t="shared" si="1726"/>
        <v>4.9284103410790685</v>
      </c>
      <c r="O1537" s="1">
        <f t="shared" si="1726"/>
        <v>4.9376073198960224</v>
      </c>
      <c r="P1537" s="1">
        <f t="shared" ref="P1537:Q1540" si="1727">IFERROR(P1523/P1504,"-")</f>
        <v>4.9376073198960206</v>
      </c>
      <c r="Q1537" s="1">
        <f t="shared" si="1727"/>
        <v>4.9376073198960135</v>
      </c>
      <c r="S1537" s="3"/>
    </row>
    <row r="1538" spans="2:19" x14ac:dyDescent="0.5">
      <c r="B1538" t="str">
        <f t="shared" si="1716"/>
        <v>SPS1</v>
      </c>
      <c r="C1538" t="str">
        <f t="shared" si="1717"/>
        <v>CH</v>
      </c>
      <c r="D1538" t="s">
        <v>1524</v>
      </c>
      <c r="E1538" t="s">
        <v>1229</v>
      </c>
      <c r="F1538" s="1" t="str">
        <f t="shared" si="1725"/>
        <v>-</v>
      </c>
      <c r="G1538" s="1" t="str">
        <f t="shared" si="1725"/>
        <v>-</v>
      </c>
      <c r="H1538" s="1" t="str">
        <f t="shared" si="1725"/>
        <v>-</v>
      </c>
      <c r="I1538" s="1">
        <f t="shared" si="1725"/>
        <v>2.7008868509993618</v>
      </c>
      <c r="J1538" s="1">
        <f t="shared" si="1725"/>
        <v>2.7259427381289338</v>
      </c>
      <c r="K1538" s="1">
        <f t="shared" si="1725"/>
        <v>2.7550976266630336</v>
      </c>
      <c r="L1538" s="1">
        <f t="shared" ref="L1538:O1538" si="1728">IFERROR(L1524/L1505,"-")</f>
        <v>2.7912534327825815</v>
      </c>
      <c r="M1538" s="1">
        <f t="shared" si="1728"/>
        <v>2.8301481152717787</v>
      </c>
      <c r="N1538" s="1">
        <f t="shared" si="1728"/>
        <v>2.8544075933965303</v>
      </c>
      <c r="O1538" s="1">
        <f t="shared" si="1728"/>
        <v>2.8629122117594523</v>
      </c>
      <c r="P1538" s="1">
        <f t="shared" si="1727"/>
        <v>2.8629122117594532</v>
      </c>
      <c r="Q1538" s="1">
        <f t="shared" si="1727"/>
        <v>2.8629122117594488</v>
      </c>
      <c r="S1538" s="3"/>
    </row>
    <row r="1539" spans="2:19" x14ac:dyDescent="0.5">
      <c r="B1539" t="str">
        <f t="shared" si="1716"/>
        <v>SPS1</v>
      </c>
      <c r="C1539" t="str">
        <f t="shared" si="1717"/>
        <v>CH</v>
      </c>
      <c r="D1539" t="s">
        <v>1525</v>
      </c>
      <c r="E1539" t="s">
        <v>1229</v>
      </c>
      <c r="F1539" s="1" t="str">
        <f t="shared" si="1725"/>
        <v>-</v>
      </c>
      <c r="G1539" s="1" t="str">
        <f t="shared" si="1725"/>
        <v>-</v>
      </c>
      <c r="H1539" s="1" t="str">
        <f t="shared" si="1725"/>
        <v>-</v>
      </c>
      <c r="I1539" s="1">
        <f t="shared" si="1725"/>
        <v>1.7606485351727301</v>
      </c>
      <c r="J1539" s="1">
        <f t="shared" si="1725"/>
        <v>1.7793201260667633</v>
      </c>
      <c r="K1539" s="1">
        <f t="shared" si="1725"/>
        <v>1.7940359997531174</v>
      </c>
      <c r="L1539" s="1">
        <f t="shared" ref="L1539:O1539" si="1729">IFERROR(L1525/L1506,"-")</f>
        <v>1.8142512066336975</v>
      </c>
      <c r="M1539" s="1">
        <f t="shared" si="1729"/>
        <v>1.8388638516824705</v>
      </c>
      <c r="N1539" s="1">
        <f t="shared" si="1729"/>
        <v>1.8566418078615128</v>
      </c>
      <c r="O1539" s="1">
        <f t="shared" si="1729"/>
        <v>1.8701423100087773</v>
      </c>
      <c r="P1539" s="1">
        <f t="shared" si="1727"/>
        <v>1.8752252137143024</v>
      </c>
      <c r="Q1539" s="1">
        <f t="shared" si="1727"/>
        <v>1.8752252137143004</v>
      </c>
      <c r="S1539" s="3"/>
    </row>
    <row r="1540" spans="2:19" x14ac:dyDescent="0.5">
      <c r="B1540" t="str">
        <f t="shared" si="1716"/>
        <v>SPS1</v>
      </c>
      <c r="C1540" t="str">
        <f t="shared" si="1717"/>
        <v>CH</v>
      </c>
      <c r="D1540" t="s">
        <v>1526</v>
      </c>
      <c r="E1540" t="s">
        <v>1229</v>
      </c>
      <c r="F1540" s="1" t="str">
        <f t="shared" si="1725"/>
        <v>-</v>
      </c>
      <c r="G1540" s="1" t="str">
        <f t="shared" si="1725"/>
        <v>-</v>
      </c>
      <c r="H1540" s="1" t="str">
        <f t="shared" si="1725"/>
        <v>-</v>
      </c>
      <c r="I1540" s="1">
        <f t="shared" si="1725"/>
        <v>1.5620411785777202</v>
      </c>
      <c r="J1540" s="1">
        <f t="shared" si="1725"/>
        <v>1.5795733287453433</v>
      </c>
      <c r="K1540" s="1">
        <f t="shared" si="1725"/>
        <v>1.59614010099619</v>
      </c>
      <c r="L1540" s="1">
        <f t="shared" ref="L1540:O1540" si="1730">IFERROR(L1526/L1507,"-")</f>
        <v>1.6152233372763309</v>
      </c>
      <c r="M1540" s="1">
        <f t="shared" si="1730"/>
        <v>1.6365848666956353</v>
      </c>
      <c r="N1540" s="1">
        <f t="shared" si="1730"/>
        <v>1.6536963525091943</v>
      </c>
      <c r="O1540" s="1">
        <f t="shared" si="1730"/>
        <v>1.6666555203601354</v>
      </c>
      <c r="P1540" s="1">
        <f t="shared" si="1727"/>
        <v>1.6746838052635618</v>
      </c>
      <c r="Q1540" s="1">
        <f t="shared" si="1727"/>
        <v>1.6779856082197431</v>
      </c>
      <c r="S1540" s="3"/>
    </row>
    <row r="1541" spans="2:19" x14ac:dyDescent="0.5">
      <c r="B1541" t="str">
        <f t="shared" si="1716"/>
        <v>SPS1</v>
      </c>
      <c r="C1541" t="str">
        <f t="shared" si="1717"/>
        <v>CH</v>
      </c>
      <c r="D1541" t="s">
        <v>1582</v>
      </c>
      <c r="E1541" t="s">
        <v>1229</v>
      </c>
      <c r="F1541" s="1">
        <f t="shared" ref="F1541:K1545" si="1731">IFERROR(F1527/F1513,"-")</f>
        <v>0.77116510534577853</v>
      </c>
      <c r="G1541" s="1">
        <f t="shared" si="1731"/>
        <v>0.78723832996732013</v>
      </c>
      <c r="H1541" s="1">
        <f t="shared" si="1731"/>
        <v>0.81134816689963396</v>
      </c>
      <c r="I1541" s="1">
        <f t="shared" si="1731"/>
        <v>0.85153122845348939</v>
      </c>
      <c r="J1541" s="1" t="str">
        <f t="shared" si="1731"/>
        <v>-</v>
      </c>
      <c r="K1541" s="1" t="str">
        <f t="shared" si="1731"/>
        <v>-</v>
      </c>
      <c r="L1541" s="1" t="str">
        <f t="shared" ref="L1541:O1541" si="1732">IFERROR(L1527/L1513,"-")</f>
        <v>-</v>
      </c>
      <c r="M1541" s="1" t="str">
        <f t="shared" si="1732"/>
        <v>-</v>
      </c>
      <c r="N1541" s="1" t="str">
        <f t="shared" si="1732"/>
        <v>-</v>
      </c>
      <c r="O1541" s="1" t="str">
        <f t="shared" si="1732"/>
        <v>-</v>
      </c>
      <c r="P1541" s="1" t="str">
        <f t="shared" ref="P1541:Q1545" si="1733">IFERROR(P1527/P1513,"-")</f>
        <v>-</v>
      </c>
      <c r="Q1541" s="1" t="str">
        <f t="shared" si="1733"/>
        <v>-</v>
      </c>
      <c r="S1541" s="3"/>
    </row>
    <row r="1542" spans="2:19" x14ac:dyDescent="0.5">
      <c r="B1542" t="str">
        <f t="shared" si="1716"/>
        <v>SPS1</v>
      </c>
      <c r="C1542" t="str">
        <f t="shared" si="1717"/>
        <v>CH</v>
      </c>
      <c r="D1542" t="s">
        <v>1583</v>
      </c>
      <c r="E1542" t="s">
        <v>1229</v>
      </c>
      <c r="F1542" s="1">
        <f t="shared" si="1731"/>
        <v>1.9078836334110911</v>
      </c>
      <c r="G1542" s="1">
        <f t="shared" si="1731"/>
        <v>1.9240602202378676</v>
      </c>
      <c r="H1542" s="1">
        <f t="shared" si="1731"/>
        <v>1.9243956560562527</v>
      </c>
      <c r="I1542" s="1">
        <f t="shared" si="1731"/>
        <v>1.9527215961395885</v>
      </c>
      <c r="J1542" s="1">
        <f t="shared" si="1731"/>
        <v>2.0351151898499587</v>
      </c>
      <c r="K1542" s="1">
        <f t="shared" si="1731"/>
        <v>2.0567443455486236</v>
      </c>
      <c r="L1542" s="1">
        <f t="shared" ref="L1542:O1542" si="1734">IFERROR(L1528/L1514,"-")</f>
        <v>2.1020050625223203</v>
      </c>
      <c r="M1542" s="1">
        <f t="shared" si="1734"/>
        <v>2.1328303567535571</v>
      </c>
      <c r="N1542" s="1">
        <f t="shared" si="1734"/>
        <v>2.1408649048558281</v>
      </c>
      <c r="O1542" s="1">
        <f t="shared" si="1734"/>
        <v>2.1882785185199509</v>
      </c>
      <c r="P1542" s="1">
        <f t="shared" si="1733"/>
        <v>2.18827851851995</v>
      </c>
      <c r="Q1542" s="1">
        <f t="shared" si="1733"/>
        <v>2.1882785185199487</v>
      </c>
      <c r="S1542" s="3"/>
    </row>
    <row r="1543" spans="2:19" x14ac:dyDescent="0.5">
      <c r="B1543" t="str">
        <f t="shared" si="1716"/>
        <v>SPS1</v>
      </c>
      <c r="C1543" t="str">
        <f t="shared" si="1717"/>
        <v>CH</v>
      </c>
      <c r="D1543" t="s">
        <v>1584</v>
      </c>
      <c r="E1543" t="s">
        <v>1229</v>
      </c>
      <c r="F1543" s="1">
        <f t="shared" si="1731"/>
        <v>1.102762984747321</v>
      </c>
      <c r="G1543" s="1">
        <f t="shared" si="1731"/>
        <v>1.104292901304182</v>
      </c>
      <c r="H1543" s="1">
        <f t="shared" si="1731"/>
        <v>1.1043580484991509</v>
      </c>
      <c r="I1543" s="1">
        <f t="shared" si="1731"/>
        <v>1.1045752166940579</v>
      </c>
      <c r="J1543" s="1">
        <f t="shared" si="1731"/>
        <v>1.1087568027682007</v>
      </c>
      <c r="K1543" s="1">
        <f t="shared" si="1731"/>
        <v>1.1830073034991051</v>
      </c>
      <c r="L1543" s="1">
        <f t="shared" ref="L1543:O1543" si="1735">IFERROR(L1529/L1515,"-")</f>
        <v>1.2062889684814633</v>
      </c>
      <c r="M1543" s="1">
        <f t="shared" si="1735"/>
        <v>1.2316537702679839</v>
      </c>
      <c r="N1543" s="1">
        <f t="shared" si="1735"/>
        <v>1.250775267281635</v>
      </c>
      <c r="O1543" s="1">
        <f t="shared" si="1735"/>
        <v>1.2575779131572411</v>
      </c>
      <c r="P1543" s="1">
        <f t="shared" si="1733"/>
        <v>1.2575779131572402</v>
      </c>
      <c r="Q1543" s="1">
        <f t="shared" si="1733"/>
        <v>1.2575779131572402</v>
      </c>
      <c r="S1543" s="3"/>
    </row>
    <row r="1544" spans="2:19" x14ac:dyDescent="0.5">
      <c r="B1544" t="str">
        <f t="shared" si="1716"/>
        <v>SPS1</v>
      </c>
      <c r="C1544" t="str">
        <f t="shared" si="1717"/>
        <v>CH</v>
      </c>
      <c r="D1544" t="s">
        <v>1585</v>
      </c>
      <c r="E1544" t="s">
        <v>1229</v>
      </c>
      <c r="F1544" s="1">
        <f t="shared" si="1731"/>
        <v>0.72942698043637011</v>
      </c>
      <c r="G1544" s="1">
        <f t="shared" si="1731"/>
        <v>0.73017179146063227</v>
      </c>
      <c r="H1544" s="1">
        <f t="shared" si="1731"/>
        <v>0.73017583996385649</v>
      </c>
      <c r="I1544" s="1">
        <f t="shared" si="1731"/>
        <v>0.73018325246060201</v>
      </c>
      <c r="J1544" s="1">
        <f t="shared" si="1731"/>
        <v>0.73023498247480589</v>
      </c>
      <c r="K1544" s="1">
        <f t="shared" si="1731"/>
        <v>0.73125583148576945</v>
      </c>
      <c r="L1544" s="1">
        <f t="shared" ref="L1544:O1544" si="1736">IFERROR(L1530/L1516,"-")</f>
        <v>0.78838661776360075</v>
      </c>
      <c r="M1544" s="1">
        <f t="shared" si="1736"/>
        <v>0.80505493918642523</v>
      </c>
      <c r="N1544" s="1">
        <f t="shared" si="1736"/>
        <v>0.81696095103038124</v>
      </c>
      <c r="O1544" s="1">
        <f t="shared" si="1736"/>
        <v>0.82776115479083834</v>
      </c>
      <c r="P1544" s="1">
        <f t="shared" si="1733"/>
        <v>0.83134781163542981</v>
      </c>
      <c r="Q1544" s="1">
        <f t="shared" si="1733"/>
        <v>0.83134781163543281</v>
      </c>
      <c r="S1544" s="3"/>
    </row>
    <row r="1545" spans="2:19" x14ac:dyDescent="0.5">
      <c r="B1545" t="str">
        <f t="shared" si="1716"/>
        <v>SPS1</v>
      </c>
      <c r="C1545" t="str">
        <f t="shared" si="1717"/>
        <v>CH</v>
      </c>
      <c r="D1545" t="s">
        <v>1586</v>
      </c>
      <c r="E1545" t="s">
        <v>1229</v>
      </c>
      <c r="F1545" s="1">
        <f t="shared" si="1731"/>
        <v>0.67580166525687346</v>
      </c>
      <c r="G1545" s="1">
        <f t="shared" si="1731"/>
        <v>0.67641305785820893</v>
      </c>
      <c r="H1545" s="1">
        <f t="shared" si="1731"/>
        <v>0.67641613445551629</v>
      </c>
      <c r="I1545" s="1">
        <f t="shared" si="1731"/>
        <v>0.67642228336757415</v>
      </c>
      <c r="J1545" s="1">
        <f t="shared" si="1731"/>
        <v>0.67643326019246119</v>
      </c>
      <c r="K1545" s="1">
        <f t="shared" si="1731"/>
        <v>0.67647407428376805</v>
      </c>
      <c r="L1545" s="1">
        <f t="shared" ref="L1545:O1545" si="1737">IFERROR(L1531/L1517,"-")</f>
        <v>0.67756307795805537</v>
      </c>
      <c r="M1545" s="1">
        <f t="shared" si="1737"/>
        <v>0.74241651468760939</v>
      </c>
      <c r="N1545" s="1">
        <f t="shared" si="1737"/>
        <v>0.75477357954871249</v>
      </c>
      <c r="O1545" s="1">
        <f t="shared" si="1737"/>
        <v>0.76409170531207093</v>
      </c>
      <c r="P1545" s="1">
        <f t="shared" si="1733"/>
        <v>0.76998961297208179</v>
      </c>
      <c r="Q1545" s="1">
        <f t="shared" si="1733"/>
        <v>0.77223175790060439</v>
      </c>
      <c r="S1545" s="3"/>
    </row>
    <row r="1546" spans="2:19" x14ac:dyDescent="0.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16.710105775239221</v>
      </c>
      <c r="G1546" s="3">
        <f t="shared" ref="G1546:K1546" si="1738">G1547+G1550+G1552+G1559+G1567</f>
        <v>15.612476240127878</v>
      </c>
      <c r="H1546" s="3">
        <f t="shared" si="1738"/>
        <v>13.999945918033241</v>
      </c>
      <c r="I1546" s="3">
        <f t="shared" si="1738"/>
        <v>11.331264161378186</v>
      </c>
      <c r="J1546" s="3">
        <f t="shared" si="1738"/>
        <v>8.4786977297381938</v>
      </c>
      <c r="K1546" s="3">
        <f t="shared" si="1738"/>
        <v>7.3589158319017516</v>
      </c>
      <c r="L1546" s="3">
        <f t="shared" ref="L1546:O1546" si="1739">L1547+L1550+L1552+L1559+L1567</f>
        <v>7.6657280217453492</v>
      </c>
      <c r="M1546" s="3">
        <f t="shared" si="1739"/>
        <v>7.9725982366450534</v>
      </c>
      <c r="N1546" s="3">
        <f t="shared" si="1739"/>
        <v>8.345937002901012</v>
      </c>
      <c r="O1546" s="3">
        <f t="shared" si="1739"/>
        <v>8.8703306934618205</v>
      </c>
      <c r="P1546" s="3">
        <f>P1547+P1550+P1552+P1559+P1567</f>
        <v>9.4525085458211908</v>
      </c>
      <c r="Q1546" s="3">
        <f>Q1547+Q1550+Q1552+Q1559+Q1567</f>
        <v>10.092454453310735</v>
      </c>
      <c r="S1546" s="3"/>
    </row>
    <row r="1547" spans="2:19" x14ac:dyDescent="0.5">
      <c r="B1547" t="str">
        <f t="shared" ref="B1547:B1592" si="1740">B1546</f>
        <v>SPS1</v>
      </c>
      <c r="C1547" t="str">
        <f t="shared" ref="C1547:C1592" si="1741">C1546</f>
        <v>CH</v>
      </c>
      <c r="D1547" t="s">
        <v>1536</v>
      </c>
      <c r="E1547" t="str">
        <f>E1546</f>
        <v>PJ/yr.</v>
      </c>
      <c r="F1547" s="1">
        <f>SUM(F1548:F1549)</f>
        <v>7.6134870141815303E-2</v>
      </c>
      <c r="G1547" s="1">
        <f t="shared" ref="G1547:K1547" si="1742">SUM(G1548:G1549)</f>
        <v>0.1133076897008253</v>
      </c>
      <c r="H1547" s="1">
        <f t="shared" si="1742"/>
        <v>0.14292795554011065</v>
      </c>
      <c r="I1547" s="1">
        <f t="shared" si="1742"/>
        <v>1.6928246034878862</v>
      </c>
      <c r="J1547" s="1">
        <f t="shared" si="1742"/>
        <v>4.7321677613060835</v>
      </c>
      <c r="K1547" s="1">
        <f t="shared" si="1742"/>
        <v>7.3587827403920683</v>
      </c>
      <c r="L1547" s="1">
        <f t="shared" ref="L1547:O1547" si="1743">SUM(L1548:L1549)</f>
        <v>7.6657280217453492</v>
      </c>
      <c r="M1547" s="1">
        <f t="shared" si="1743"/>
        <v>7.9725980993008552</v>
      </c>
      <c r="N1547" s="1">
        <f t="shared" si="1743"/>
        <v>8.345937002901012</v>
      </c>
      <c r="O1547" s="1">
        <f t="shared" si="1743"/>
        <v>8.8703306934618205</v>
      </c>
      <c r="P1547" s="1">
        <f>SUM(P1548:P1549)</f>
        <v>9.4525084786275233</v>
      </c>
      <c r="Q1547" s="1">
        <f>SUM(Q1548:Q1549)</f>
        <v>10.092452680696551</v>
      </c>
      <c r="S1547" s="3"/>
    </row>
    <row r="1548" spans="2:19" x14ac:dyDescent="0.5">
      <c r="B1548" t="str">
        <f t="shared" si="1740"/>
        <v>SPS1</v>
      </c>
      <c r="C1548" t="str">
        <f t="shared" si="1741"/>
        <v>CH</v>
      </c>
      <c r="D1548" t="s">
        <v>1543</v>
      </c>
      <c r="E1548" t="str">
        <f t="shared" ref="E1548:E1572" si="1744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4.0553006498147651E-2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3.4833345969896685E-2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2.6419899790334152E-2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1.318215532354166E-2</v>
      </c>
      <c r="J1548" s="1" cm="1">
        <f t="array" ref="J1548">SUMPRODUCT(("TFLGV-BeVELCExt"=[1]OUT_TransportEnergyCons!$A$3:$A$1000)*1,("Var_Fin"=[1]OUT_TransportEnergyCons!$B$3:$B$1000)*1,ISNUMBER(SEARCH("ELC",[1]OUT_TransportEnergyCons!$C$3:$C$1000))*1,[1]OUT_TransportEnergyCons!H$3:H$1000)</f>
        <v>0</v>
      </c>
      <c r="K1548" s="1" cm="1">
        <f t="array" ref="K1548">SUMPRODUCT(("TFLGV-BeVELCExt"=[1]OUT_TransportEnergyCons!$A$3:$A$1000)*1,("Var_Fin"=[1]OUT_TransportEnergyCons!$B$3:$B$1000)*1,ISNUMBER(SEARCH("ELC",[1]OUT_TransportEnergyCons!$C$3:$C$1000))*1,[1]OUT_TransportEnergyCons!I$3:I$1000)</f>
        <v>0</v>
      </c>
      <c r="L1548" s="1" cm="1">
        <f t="array" ref="L1548">SUMPRODUCT(("TFLGV-BeVELCExt"=[1]OUT_TransportEnergyCons!$A$3:$A$1000)*1,("Var_Fin"=[1]OUT_TransportEnergyCons!$B$3:$B$1000)*1,ISNUMBER(SEARCH("ELC",[1]OUT_TransportEnergyCons!$C$3:$C$1000))*1,[1]OUT_TransportEnergyCons!J$3:J$1000)</f>
        <v>0</v>
      </c>
      <c r="M1548" s="1" cm="1">
        <f t="array" ref="M1548">SUMPRODUCT(("TFLGV-BeVELCExt"=[1]OUT_TransportEnergyCons!$A$3:$A$1000)*1,("Var_Fin"=[1]OUT_TransportEnergyCons!$B$3:$B$1000)*1,ISNUMBER(SEARCH("ELC",[1]OUT_TransportEnergyCons!$C$3:$C$1000))*1,[1]OUT_TransportEnergyCons!K$3:K$1000)</f>
        <v>0</v>
      </c>
      <c r="N1548" s="1" cm="1">
        <f t="array" ref="N1548">SUMPRODUCT(("TFLGV-BeVELCExt"=[1]OUT_TransportEnergyCons!$A$3:$A$1000)*1,("Var_Fin"=[1]OUT_TransportEnergyCons!$B$3:$B$1000)*1,ISNUMBER(SEARCH("ELC",[1]OUT_TransportEnergyCons!$C$3:$C$1000))*1,[1]OUT_TransportEnergyCons!L$3:L$1000)</f>
        <v>0</v>
      </c>
      <c r="O1548" s="1" cm="1">
        <f t="array" ref="O1548">SUMPRODUCT(("TFLGV-BeVELCExt"=[1]OUT_TransportEnergyCons!$A$3:$A$1000)*1,("Var_Fin"=[1]OUT_TransportEnergyCons!$B$3:$B$1000)*1,ISNUMBER(SEARCH("ELC",[1]OUT_TransportEnergyCons!$C$3:$C$1000))*1,[1]OUT_TransportEnergyCons!M$3:M$1000)</f>
        <v>0</v>
      </c>
      <c r="P1548" s="1" cm="1">
        <f t="array" ref="P1548">SUMPRODUCT(("TFLGV-BeVELCExt"=[1]OUT_TransportEnergyCons!$A$3:$A$1000)*1,("Var_Fin"=[1]OUT_TransportEnergyCons!$B$3:$B$1000)*1,ISNUMBER(SEARCH("ELC",[1]OUT_TransportEnergyCons!$C$3:$C$1000))*1,[1]OUT_TransportEnergyCons!N$3:N$1000)</f>
        <v>0</v>
      </c>
      <c r="Q1548" s="1" cm="1">
        <f t="array" ref="Q1548">SUMPRODUCT(("TFLGV-BeVELCExt"=[1]OUT_TransportEnergyCons!$A$3:$A$1000)*1,("Var_Fin"=[1]OUT_TransportEnergyCons!$B$3:$B$1000)*1,ISNUMBER(SEARCH("ELC",[1]OUT_TransportEnergyCons!$C$3:$C$1000))*1,[1]OUT_TransportEnergyCons!O$3:O$1000)</f>
        <v>0</v>
      </c>
      <c r="S1548" s="3"/>
    </row>
    <row r="1549" spans="2:19" x14ac:dyDescent="0.5">
      <c r="B1549" t="str">
        <f t="shared" si="1740"/>
        <v>SPS1</v>
      </c>
      <c r="C1549" t="str">
        <f t="shared" si="1741"/>
        <v>CH</v>
      </c>
      <c r="D1549" t="s">
        <v>1544</v>
      </c>
      <c r="E1549" t="str">
        <f t="shared" si="1744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3.5581863643667645E-2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7.8474343730928611E-2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0.11650805574977649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1.6796424481643446</v>
      </c>
      <c r="J1549" s="1" cm="1">
        <f t="array" ref="J1549">SUMPRODUCT(("TFLGV-BEVELC"=[1]OUT_TransportEnergyCons!$A$3:$A$1000)*1,("Var_Fin"=[1]OUT_TransportEnergyCons!$B$3:$B$1000)*1,ISNUMBER(SEARCH("ELC",[1]OUT_TransportEnergyCons!$C$3:$C$1000))*1,[1]OUT_TransportEnergyCons!H$3:H$1000)</f>
        <v>4.7321677613060835</v>
      </c>
      <c r="K1549" s="1" cm="1">
        <f t="array" ref="K1549">SUMPRODUCT(("TFLGV-BEVELC"=[1]OUT_TransportEnergyCons!$A$3:$A$1000)*1,("Var_Fin"=[1]OUT_TransportEnergyCons!$B$3:$B$1000)*1,ISNUMBER(SEARCH("ELC",[1]OUT_TransportEnergyCons!$C$3:$C$1000))*1,[1]OUT_TransportEnergyCons!I$3:I$1000)</f>
        <v>7.3587827403920683</v>
      </c>
      <c r="L1549" s="1" cm="1">
        <f t="array" ref="L1549">SUMPRODUCT(("TFLGV-BEVELC"=[1]OUT_TransportEnergyCons!$A$3:$A$1000)*1,("Var_Fin"=[1]OUT_TransportEnergyCons!$B$3:$B$1000)*1,ISNUMBER(SEARCH("ELC",[1]OUT_TransportEnergyCons!$C$3:$C$1000))*1,[1]OUT_TransportEnergyCons!J$3:J$1000)</f>
        <v>7.6657280217453492</v>
      </c>
      <c r="M1549" s="1" cm="1">
        <f t="array" ref="M1549">SUMPRODUCT(("TFLGV-BEVELC"=[1]OUT_TransportEnergyCons!$A$3:$A$1000)*1,("Var_Fin"=[1]OUT_TransportEnergyCons!$B$3:$B$1000)*1,ISNUMBER(SEARCH("ELC",[1]OUT_TransportEnergyCons!$C$3:$C$1000))*1,[1]OUT_TransportEnergyCons!K$3:K$1000)</f>
        <v>7.9725980993008552</v>
      </c>
      <c r="N1549" s="1" cm="1">
        <f t="array" ref="N1549">SUMPRODUCT(("TFLGV-BEVELC"=[1]OUT_TransportEnergyCons!$A$3:$A$1000)*1,("Var_Fin"=[1]OUT_TransportEnergyCons!$B$3:$B$1000)*1,ISNUMBER(SEARCH("ELC",[1]OUT_TransportEnergyCons!$C$3:$C$1000))*1,[1]OUT_TransportEnergyCons!L$3:L$1000)</f>
        <v>8.345937002901012</v>
      </c>
      <c r="O1549" s="1" cm="1">
        <f t="array" ref="O1549">SUMPRODUCT(("TFLGV-BEVELC"=[1]OUT_TransportEnergyCons!$A$3:$A$1000)*1,("Var_Fin"=[1]OUT_TransportEnergyCons!$B$3:$B$1000)*1,ISNUMBER(SEARCH("ELC",[1]OUT_TransportEnergyCons!$C$3:$C$1000))*1,[1]OUT_TransportEnergyCons!M$3:M$1000)</f>
        <v>8.8703306934618205</v>
      </c>
      <c r="P1549" s="1" cm="1">
        <f t="array" ref="P1549">SUMPRODUCT(("TFLGV-BEVELC"=[1]OUT_TransportEnergyCons!$A$3:$A$1000)*1,("Var_Fin"=[1]OUT_TransportEnergyCons!$B$3:$B$1000)*1,ISNUMBER(SEARCH("ELC",[1]OUT_TransportEnergyCons!$C$3:$C$1000))*1,[1]OUT_TransportEnergyCons!N$3:N$1000)</f>
        <v>9.4525084786275233</v>
      </c>
      <c r="Q1549" s="1" cm="1">
        <f t="array" ref="Q1549">SUMPRODUCT(("TFLGV-BEVELC"=[1]OUT_TransportEnergyCons!$A$3:$A$1000)*1,("Var_Fin"=[1]OUT_TransportEnergyCons!$B$3:$B$1000)*1,ISNUMBER(SEARCH("ELC",[1]OUT_TransportEnergyCons!$C$3:$C$1000))*1,[1]OUT_TransportEnergyCons!O$3:O$1000)</f>
        <v>10.092452680696551</v>
      </c>
      <c r="S1549" s="3"/>
    </row>
    <row r="1550" spans="2:19" x14ac:dyDescent="0.5">
      <c r="B1550" t="str">
        <f t="shared" si="1740"/>
        <v>SPS1</v>
      </c>
      <c r="C1550" t="str">
        <f t="shared" si="1741"/>
        <v>CH</v>
      </c>
      <c r="D1550" t="s">
        <v>1537</v>
      </c>
      <c r="E1550" t="str">
        <f t="shared" si="1744"/>
        <v>PJ/yr.</v>
      </c>
      <c r="F1550" s="1">
        <f>F1551</f>
        <v>0</v>
      </c>
      <c r="G1550" s="1">
        <f t="shared" ref="G1550:O1550" si="1745">G1551</f>
        <v>1.8930520413551818E-5</v>
      </c>
      <c r="H1550" s="1">
        <f t="shared" si="1745"/>
        <v>2.4717666339855242E-5</v>
      </c>
      <c r="I1550" s="1">
        <f t="shared" si="1745"/>
        <v>0</v>
      </c>
      <c r="J1550" s="1">
        <f t="shared" si="1745"/>
        <v>7.3546569027512002E-8</v>
      </c>
      <c r="K1550" s="1">
        <f t="shared" si="1745"/>
        <v>2.1935210625937272E-7</v>
      </c>
      <c r="L1550" s="1">
        <f t="shared" si="1745"/>
        <v>0</v>
      </c>
      <c r="M1550" s="1">
        <f t="shared" si="1745"/>
        <v>1.3734419852837261E-7</v>
      </c>
      <c r="N1550" s="1">
        <f t="shared" si="1745"/>
        <v>0</v>
      </c>
      <c r="O1550" s="1">
        <f t="shared" si="1745"/>
        <v>0</v>
      </c>
      <c r="P1550" s="1">
        <f>P1551</f>
        <v>6.71936670368265E-8</v>
      </c>
      <c r="Q1550" s="1">
        <f>Q1551</f>
        <v>1.7726141831986287E-6</v>
      </c>
      <c r="S1550" s="3"/>
    </row>
    <row r="1551" spans="2:19" x14ac:dyDescent="0.5">
      <c r="B1551" t="str">
        <f t="shared" si="1740"/>
        <v>SPS1</v>
      </c>
      <c r="C1551" t="str">
        <f t="shared" si="1741"/>
        <v>CH</v>
      </c>
      <c r="D1551" t="s">
        <v>1545</v>
      </c>
      <c r="E1551" t="str">
        <f t="shared" si="1744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1.8930520413551818E-5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2.4717666339855242E-5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0</v>
      </c>
      <c r="J1551" s="1" cm="1">
        <f t="array" ref="J1551">SUMPRODUCT(("TFLGV-FCLH2O"=[1]OUT_TransportEnergyCons!$A$3:$A$1000)*1,("Var_Fin"=[1]OUT_TransportEnergyCons!$B$3:$B$1000)*1,ISNUMBER(SEARCH("h2",[1]OUT_TransportEnergyCons!$C$3:$C$1000))*1,[1]OUT_TransportEnergyCons!H$3:H$1000)</f>
        <v>7.3546569027512002E-8</v>
      </c>
      <c r="K1551" s="1" cm="1">
        <f t="array" ref="K1551">SUMPRODUCT(("TFLGV-FCLH2O"=[1]OUT_TransportEnergyCons!$A$3:$A$1000)*1,("Var_Fin"=[1]OUT_TransportEnergyCons!$B$3:$B$1000)*1,ISNUMBER(SEARCH("h2",[1]OUT_TransportEnergyCons!$C$3:$C$1000))*1,[1]OUT_TransportEnergyCons!I$3:I$1000)</f>
        <v>2.1935210625937272E-7</v>
      </c>
      <c r="L1551" s="1" cm="1">
        <f t="array" ref="L1551">SUMPRODUCT(("TFLGV-FCLH2O"=[1]OUT_TransportEnergyCons!$A$3:$A$1000)*1,("Var_Fin"=[1]OUT_TransportEnergyCons!$B$3:$B$1000)*1,ISNUMBER(SEARCH("h2",[1]OUT_TransportEnergyCons!$C$3:$C$1000))*1,[1]OUT_TransportEnergyCons!J$3:J$1000)</f>
        <v>0</v>
      </c>
      <c r="M1551" s="1" cm="1">
        <f t="array" ref="M1551">SUMPRODUCT(("TFLGV-FCLH2O"=[1]OUT_TransportEnergyCons!$A$3:$A$1000)*1,("Var_Fin"=[1]OUT_TransportEnergyCons!$B$3:$B$1000)*1,ISNUMBER(SEARCH("h2",[1]OUT_TransportEnergyCons!$C$3:$C$1000))*1,[1]OUT_TransportEnergyCons!K$3:K$1000)</f>
        <v>1.3734419852837261E-7</v>
      </c>
      <c r="N1551" s="1" cm="1">
        <f t="array" ref="N1551">SUMPRODUCT(("TFLGV-FCLH2O"=[1]OUT_TransportEnergyCons!$A$3:$A$1000)*1,("Var_Fin"=[1]OUT_TransportEnergyCons!$B$3:$B$1000)*1,ISNUMBER(SEARCH("h2",[1]OUT_TransportEnergyCons!$C$3:$C$1000))*1,[1]OUT_TransportEnergyCons!L$3:L$1000)</f>
        <v>0</v>
      </c>
      <c r="O1551" s="1" cm="1">
        <f t="array" ref="O1551">SUMPRODUCT(("TFLGV-FCLH2O"=[1]OUT_TransportEnergyCons!$A$3:$A$1000)*1,("Var_Fin"=[1]OUT_TransportEnergyCons!$B$3:$B$1000)*1,ISNUMBER(SEARCH("h2",[1]OUT_TransportEnergyCons!$C$3:$C$1000))*1,[1]OUT_TransportEnergyCons!M$3:M$1000)</f>
        <v>0</v>
      </c>
      <c r="P1551" s="1" cm="1">
        <f t="array" ref="P1551">SUMPRODUCT(("TFLGV-FCLH2O"=[1]OUT_TransportEnergyCons!$A$3:$A$1000)*1,("Var_Fin"=[1]OUT_TransportEnergyCons!$B$3:$B$1000)*1,ISNUMBER(SEARCH("h2",[1]OUT_TransportEnergyCons!$C$3:$C$1000))*1,[1]OUT_TransportEnergyCons!N$3:N$1000)</f>
        <v>6.71936670368265E-8</v>
      </c>
      <c r="Q1551" s="1" cm="1">
        <f t="array" ref="Q1551">SUMPRODUCT(("TFLGV-FCLH2O"=[1]OUT_TransportEnergyCons!$A$3:$A$1000)*1,("Var_Fin"=[1]OUT_TransportEnergyCons!$B$3:$B$1000)*1,ISNUMBER(SEARCH("h2",[1]OUT_TransportEnergyCons!$C$3:$C$1000))*1,[1]OUT_TransportEnergyCons!O$3:O$1000)</f>
        <v>1.7726141831986287E-6</v>
      </c>
      <c r="S1551" s="3"/>
    </row>
    <row r="1552" spans="2:19" x14ac:dyDescent="0.5">
      <c r="B1552" t="str">
        <f t="shared" si="1740"/>
        <v>SPS1</v>
      </c>
      <c r="C1552" t="str">
        <f t="shared" si="1741"/>
        <v>CH</v>
      </c>
      <c r="D1552" t="s">
        <v>1538</v>
      </c>
      <c r="E1552" t="str">
        <f t="shared" si="1744"/>
        <v>PJ/yr.</v>
      </c>
      <c r="F1552" s="1">
        <f>SUM(F1557:F1558)</f>
        <v>1.0786977605868828</v>
      </c>
      <c r="G1552" s="1">
        <f t="shared" ref="G1552:K1552" si="1746">SUM(G1557:G1558)</f>
        <v>2.0223710070583176</v>
      </c>
      <c r="H1552" s="1">
        <f t="shared" si="1746"/>
        <v>1.3061885552723878</v>
      </c>
      <c r="I1552" s="1">
        <f t="shared" si="1746"/>
        <v>1.6314942211793626</v>
      </c>
      <c r="J1552" s="1">
        <f t="shared" si="1746"/>
        <v>0.97220446393727344</v>
      </c>
      <c r="K1552" s="1">
        <f t="shared" si="1746"/>
        <v>4.5857648297174941E-5</v>
      </c>
      <c r="L1552" s="1">
        <f t="shared" ref="L1552:O1552" si="1747">SUM(L1557:L1558)</f>
        <v>0</v>
      </c>
      <c r="M1552" s="1">
        <f t="shared" si="1747"/>
        <v>0</v>
      </c>
      <c r="N1552" s="1">
        <f t="shared" si="1747"/>
        <v>0</v>
      </c>
      <c r="O1552" s="1">
        <f t="shared" si="1747"/>
        <v>0</v>
      </c>
      <c r="P1552" s="1">
        <f>SUM(P1557:P1558)</f>
        <v>0</v>
      </c>
      <c r="Q1552" s="1">
        <f>SUM(Q1557:Q1558)</f>
        <v>0</v>
      </c>
      <c r="S1552" s="3"/>
    </row>
    <row r="1553" spans="2:19" x14ac:dyDescent="0.5">
      <c r="B1553" t="str">
        <f t="shared" si="1740"/>
        <v>SPS1</v>
      </c>
      <c r="C1553" t="str">
        <f t="shared" si="1741"/>
        <v>CH</v>
      </c>
      <c r="D1553" t="s">
        <v>1539</v>
      </c>
      <c r="E1553" t="str">
        <f t="shared" si="1744"/>
        <v>PJ/yr.</v>
      </c>
      <c r="F1553" s="1">
        <f>IF(F1552-F1554&lt;0,0,F1552-F1554)</f>
        <v>1.0196495653588078</v>
      </c>
      <c r="G1553" s="1">
        <f t="shared" ref="G1553:K1553" si="1748">IF(G1552-G1554&lt;0,0,G1552-G1554)</f>
        <v>1.9116660592543859</v>
      </c>
      <c r="H1553" s="1">
        <f t="shared" si="1748"/>
        <v>1.2346874950122619</v>
      </c>
      <c r="I1553" s="1">
        <f t="shared" si="1748"/>
        <v>1.5421656223422906</v>
      </c>
      <c r="J1553" s="1">
        <f t="shared" si="1748"/>
        <v>0.91623115867360905</v>
      </c>
      <c r="K1553" s="1">
        <f t="shared" si="1748"/>
        <v>4.265693299203114E-5</v>
      </c>
      <c r="L1553" s="1">
        <f t="shared" ref="L1553:O1553" si="1749">IF(L1552-L1554&lt;0,0,L1552-L1554)</f>
        <v>0</v>
      </c>
      <c r="M1553" s="1">
        <f t="shared" si="1749"/>
        <v>0</v>
      </c>
      <c r="N1553" s="1">
        <f t="shared" si="1749"/>
        <v>0</v>
      </c>
      <c r="O1553" s="1">
        <f t="shared" si="1749"/>
        <v>0</v>
      </c>
      <c r="P1553" s="1">
        <f>IF(P1552-P1554&lt;0,0,P1552-P1554)</f>
        <v>0</v>
      </c>
      <c r="Q1553" s="1">
        <f>IF(Q1552-Q1554&lt;0,0,Q1552-Q1554)</f>
        <v>0</v>
      </c>
      <c r="S1553" s="3"/>
    </row>
    <row r="1554" spans="2:19" x14ac:dyDescent="0.5">
      <c r="B1554" t="str">
        <f t="shared" si="1740"/>
        <v>SPS1</v>
      </c>
      <c r="C1554" t="str">
        <f t="shared" si="1741"/>
        <v>CH</v>
      </c>
      <c r="D1554" t="s">
        <v>1540</v>
      </c>
      <c r="E1554" t="str">
        <f t="shared" si="1744"/>
        <v>PJ/yr.</v>
      </c>
      <c r="F1554" s="1">
        <f>SUM(F1555:F1556)</f>
        <v>5.9048195228075091E-2</v>
      </c>
      <c r="G1554" s="1">
        <f t="shared" ref="G1554:K1554" si="1750">SUM(G1555:G1556)</f>
        <v>0.1107049478039316</v>
      </c>
      <c r="H1554" s="1">
        <f t="shared" si="1750"/>
        <v>7.1501060260125857E-2</v>
      </c>
      <c r="I1554" s="1">
        <f t="shared" si="1750"/>
        <v>8.9328598837072032E-2</v>
      </c>
      <c r="J1554" s="1">
        <f t="shared" si="1750"/>
        <v>5.5973305263664369E-2</v>
      </c>
      <c r="K1554" s="1">
        <f t="shared" si="1750"/>
        <v>3.2007153051438013E-6</v>
      </c>
      <c r="L1554" s="1">
        <f t="shared" ref="L1554:O1554" si="1751">SUM(L1555:L1556)</f>
        <v>0</v>
      </c>
      <c r="M1554" s="1">
        <f t="shared" si="1751"/>
        <v>0</v>
      </c>
      <c r="N1554" s="1">
        <f t="shared" si="1751"/>
        <v>0</v>
      </c>
      <c r="O1554" s="1">
        <f t="shared" si="1751"/>
        <v>0</v>
      </c>
      <c r="P1554" s="1">
        <f>SUM(P1555:P1556)</f>
        <v>0</v>
      </c>
      <c r="Q1554" s="1">
        <f>SUM(Q1555:Q1556)</f>
        <v>0</v>
      </c>
      <c r="S1554" s="3"/>
    </row>
    <row r="1555" spans="2:19" x14ac:dyDescent="0.5">
      <c r="B1555" t="str">
        <f t="shared" si="1740"/>
        <v>SPS1</v>
      </c>
      <c r="C1555" t="str">
        <f t="shared" si="1741"/>
        <v>CH</v>
      </c>
      <c r="D1555" t="s">
        <v>1541</v>
      </c>
      <c r="E1555" t="str">
        <f t="shared" si="1744"/>
        <v>PJ/yr.</v>
      </c>
      <c r="F1555" s="1">
        <f>[1]Transport!B$25/SUM([1]Transport!B$21,[1]Transport!B$25)*F1552*(F$35+F$600)/(F$35+F$600+F$39)</f>
        <v>5.9048195228075091E-2</v>
      </c>
      <c r="G1555" s="1">
        <f>[1]Transport!C$25/SUM([1]Transport!C$21,[1]Transport!C$25)*G1552*(G$35+G$600)/(G$35+G$600+G$39)</f>
        <v>0.1107049478039316</v>
      </c>
      <c r="H1555" s="1">
        <f>[1]Transport!D$25/SUM([1]Transport!D$21,[1]Transport!D$25)*H1552*(H$35+H$600)/(H$35+H$600+H$39)</f>
        <v>7.1501060260125857E-2</v>
      </c>
      <c r="I1555" s="1">
        <f>[1]Transport!E$25/SUM([1]Transport!E$21,[1]Transport!E$25)*I1552*(I$35+I$600)/(I$35+I$600+I$39)</f>
        <v>8.9328598837072032E-2</v>
      </c>
      <c r="J1555" s="1">
        <f>[1]Transport!F$25/SUM([1]Transport!F$21,[1]Transport!F$25)*J1552*(J$35+J$600)/(J$35+J$600+J$39)</f>
        <v>5.5973305263664369E-2</v>
      </c>
      <c r="K1555" s="1">
        <f>[1]Transport!G$25/SUM([1]Transport!G$21,[1]Transport!G$25)*K1552*(K$35+K$600)/(K$35+K$600+K$39)</f>
        <v>2.5109460189014144E-6</v>
      </c>
      <c r="L1555" s="1">
        <f>[1]Transport!H$25/SUM([1]Transport!H$21,[1]Transport!H$25)*L1552*(L$35+L$600)/(L$35+L$600+L$39)</f>
        <v>0</v>
      </c>
      <c r="M1555" s="1">
        <f>[1]Transport!I$25/SUM([1]Transport!I$21,[1]Transport!I$25)*M1552*(M$35+M$600)/(M$35+M$600+M$39)</f>
        <v>0</v>
      </c>
      <c r="N1555" s="1">
        <f>[1]Transport!J$25/SUM([1]Transport!J$21,[1]Transport!J$25)*N1552*(N$35+N$600)/(N$35+N$600+N$39)</f>
        <v>0</v>
      </c>
      <c r="O1555" s="1">
        <f>[1]Transport!K$25/SUM([1]Transport!K$21,[1]Transport!K$25)*O1552*(O$35+O$600)/(O$35+O$600+O$39)</f>
        <v>0</v>
      </c>
      <c r="P1555" s="1">
        <f>[1]Transport!L$25/SUM([1]Transport!L$21,[1]Transport!L$25)*P1552*(P$35+P$600)/(P$35+P$600+P$39)</f>
        <v>0</v>
      </c>
      <c r="Q1555" s="1">
        <f>[1]Transport!M$25/SUM([1]Transport!M$21,[1]Transport!M$25)*Q1552*(Q$35+Q$600)/(Q$35+Q$600+Q$39)</f>
        <v>0</v>
      </c>
      <c r="S1555" s="3"/>
    </row>
    <row r="1556" spans="2:19" x14ac:dyDescent="0.5">
      <c r="B1556" t="str">
        <f t="shared" si="1740"/>
        <v>SPS1</v>
      </c>
      <c r="C1556" t="str">
        <f t="shared" si="1741"/>
        <v>CH</v>
      </c>
      <c r="D1556" t="s">
        <v>1542</v>
      </c>
      <c r="E1556" t="str">
        <f t="shared" si="1744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(J$39+J$719)/([1]Transport!F$21+[1]Transport!F$25)*J1552</f>
        <v>0</v>
      </c>
      <c r="K1556" s="1">
        <f>(K$39+K$719)/([1]Transport!G$21+[1]Transport!G$25)*K1552</f>
        <v>6.8976928624238665E-7</v>
      </c>
      <c r="L1556" s="1">
        <f>(L$39+L$719)/([1]Transport!H$21+[1]Transport!H$25)*L1552</f>
        <v>0</v>
      </c>
      <c r="M1556" s="1">
        <f>(M$39+M$719)/([1]Transport!I$21+[1]Transport!I$25)*M1552</f>
        <v>0</v>
      </c>
      <c r="N1556" s="1">
        <f>(N$39+N$719)/([1]Transport!J$21+[1]Transport!J$25)*N1552</f>
        <v>0</v>
      </c>
      <c r="O1556" s="1">
        <f>(O$39+O$719)/([1]Transport!K$21+[1]Transport!K$25)*O1552</f>
        <v>0</v>
      </c>
      <c r="P1556" s="1">
        <f>(P$39+P$719)/([1]Transport!L$21+[1]Transport!L$25)*P1552</f>
        <v>0</v>
      </c>
      <c r="Q1556" s="1">
        <f>(Q$39+Q$719)/([1]Transport!M$21+[1]Transport!M$25)*Q1552</f>
        <v>0</v>
      </c>
      <c r="S1556" s="3"/>
    </row>
    <row r="1557" spans="2:19" x14ac:dyDescent="0.5">
      <c r="B1557" t="str">
        <f t="shared" si="1740"/>
        <v>SPS1</v>
      </c>
      <c r="C1557" t="str">
        <f t="shared" si="1741"/>
        <v>CH</v>
      </c>
      <c r="D1557" t="s">
        <v>1588</v>
      </c>
      <c r="E1557" t="str">
        <f t="shared" si="1744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0.72083208057396553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1.4454172901135676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0.54184922479744557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0.2708451665866074</v>
      </c>
      <c r="J1557" s="1" cm="1">
        <f t="array" ref="J1557">SUMPRODUCT(("TFLGV-ICEGSLExt"=[1]OUT_TransportEnergyCons!$A$3:$A$1000)*1,("Var_Fin"=[1]OUT_TransportEnergyCons!$B$3:$B$1000)*1,ISNUMBER(SEARCH("gsl",[1]OUT_TransportEnergyCons!$C$3:$C$1000))*1,[1]OUT_TransportEnergyCons!H$3:H$1000)</f>
        <v>0</v>
      </c>
      <c r="K1557" s="1" cm="1">
        <f t="array" ref="K1557">SUMPRODUCT(("TFLGV-ICEGSLExt"=[1]OUT_TransportEnergyCons!$A$3:$A$1000)*1,("Var_Fin"=[1]OUT_TransportEnergyCons!$B$3:$B$1000)*1,ISNUMBER(SEARCH("gsl",[1]OUT_TransportEnergyCons!$C$3:$C$1000))*1,[1]OUT_TransportEnergyCons!I$3:I$1000)</f>
        <v>0</v>
      </c>
      <c r="L1557" s="1" cm="1">
        <f t="array" ref="L1557">SUMPRODUCT(("TFLGV-ICEGSLExt"=[1]OUT_TransportEnergyCons!$A$3:$A$1000)*1,("Var_Fin"=[1]OUT_TransportEnergyCons!$B$3:$B$1000)*1,ISNUMBER(SEARCH("gsl",[1]OUT_TransportEnergyCons!$C$3:$C$1000))*1,[1]OUT_TransportEnergyCons!J$3:J$1000)</f>
        <v>0</v>
      </c>
      <c r="M1557" s="1" cm="1">
        <f t="array" ref="M1557">SUMPRODUCT(("TFLGV-ICEGSLExt"=[1]OUT_TransportEnergyCons!$A$3:$A$1000)*1,("Var_Fin"=[1]OUT_TransportEnergyCons!$B$3:$B$1000)*1,ISNUMBER(SEARCH("gsl",[1]OUT_TransportEnergyCons!$C$3:$C$1000))*1,[1]OUT_TransportEnergyCons!K$3:K$1000)</f>
        <v>0</v>
      </c>
      <c r="N1557" s="1" cm="1">
        <f t="array" ref="N1557">SUMPRODUCT(("TFLGV-ICEGSLExt"=[1]OUT_TransportEnergyCons!$A$3:$A$1000)*1,("Var_Fin"=[1]OUT_TransportEnergyCons!$B$3:$B$1000)*1,ISNUMBER(SEARCH("gsl",[1]OUT_TransportEnergyCons!$C$3:$C$1000))*1,[1]OUT_TransportEnergyCons!L$3:L$1000)</f>
        <v>0</v>
      </c>
      <c r="O1557" s="1" cm="1">
        <f t="array" ref="O1557">SUMPRODUCT(("TFLGV-ICEGSLExt"=[1]OUT_TransportEnergyCons!$A$3:$A$1000)*1,("Var_Fin"=[1]OUT_TransportEnergyCons!$B$3:$B$1000)*1,ISNUMBER(SEARCH("gsl",[1]OUT_TransportEnergyCons!$C$3:$C$1000))*1,[1]OUT_TransportEnergyCons!M$3:M$1000)</f>
        <v>0</v>
      </c>
      <c r="P1557" s="1" cm="1">
        <f t="array" ref="P1557">SUMPRODUCT(("TFLGV-ICEGSLExt"=[1]OUT_TransportEnergyCons!$A$3:$A$1000)*1,("Var_Fin"=[1]OUT_TransportEnergyCons!$B$3:$B$1000)*1,ISNUMBER(SEARCH("gsl",[1]OUT_TransportEnergyCons!$C$3:$C$1000))*1,[1]OUT_TransportEnergyCons!N$3:N$1000)</f>
        <v>0</v>
      </c>
      <c r="Q1557" s="1" cm="1">
        <f t="array" ref="Q1557">SUMPRODUCT(("TFLGV-ICEGSLExt"=[1]OUT_TransportEnergyCons!$A$3:$A$1000)*1,("Var_Fin"=[1]OUT_TransportEnergyCons!$B$3:$B$1000)*1,ISNUMBER(SEARCH("gsl",[1]OUT_TransportEnergyCons!$C$3:$C$1000))*1,[1]OUT_TransportEnergyCons!O$3:O$1000)</f>
        <v>0</v>
      </c>
      <c r="S1557" s="3"/>
    </row>
    <row r="1558" spans="2:19" x14ac:dyDescent="0.5">
      <c r="B1558" t="str">
        <f t="shared" si="1740"/>
        <v>SPS1</v>
      </c>
      <c r="C1558" t="str">
        <f t="shared" si="1741"/>
        <v>CH</v>
      </c>
      <c r="D1558" t="s">
        <v>1587</v>
      </c>
      <c r="E1558" t="str">
        <f t="shared" si="1744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0.35786568001291735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0.57695371694474995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0.76433933047494218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1.3606490545927552</v>
      </c>
      <c r="J1558" s="1" cm="1">
        <f t="array" ref="J1558">SUMPRODUCT(("TFLGV-ICEGSL"=[1]OUT_TransportEnergyCons!$A$3:$A$1000)*1,("Var_Fin"=[1]OUT_TransportEnergyCons!$B$3:$B$1000)*1,ISNUMBER(SEARCH("gsl",[1]OUT_TransportEnergyCons!$C$3:$C$1000))*1,[1]OUT_TransportEnergyCons!H$3:H$1000)</f>
        <v>0.97220446393727344</v>
      </c>
      <c r="K1558" s="1" cm="1">
        <f t="array" ref="K1558">SUMPRODUCT(("TFLGV-ICEGSL"=[1]OUT_TransportEnergyCons!$A$3:$A$1000)*1,("Var_Fin"=[1]OUT_TransportEnergyCons!$B$3:$B$1000)*1,ISNUMBER(SEARCH("gsl",[1]OUT_TransportEnergyCons!$C$3:$C$1000))*1,[1]OUT_TransportEnergyCons!I$3:I$1000)</f>
        <v>4.5857648297174941E-5</v>
      </c>
      <c r="L1558" s="1" cm="1">
        <f t="array" ref="L1558">SUMPRODUCT(("TFLGV-ICEGSL"=[1]OUT_TransportEnergyCons!$A$3:$A$1000)*1,("Var_Fin"=[1]OUT_TransportEnergyCons!$B$3:$B$1000)*1,ISNUMBER(SEARCH("gsl",[1]OUT_TransportEnergyCons!$C$3:$C$1000))*1,[1]OUT_TransportEnergyCons!J$3:J$1000)</f>
        <v>0</v>
      </c>
      <c r="M1558" s="1" cm="1">
        <f t="array" ref="M1558">SUMPRODUCT(("TFLGV-ICEGSL"=[1]OUT_TransportEnergyCons!$A$3:$A$1000)*1,("Var_Fin"=[1]OUT_TransportEnergyCons!$B$3:$B$1000)*1,ISNUMBER(SEARCH("gsl",[1]OUT_TransportEnergyCons!$C$3:$C$1000))*1,[1]OUT_TransportEnergyCons!K$3:K$1000)</f>
        <v>0</v>
      </c>
      <c r="N1558" s="1" cm="1">
        <f t="array" ref="N1558">SUMPRODUCT(("TFLGV-ICEGSL"=[1]OUT_TransportEnergyCons!$A$3:$A$1000)*1,("Var_Fin"=[1]OUT_TransportEnergyCons!$B$3:$B$1000)*1,ISNUMBER(SEARCH("gsl",[1]OUT_TransportEnergyCons!$C$3:$C$1000))*1,[1]OUT_TransportEnergyCons!L$3:L$1000)</f>
        <v>0</v>
      </c>
      <c r="O1558" s="1" cm="1">
        <f t="array" ref="O1558">SUMPRODUCT(("TFLGV-ICEGSL"=[1]OUT_TransportEnergyCons!$A$3:$A$1000)*1,("Var_Fin"=[1]OUT_TransportEnergyCons!$B$3:$B$1000)*1,ISNUMBER(SEARCH("gsl",[1]OUT_TransportEnergyCons!$C$3:$C$1000))*1,[1]OUT_TransportEnergyCons!M$3:M$1000)</f>
        <v>0</v>
      </c>
      <c r="P1558" s="1" cm="1">
        <f t="array" ref="P1558">SUMPRODUCT(("TFLGV-ICEGSL"=[1]OUT_TransportEnergyCons!$A$3:$A$1000)*1,("Var_Fin"=[1]OUT_TransportEnergyCons!$B$3:$B$1000)*1,ISNUMBER(SEARCH("gsl",[1]OUT_TransportEnergyCons!$C$3:$C$1000))*1,[1]OUT_TransportEnergyCons!N$3:N$1000)</f>
        <v>0</v>
      </c>
      <c r="Q1558" s="1" cm="1">
        <f t="array" ref="Q1558">SUMPRODUCT(("TFLGV-ICEGSL"=[1]OUT_TransportEnergyCons!$A$3:$A$1000)*1,("Var_Fin"=[1]OUT_TransportEnergyCons!$B$3:$B$1000)*1,ISNUMBER(SEARCH("gsl",[1]OUT_TransportEnergyCons!$C$3:$C$1000))*1,[1]OUT_TransportEnergyCons!O$3:O$1000)</f>
        <v>0</v>
      </c>
      <c r="S1558" s="3"/>
    </row>
    <row r="1559" spans="2:19" x14ac:dyDescent="0.5">
      <c r="B1559" t="str">
        <f t="shared" si="1740"/>
        <v>SPS1</v>
      </c>
      <c r="C1559" t="str">
        <f t="shared" si="1741"/>
        <v>CH</v>
      </c>
      <c r="D1559" t="s">
        <v>1546</v>
      </c>
      <c r="E1559" t="str">
        <f t="shared" si="1744"/>
        <v>PJ/yr.</v>
      </c>
      <c r="F1559" s="1">
        <f>SUM(F1564:F1566)</f>
        <v>15.529545516305321</v>
      </c>
      <c r="G1559" s="1">
        <f t="shared" ref="G1559:K1559" si="1752">SUM(G1564:G1566)</f>
        <v>13.454496601052194</v>
      </c>
      <c r="H1559" s="1">
        <f t="shared" si="1752"/>
        <v>12.519260681939647</v>
      </c>
      <c r="I1559" s="1">
        <f t="shared" si="1752"/>
        <v>8.0069453367109364</v>
      </c>
      <c r="J1559" s="1">
        <f t="shared" si="1752"/>
        <v>2.7743254309482674</v>
      </c>
      <c r="K1559" s="1">
        <f t="shared" si="1752"/>
        <v>8.7014509279824696E-5</v>
      </c>
      <c r="L1559" s="1">
        <f t="shared" ref="L1559:O1559" si="1753">SUM(L1564:L1566)</f>
        <v>0</v>
      </c>
      <c r="M1559" s="1">
        <f t="shared" si="1753"/>
        <v>0</v>
      </c>
      <c r="N1559" s="1">
        <f t="shared" si="1753"/>
        <v>0</v>
      </c>
      <c r="O1559" s="1">
        <f t="shared" si="1753"/>
        <v>0</v>
      </c>
      <c r="P1559" s="1">
        <f>SUM(P1564:P1566)</f>
        <v>0</v>
      </c>
      <c r="Q1559" s="1">
        <f>SUM(Q1564:Q1566)</f>
        <v>0</v>
      </c>
      <c r="S1559" s="3"/>
    </row>
    <row r="1560" spans="2:19" x14ac:dyDescent="0.5">
      <c r="B1560" t="str">
        <f t="shared" si="1740"/>
        <v>SPS1</v>
      </c>
      <c r="C1560" t="str">
        <f t="shared" si="1741"/>
        <v>CH</v>
      </c>
      <c r="D1560" t="s">
        <v>1547</v>
      </c>
      <c r="E1560" t="str">
        <f t="shared" si="1744"/>
        <v>PJ/yr.</v>
      </c>
      <c r="F1560" s="1">
        <f>IF(F1559-F1561&lt;0,0,F1559-F1561)</f>
        <v>15.14433613099192</v>
      </c>
      <c r="G1560" s="1">
        <f t="shared" ref="G1560:K1560" si="1754">IF(G1559-G1561&lt;0,0,G1559-G1561)</f>
        <v>13.101292016975968</v>
      </c>
      <c r="H1560" s="1">
        <f t="shared" si="1754"/>
        <v>11.95740994565743</v>
      </c>
      <c r="I1560" s="1">
        <f t="shared" si="1754"/>
        <v>7.6335473091294546</v>
      </c>
      <c r="J1560" s="1">
        <f t="shared" si="1754"/>
        <v>2.5634772933699299</v>
      </c>
      <c r="K1560" s="1">
        <f t="shared" si="1754"/>
        <v>7.7377570947654526E-5</v>
      </c>
      <c r="L1560" s="1">
        <f t="shared" ref="L1560:O1560" si="1755">IF(L1559-L1561&lt;0,0,L1559-L1561)</f>
        <v>0</v>
      </c>
      <c r="M1560" s="1">
        <f t="shared" si="1755"/>
        <v>0</v>
      </c>
      <c r="N1560" s="1">
        <f t="shared" si="1755"/>
        <v>0</v>
      </c>
      <c r="O1560" s="1">
        <f t="shared" si="1755"/>
        <v>0</v>
      </c>
      <c r="P1560" s="1">
        <f>IF(P1559-P1561&lt;0,0,P1559-P1561)</f>
        <v>0</v>
      </c>
      <c r="Q1560" s="1">
        <f>IF(Q1559-Q1561&lt;0,0,Q1559-Q1561)</f>
        <v>0</v>
      </c>
      <c r="S1560" s="3"/>
    </row>
    <row r="1561" spans="2:19" x14ac:dyDescent="0.5">
      <c r="B1561" t="str">
        <f t="shared" si="1740"/>
        <v>SPS1</v>
      </c>
      <c r="C1561" t="str">
        <f t="shared" si="1741"/>
        <v>CH</v>
      </c>
      <c r="D1561" t="s">
        <v>1548</v>
      </c>
      <c r="E1561" t="str">
        <f t="shared" si="1744"/>
        <v>PJ/yr.</v>
      </c>
      <c r="F1561" s="1">
        <f>SUM(F1562:F1563)</f>
        <v>0.38520938531340049</v>
      </c>
      <c r="G1561" s="1">
        <f t="shared" ref="G1561:K1561" si="1756">SUM(G1562:G1563)</f>
        <v>0.35320458407622507</v>
      </c>
      <c r="H1561" s="1">
        <f t="shared" si="1756"/>
        <v>0.56185073628221771</v>
      </c>
      <c r="I1561" s="1">
        <f t="shared" si="1756"/>
        <v>0.37339802758148172</v>
      </c>
      <c r="J1561" s="1">
        <f t="shared" si="1756"/>
        <v>0.21084813757833734</v>
      </c>
      <c r="K1561" s="1">
        <f t="shared" si="1756"/>
        <v>9.636938332170172E-6</v>
      </c>
      <c r="L1561" s="1">
        <f t="shared" ref="L1561:O1561" si="1757">SUM(L1562:L1563)</f>
        <v>0</v>
      </c>
      <c r="M1561" s="1">
        <f t="shared" si="1757"/>
        <v>0</v>
      </c>
      <c r="N1561" s="1">
        <f t="shared" si="1757"/>
        <v>0</v>
      </c>
      <c r="O1561" s="1">
        <f t="shared" si="1757"/>
        <v>0</v>
      </c>
      <c r="P1561" s="1">
        <f>SUM(P1562:P1563)</f>
        <v>0</v>
      </c>
      <c r="Q1561" s="1">
        <f>SUM(Q1562:Q1563)</f>
        <v>0</v>
      </c>
      <c r="S1561" s="3"/>
    </row>
    <row r="1562" spans="2:19" x14ac:dyDescent="0.5">
      <c r="B1562" t="str">
        <f t="shared" si="1740"/>
        <v>SPS1</v>
      </c>
      <c r="C1562" t="str">
        <f t="shared" si="1741"/>
        <v>CH</v>
      </c>
      <c r="D1562" t="s">
        <v>1549</v>
      </c>
      <c r="E1562" t="str">
        <f t="shared" si="1744"/>
        <v>PJ/yr.</v>
      </c>
      <c r="F1562" s="1">
        <f>[1]Transport!B$26/SUM([1]Transport!B$22,[1]Transport!B$26)*F1559*(F$34+F$582)/(F$34+F$582+F$38)</f>
        <v>0.38520938531340049</v>
      </c>
      <c r="G1562" s="1">
        <f>[1]Transport!C$26/SUM([1]Transport!C$22,[1]Transport!C$26)*G1559*(G$34+G$582)/(G$34+G$582+G$38)</f>
        <v>0.35320458407622507</v>
      </c>
      <c r="H1562" s="1">
        <f>[1]Transport!D$26/SUM([1]Transport!D$22,[1]Transport!D$26)*H1559*(H$34+H$582)/(H$34+H$582+H$38)</f>
        <v>0.56185073628221771</v>
      </c>
      <c r="I1562" s="1">
        <f>[1]Transport!E$26/SUM([1]Transport!E$22,[1]Transport!E$26)*I1559*(I$34+I$582)/(I$34+I$582+I$38)</f>
        <v>0.37339802758148172</v>
      </c>
      <c r="J1562" s="1">
        <f>[1]Transport!F$26/SUM([1]Transport!F$22,[1]Transport!F$26)*J1559*(J$34+J$582)/(J$34+J$582+J$38)</f>
        <v>0.21084813757833734</v>
      </c>
      <c r="K1562" s="1">
        <f>[1]Transport!G$26/SUM([1]Transport!G$22,[1]Transport!G$26)*K1559*(K$34+K$582)/(K$34+K$582+K$38)</f>
        <v>9.6326730708852681E-6</v>
      </c>
      <c r="L1562" s="1">
        <f>[1]Transport!H$26/SUM([1]Transport!H$22,[1]Transport!H$26)*L1559*(L$34+L$582)/(L$34+L$582+L$38)</f>
        <v>0</v>
      </c>
      <c r="M1562" s="1">
        <f>[1]Transport!I$26/SUM([1]Transport!I$22,[1]Transport!I$26)*M1559*(M$34+M$582)/(M$34+M$582+M$38)</f>
        <v>0</v>
      </c>
      <c r="N1562" s="1">
        <f>[1]Transport!J$26/SUM([1]Transport!J$22,[1]Transport!J$26)*N1559*(N$34+N$582)/(N$34+N$582+N$38)</f>
        <v>0</v>
      </c>
      <c r="O1562" s="1">
        <f>[1]Transport!K$26/SUM([1]Transport!K$22,[1]Transport!K$26)*O1559*(O$34+O$582)/(O$34+O$582+O$38)</f>
        <v>0</v>
      </c>
      <c r="P1562" s="1">
        <f>[1]Transport!L$26/SUM([1]Transport!L$22,[1]Transport!L$26)*P1559*(P$34+P$582)/(P$34+P$582+P$38)</f>
        <v>0</v>
      </c>
      <c r="Q1562" s="1">
        <f>[1]Transport!M$26/SUM([1]Transport!M$22,[1]Transport!M$26)*Q1559*(Q$34+Q$582)/(Q$34+Q$582+Q$38)</f>
        <v>0</v>
      </c>
      <c r="S1562" s="3"/>
    </row>
    <row r="1563" spans="2:19" x14ac:dyDescent="0.5">
      <c r="B1563" t="str">
        <f t="shared" si="1740"/>
        <v>SPS1</v>
      </c>
      <c r="C1563" t="str">
        <f t="shared" si="1741"/>
        <v>CH</v>
      </c>
      <c r="D1563" t="s">
        <v>1550</v>
      </c>
      <c r="E1563" t="str">
        <f t="shared" si="1744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(J$38+J$718)/([1]Transport!F$22+[1]Transport!F$26)*J1559</f>
        <v>0</v>
      </c>
      <c r="K1563" s="1">
        <f>(K$38+K$718)/([1]Transport!G$22+[1]Transport!G$26)*K1559</f>
        <v>4.2652612849043676E-9</v>
      </c>
      <c r="L1563" s="1">
        <f>(L$38+L$718)/([1]Transport!H$22+[1]Transport!H$26)*L1559</f>
        <v>0</v>
      </c>
      <c r="M1563" s="1">
        <f>(M$38+M$718)/([1]Transport!I$22+[1]Transport!I$26)*M1559</f>
        <v>0</v>
      </c>
      <c r="N1563" s="1">
        <f>(N$38+N$718)/([1]Transport!J$22+[1]Transport!J$26)*N1559</f>
        <v>0</v>
      </c>
      <c r="O1563" s="1">
        <f>(O$38+O$718)/([1]Transport!K$22+[1]Transport!K$26)*O1559</f>
        <v>0</v>
      </c>
      <c r="P1563" s="1">
        <f>(P$38+P$718)/([1]Transport!L$22+[1]Transport!L$26)*P1559</f>
        <v>0</v>
      </c>
      <c r="Q1563" s="1">
        <f>(Q$38+Q$718)/([1]Transport!M$22+[1]Transport!M$26)*Q1559</f>
        <v>0</v>
      </c>
      <c r="S1563" s="3"/>
    </row>
    <row r="1564" spans="2:19" x14ac:dyDescent="0.5">
      <c r="B1564" t="str">
        <f t="shared" si="1740"/>
        <v>SPS1</v>
      </c>
      <c r="C1564" t="str">
        <f t="shared" si="1741"/>
        <v>CH</v>
      </c>
      <c r="D1564" t="s">
        <v>1551</v>
      </c>
      <c r="E1564" t="str">
        <f t="shared" si="1744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11.079455909741098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7.7737660136601736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5.4508399049229874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2.7252981845461806</v>
      </c>
      <c r="J1564" s="1" cm="1">
        <f t="array" ref="J1564">SUMPRODUCT(("TFLGV-ICEdslExt"=[1]OUT_TransportEnergyCons!$A$3:$A$1000)*1,("Var_Fin"=[1]OUT_TransportEnergyCons!$B$3:$B$1000)*1,ISNUMBER(SEARCH("dsl",[1]OUT_TransportEnergyCons!$C$3:$C$1000))*1,[1]OUT_TransportEnergyCons!H$3:H$1000)</f>
        <v>0</v>
      </c>
      <c r="K1564" s="1" cm="1">
        <f t="array" ref="K1564">SUMPRODUCT(("TFLGV-ICEdslExt"=[1]OUT_TransportEnergyCons!$A$3:$A$1000)*1,("Var_Fin"=[1]OUT_TransportEnergyCons!$B$3:$B$1000)*1,ISNUMBER(SEARCH("dsl",[1]OUT_TransportEnergyCons!$C$3:$C$1000))*1,[1]OUT_TransportEnergyCons!I$3:I$1000)</f>
        <v>0</v>
      </c>
      <c r="L1564" s="1" cm="1">
        <f t="array" ref="L1564">SUMPRODUCT(("TFLGV-ICEdslExt"=[1]OUT_TransportEnergyCons!$A$3:$A$1000)*1,("Var_Fin"=[1]OUT_TransportEnergyCons!$B$3:$B$1000)*1,ISNUMBER(SEARCH("dsl",[1]OUT_TransportEnergyCons!$C$3:$C$1000))*1,[1]OUT_TransportEnergyCons!J$3:J$1000)</f>
        <v>0</v>
      </c>
      <c r="M1564" s="1" cm="1">
        <f t="array" ref="M1564">SUMPRODUCT(("TFLGV-ICEdslExt"=[1]OUT_TransportEnergyCons!$A$3:$A$1000)*1,("Var_Fin"=[1]OUT_TransportEnergyCons!$B$3:$B$1000)*1,ISNUMBER(SEARCH("dsl",[1]OUT_TransportEnergyCons!$C$3:$C$1000))*1,[1]OUT_TransportEnergyCons!K$3:K$1000)</f>
        <v>0</v>
      </c>
      <c r="N1564" s="1" cm="1">
        <f t="array" ref="N1564">SUMPRODUCT(("TFLGV-ICEdslExt"=[1]OUT_TransportEnergyCons!$A$3:$A$1000)*1,("Var_Fin"=[1]OUT_TransportEnergyCons!$B$3:$B$1000)*1,ISNUMBER(SEARCH("dsl",[1]OUT_TransportEnergyCons!$C$3:$C$1000))*1,[1]OUT_TransportEnergyCons!L$3:L$1000)</f>
        <v>0</v>
      </c>
      <c r="O1564" s="1" cm="1">
        <f t="array" ref="O1564">SUMPRODUCT(("TFLGV-ICEdslExt"=[1]OUT_TransportEnergyCons!$A$3:$A$1000)*1,("Var_Fin"=[1]OUT_TransportEnergyCons!$B$3:$B$1000)*1,ISNUMBER(SEARCH("dsl",[1]OUT_TransportEnergyCons!$C$3:$C$1000))*1,[1]OUT_TransportEnergyCons!M$3:M$1000)</f>
        <v>0</v>
      </c>
      <c r="P1564" s="1" cm="1">
        <f t="array" ref="P1564">SUMPRODUCT(("TFLGV-ICEdslExt"=[1]OUT_TransportEnergyCons!$A$3:$A$1000)*1,("Var_Fin"=[1]OUT_TransportEnergyCons!$B$3:$B$1000)*1,ISNUMBER(SEARCH("dsl",[1]OUT_TransportEnergyCons!$C$3:$C$1000))*1,[1]OUT_TransportEnergyCons!N$3:N$1000)</f>
        <v>0</v>
      </c>
      <c r="Q1564" s="1" cm="1">
        <f t="array" ref="Q1564">SUMPRODUCT(("TFLGV-ICEdslExt"=[1]OUT_TransportEnergyCons!$A$3:$A$1000)*1,("Var_Fin"=[1]OUT_TransportEnergyCons!$B$3:$B$1000)*1,ISNUMBER(SEARCH("dsl",[1]OUT_TransportEnergyCons!$C$3:$C$1000))*1,[1]OUT_TransportEnergyCons!O$3:O$1000)</f>
        <v>0</v>
      </c>
      <c r="S1564" s="3"/>
    </row>
    <row r="1565" spans="2:19" x14ac:dyDescent="0.5">
      <c r="B1565" t="str">
        <f t="shared" si="1740"/>
        <v>SPS1</v>
      </c>
      <c r="C1565" t="str">
        <f t="shared" si="1741"/>
        <v>CH</v>
      </c>
      <c r="D1565" t="s">
        <v>1552</v>
      </c>
      <c r="E1565" t="str">
        <f t="shared" si="1744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4.450089606564223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5.2485068090150406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5.1026858592607631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2.0816805248362851</v>
      </c>
      <c r="J1565" s="1" cm="1">
        <f t="array" ref="J1565">SUMPRODUCT(("TFLGV-ICEdsl"=[1]OUT_TransportEnergyCons!$A$3:$A$1000)*1,("Var_Fin"=[1]OUT_TransportEnergyCons!$B$3:$B$1000)*1,ISNUMBER(SEARCH("dsl",[1]OUT_TransportEnergyCons!$C$3:$C$1000))*1,[1]OUT_TransportEnergyCons!H$3:H$1000)</f>
        <v>1.0247646494265942E-3</v>
      </c>
      <c r="K1565" s="1" cm="1">
        <f t="array" ref="K1565">SUMPRODUCT(("TFLGV-ICEdsl"=[1]OUT_TransportEnergyCons!$A$3:$A$1000)*1,("Var_Fin"=[1]OUT_TransportEnergyCons!$B$3:$B$1000)*1,ISNUMBER(SEARCH("dsl",[1]OUT_TransportEnergyCons!$C$3:$C$1000))*1,[1]OUT_TransportEnergyCons!I$3:I$1000)</f>
        <v>4.7288192703156721E-5</v>
      </c>
      <c r="L1565" s="1" cm="1">
        <f t="array" ref="L1565">SUMPRODUCT(("TFLGV-ICEdsl"=[1]OUT_TransportEnergyCons!$A$3:$A$1000)*1,("Var_Fin"=[1]OUT_TransportEnergyCons!$B$3:$B$1000)*1,ISNUMBER(SEARCH("dsl",[1]OUT_TransportEnergyCons!$C$3:$C$1000))*1,[1]OUT_TransportEnergyCons!J$3:J$1000)</f>
        <v>0</v>
      </c>
      <c r="M1565" s="1" cm="1">
        <f t="array" ref="M1565">SUMPRODUCT(("TFLGV-ICEdsl"=[1]OUT_TransportEnergyCons!$A$3:$A$1000)*1,("Var_Fin"=[1]OUT_TransportEnergyCons!$B$3:$B$1000)*1,ISNUMBER(SEARCH("dsl",[1]OUT_TransportEnergyCons!$C$3:$C$1000))*1,[1]OUT_TransportEnergyCons!K$3:K$1000)</f>
        <v>0</v>
      </c>
      <c r="N1565" s="1" cm="1">
        <f t="array" ref="N1565">SUMPRODUCT(("TFLGV-ICEdsl"=[1]OUT_TransportEnergyCons!$A$3:$A$1000)*1,("Var_Fin"=[1]OUT_TransportEnergyCons!$B$3:$B$1000)*1,ISNUMBER(SEARCH("dsl",[1]OUT_TransportEnergyCons!$C$3:$C$1000))*1,[1]OUT_TransportEnergyCons!L$3:L$1000)</f>
        <v>0</v>
      </c>
      <c r="O1565" s="1" cm="1">
        <f t="array" ref="O1565">SUMPRODUCT(("TFLGV-ICEdsl"=[1]OUT_TransportEnergyCons!$A$3:$A$1000)*1,("Var_Fin"=[1]OUT_TransportEnergyCons!$B$3:$B$1000)*1,ISNUMBER(SEARCH("dsl",[1]OUT_TransportEnergyCons!$C$3:$C$1000))*1,[1]OUT_TransportEnergyCons!M$3:M$1000)</f>
        <v>0</v>
      </c>
      <c r="P1565" s="1" cm="1">
        <f t="array" ref="P1565">SUMPRODUCT(("TFLGV-ICEdsl"=[1]OUT_TransportEnergyCons!$A$3:$A$1000)*1,("Var_Fin"=[1]OUT_TransportEnergyCons!$B$3:$B$1000)*1,ISNUMBER(SEARCH("dsl",[1]OUT_TransportEnergyCons!$C$3:$C$1000))*1,[1]OUT_TransportEnergyCons!N$3:N$1000)</f>
        <v>0</v>
      </c>
      <c r="Q1565" s="1" cm="1">
        <f t="array" ref="Q1565">SUMPRODUCT(("TFLGV-ICEdsl"=[1]OUT_TransportEnergyCons!$A$3:$A$1000)*1,("Var_Fin"=[1]OUT_TransportEnergyCons!$B$3:$B$1000)*1,ISNUMBER(SEARCH("dsl",[1]OUT_TransportEnergyCons!$C$3:$C$1000))*1,[1]OUT_TransportEnergyCons!O$3:O$1000)</f>
        <v>0</v>
      </c>
      <c r="S1565" s="3"/>
    </row>
    <row r="1566" spans="2:19" x14ac:dyDescent="0.5">
      <c r="B1566" t="str">
        <f t="shared" si="1740"/>
        <v>SPS1</v>
      </c>
      <c r="C1566" t="str">
        <f t="shared" si="1741"/>
        <v>CH</v>
      </c>
      <c r="D1566" t="s">
        <v>1553</v>
      </c>
      <c r="E1566" t="str">
        <f t="shared" si="1744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0.4322237783769794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1.9657349177558978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3.1999666273284708</v>
      </c>
      <c r="J1566" s="1" cm="1">
        <f t="array" ref="J1566">SUMPRODUCT(("TFLGV-HYBDSL"=[1]OUT_TransportEnergyCons!$A$3:$A$1000)*1,("Var_Fin"=[1]OUT_TransportEnergyCons!$B$3:$B$1000)*1,ISNUMBER(SEARCH("dsl",[1]OUT_TransportEnergyCons!$C$3:$C$1000))*1,[1]OUT_TransportEnergyCons!H$3:H$1000)</f>
        <v>2.7733006662988409</v>
      </c>
      <c r="K1566" s="1" cm="1">
        <f t="array" ref="K1566">SUMPRODUCT(("TFLGV-HYBDSL"=[1]OUT_TransportEnergyCons!$A$3:$A$1000)*1,("Var_Fin"=[1]OUT_TransportEnergyCons!$B$3:$B$1000)*1,ISNUMBER(SEARCH("dsl",[1]OUT_TransportEnergyCons!$C$3:$C$1000))*1,[1]OUT_TransportEnergyCons!I$3:I$1000)</f>
        <v>3.9726316576667969E-5</v>
      </c>
      <c r="L1566" s="1" cm="1">
        <f t="array" ref="L1566">SUMPRODUCT(("TFLGV-HYBDSL"=[1]OUT_TransportEnergyCons!$A$3:$A$1000)*1,("Var_Fin"=[1]OUT_TransportEnergyCons!$B$3:$B$1000)*1,ISNUMBER(SEARCH("dsl",[1]OUT_TransportEnergyCons!$C$3:$C$1000))*1,[1]OUT_TransportEnergyCons!J$3:J$1000)</f>
        <v>0</v>
      </c>
      <c r="M1566" s="1" cm="1">
        <f t="array" ref="M1566">SUMPRODUCT(("TFLGV-HYBDSL"=[1]OUT_TransportEnergyCons!$A$3:$A$1000)*1,("Var_Fin"=[1]OUT_TransportEnergyCons!$B$3:$B$1000)*1,ISNUMBER(SEARCH("dsl",[1]OUT_TransportEnergyCons!$C$3:$C$1000))*1,[1]OUT_TransportEnergyCons!K$3:K$1000)</f>
        <v>0</v>
      </c>
      <c r="N1566" s="1" cm="1">
        <f t="array" ref="N1566">SUMPRODUCT(("TFLGV-HYBDSL"=[1]OUT_TransportEnergyCons!$A$3:$A$1000)*1,("Var_Fin"=[1]OUT_TransportEnergyCons!$B$3:$B$1000)*1,ISNUMBER(SEARCH("dsl",[1]OUT_TransportEnergyCons!$C$3:$C$1000))*1,[1]OUT_TransportEnergyCons!L$3:L$1000)</f>
        <v>0</v>
      </c>
      <c r="O1566" s="1" cm="1">
        <f t="array" ref="O1566">SUMPRODUCT(("TFLGV-HYBDSL"=[1]OUT_TransportEnergyCons!$A$3:$A$1000)*1,("Var_Fin"=[1]OUT_TransportEnergyCons!$B$3:$B$1000)*1,ISNUMBER(SEARCH("dsl",[1]OUT_TransportEnergyCons!$C$3:$C$1000))*1,[1]OUT_TransportEnergyCons!M$3:M$1000)</f>
        <v>0</v>
      </c>
      <c r="P1566" s="1" cm="1">
        <f t="array" ref="P1566">SUMPRODUCT(("TFLGV-HYBDSL"=[1]OUT_TransportEnergyCons!$A$3:$A$1000)*1,("Var_Fin"=[1]OUT_TransportEnergyCons!$B$3:$B$1000)*1,ISNUMBER(SEARCH("dsl",[1]OUT_TransportEnergyCons!$C$3:$C$1000))*1,[1]OUT_TransportEnergyCons!N$3:N$1000)</f>
        <v>0</v>
      </c>
      <c r="Q1566" s="1" cm="1">
        <f t="array" ref="Q1566">SUMPRODUCT(("TFLGV-HYBDSL"=[1]OUT_TransportEnergyCons!$A$3:$A$1000)*1,("Var_Fin"=[1]OUT_TransportEnergyCons!$B$3:$B$1000)*1,ISNUMBER(SEARCH("dsl",[1]OUT_TransportEnergyCons!$C$3:$C$1000))*1,[1]OUT_TransportEnergyCons!O$3:O$1000)</f>
        <v>0</v>
      </c>
      <c r="S1566" s="3"/>
    </row>
    <row r="1567" spans="2:19" x14ac:dyDescent="0.5">
      <c r="B1567" t="str">
        <f t="shared" si="1740"/>
        <v>SPS1</v>
      </c>
      <c r="C1567" t="str">
        <f t="shared" si="1741"/>
        <v>CH</v>
      </c>
      <c r="D1567" t="s">
        <v>1554</v>
      </c>
      <c r="E1567" t="str">
        <f t="shared" si="1744"/>
        <v>PJ/yr.</v>
      </c>
      <c r="F1567" s="1">
        <f>F1572</f>
        <v>2.5727628205201549E-2</v>
      </c>
      <c r="G1567" s="1">
        <f t="shared" ref="G1567:K1567" si="1758">G1572</f>
        <v>2.2282011796128081E-2</v>
      </c>
      <c r="H1567" s="1">
        <f t="shared" si="1758"/>
        <v>3.1544007614755419E-2</v>
      </c>
      <c r="I1567" s="1">
        <f t="shared" si="1758"/>
        <v>0</v>
      </c>
      <c r="J1567" s="1">
        <f t="shared" si="1758"/>
        <v>0</v>
      </c>
      <c r="K1567" s="1">
        <f t="shared" si="1758"/>
        <v>0</v>
      </c>
      <c r="L1567" s="1">
        <f t="shared" ref="L1567:O1567" si="1759">L1572</f>
        <v>0</v>
      </c>
      <c r="M1567" s="1">
        <f t="shared" si="1759"/>
        <v>0</v>
      </c>
      <c r="N1567" s="1">
        <f t="shared" si="1759"/>
        <v>0</v>
      </c>
      <c r="O1567" s="1">
        <f t="shared" si="1759"/>
        <v>0</v>
      </c>
      <c r="P1567" s="1">
        <f>P1572</f>
        <v>0</v>
      </c>
      <c r="Q1567" s="1">
        <f>Q1572</f>
        <v>0</v>
      </c>
      <c r="S1567" s="3"/>
    </row>
    <row r="1568" spans="2:19" x14ac:dyDescent="0.5">
      <c r="B1568" t="str">
        <f t="shared" si="1740"/>
        <v>SPS1</v>
      </c>
      <c r="C1568" t="str">
        <f t="shared" si="1741"/>
        <v>CH</v>
      </c>
      <c r="D1568" t="s">
        <v>1555</v>
      </c>
      <c r="E1568" t="str">
        <f t="shared" si="1744"/>
        <v>PJ/yr.</v>
      </c>
      <c r="F1568" s="1">
        <f>IF(F1567-F1569&lt;0,0,F1567-F1569)</f>
        <v>2.3771695777665667E-2</v>
      </c>
      <c r="G1568" s="1">
        <f t="shared" ref="G1568:K1568" si="1760">IF(G1567-G1569&lt;0,0,G1567-G1569)</f>
        <v>1.9510294079503228E-2</v>
      </c>
      <c r="H1568" s="1">
        <f t="shared" si="1760"/>
        <v>3.1332400151582562E-2</v>
      </c>
      <c r="I1568" s="1">
        <f t="shared" si="1760"/>
        <v>0</v>
      </c>
      <c r="J1568" s="1">
        <f t="shared" si="1760"/>
        <v>0</v>
      </c>
      <c r="K1568" s="1">
        <f t="shared" si="1760"/>
        <v>0</v>
      </c>
      <c r="L1568" s="1">
        <f t="shared" ref="L1568:O1568" si="1761">IF(L1567-L1569&lt;0,0,L1567-L1569)</f>
        <v>0</v>
      </c>
      <c r="M1568" s="1">
        <f t="shared" si="1761"/>
        <v>0</v>
      </c>
      <c r="N1568" s="1">
        <f t="shared" si="1761"/>
        <v>0</v>
      </c>
      <c r="O1568" s="1">
        <f t="shared" si="1761"/>
        <v>0</v>
      </c>
      <c r="P1568" s="1">
        <f>IF(P1567-P1569&lt;0,0,P1567-P1569)</f>
        <v>0</v>
      </c>
      <c r="Q1568" s="1">
        <f>IF(Q1567-Q1569&lt;0,0,Q1567-Q1569)</f>
        <v>0</v>
      </c>
      <c r="S1568" s="3"/>
    </row>
    <row r="1569" spans="2:19" x14ac:dyDescent="0.5">
      <c r="B1569" t="str">
        <f t="shared" si="1740"/>
        <v>SPS1</v>
      </c>
      <c r="C1569" t="str">
        <f t="shared" si="1741"/>
        <v>CH</v>
      </c>
      <c r="D1569" t="s">
        <v>1556</v>
      </c>
      <c r="E1569" t="str">
        <f t="shared" si="1744"/>
        <v>PJ/yr.</v>
      </c>
      <c r="F1569" s="1">
        <f>SUM(F1570:F1571)</f>
        <v>1.9559324275358826E-3</v>
      </c>
      <c r="G1569" s="1">
        <f t="shared" ref="G1569:K1569" si="1762">SUM(G1570:G1571)</f>
        <v>2.7717177166248531E-3</v>
      </c>
      <c r="H1569" s="1">
        <f t="shared" si="1762"/>
        <v>2.1160746317286011E-4</v>
      </c>
      <c r="I1569" s="1">
        <f t="shared" si="1762"/>
        <v>0</v>
      </c>
      <c r="J1569" s="1">
        <f t="shared" si="1762"/>
        <v>0</v>
      </c>
      <c r="K1569" s="1">
        <f t="shared" si="1762"/>
        <v>0</v>
      </c>
      <c r="L1569" s="1">
        <f t="shared" ref="L1569:O1569" si="1763">SUM(L1570:L1571)</f>
        <v>0</v>
      </c>
      <c r="M1569" s="1">
        <f t="shared" si="1763"/>
        <v>0</v>
      </c>
      <c r="N1569" s="1">
        <f t="shared" si="1763"/>
        <v>0</v>
      </c>
      <c r="O1569" s="1">
        <f t="shared" si="1763"/>
        <v>0</v>
      </c>
      <c r="P1569" s="1">
        <f>SUM(P1570:P1571)</f>
        <v>0</v>
      </c>
      <c r="Q1569" s="1">
        <f>SUM(Q1570:Q1571)</f>
        <v>0</v>
      </c>
      <c r="S1569" s="3"/>
    </row>
    <row r="1570" spans="2:19" x14ac:dyDescent="0.5">
      <c r="B1570" t="str">
        <f t="shared" si="1740"/>
        <v>SPS1</v>
      </c>
      <c r="C1570" t="str">
        <f t="shared" si="1741"/>
        <v>CH</v>
      </c>
      <c r="D1570" t="s">
        <v>1557</v>
      </c>
      <c r="E1570" t="str">
        <f t="shared" si="1744"/>
        <v>PJ/yr.</v>
      </c>
      <c r="F1570" s="1">
        <f>IF(SUM([1]Transport!B$24,[1]Transport!B$27)=0,0,[1]Transport!B$27/SUM([1]Transport!B$24,[1]Transport!B$27)*F1567*(F$47+F$614)/(F$47+F$614+F$49))</f>
        <v>1.9559324275358826E-3</v>
      </c>
      <c r="G1570" s="1">
        <f>IF(SUM([1]Transport!C$24,[1]Transport!C$27)=0,0,[1]Transport!C$27/SUM([1]Transport!C$24,[1]Transport!C$27)*G1567*(G$47+G$614)/(G$47+G$614+G$49))</f>
        <v>2.7717177166248531E-3</v>
      </c>
      <c r="H1570" s="1">
        <f>IF(SUM([1]Transport!D$24,[1]Transport!D$27)=0,0,[1]Transport!D$27/SUM([1]Transport!D$24,[1]Transport!D$27)*H1567*(H$47+H$614)/(H$47+H$614+H$49))</f>
        <v>2.1160746317286011E-4</v>
      </c>
      <c r="I1570" s="1">
        <f>IF(SUM([1]Transport!E$24,[1]Transport!E$27)=0,0,[1]Transport!E$27/SUM([1]Transport!E$24,[1]Transport!E$27)*I1567*(I$47+I$614)/(I$47+I$614+I$49))</f>
        <v>0</v>
      </c>
      <c r="J1570" s="1">
        <f>IF(SUM([1]Transport!F$24,[1]Transport!F$27)=0,0,[1]Transport!F$27/SUM([1]Transport!F$24,[1]Transport!F$27)*J1567*(J$47+J$614)/(J$47+J$614+J$49))</f>
        <v>0</v>
      </c>
      <c r="K1570" s="1">
        <f>IF(SUM([1]Transport!G$24,[1]Transport!G$27)=0,0,[1]Transport!G$27/SUM([1]Transport!G$24,[1]Transport!G$27)*K1567*(K$47+K$614)/(K$47+K$614+K$49))</f>
        <v>0</v>
      </c>
      <c r="L1570" s="1">
        <f>IF(SUM([1]Transport!H$24,[1]Transport!H$27)=0,0,[1]Transport!H$27/SUM([1]Transport!H$24,[1]Transport!H$27)*L1567*(L$47+L$614)/(L$47+L$614+L$49))</f>
        <v>0</v>
      </c>
      <c r="M1570" s="1">
        <f>IF(SUM([1]Transport!I$24,[1]Transport!I$27)=0,0,[1]Transport!I$27/SUM([1]Transport!I$24,[1]Transport!I$27)*M1567*(M$47+M$614)/(M$47+M$614+M$49))</f>
        <v>0</v>
      </c>
      <c r="N1570" s="1">
        <f>IF(SUM([1]Transport!J$24,[1]Transport!J$27)=0,0,[1]Transport!J$27/SUM([1]Transport!J$24,[1]Transport!J$27)*N1567*(N$47+N$614)/(N$47+N$614+N$49))</f>
        <v>0</v>
      </c>
      <c r="O1570" s="1">
        <f>IF(SUM([1]Transport!K$24,[1]Transport!K$27)=0,0,[1]Transport!K$27/SUM([1]Transport!K$24,[1]Transport!K$27)*O1567*(O$47+O$614)/(O$47+O$614+O$49))</f>
        <v>0</v>
      </c>
      <c r="P1570" s="1">
        <f>IF(SUM([1]Transport!L$24,[1]Transport!L$27)=0,0,[1]Transport!L$27/SUM([1]Transport!L$24,[1]Transport!L$27)*P1567*(P$47+P$614)/(P$47+P$614+P$49))</f>
        <v>0</v>
      </c>
      <c r="Q1570" s="1">
        <f>IF(SUM([1]Transport!M$24,[1]Transport!M$27)=0,0,[1]Transport!M$27/SUM([1]Transport!M$24,[1]Transport!M$27)*Q1567*(Q$47+Q$614)/(Q$47+Q$614+Q$49))</f>
        <v>0</v>
      </c>
      <c r="S1570" s="3"/>
    </row>
    <row r="1571" spans="2:19" x14ac:dyDescent="0.5">
      <c r="B1571" t="str">
        <f t="shared" si="1740"/>
        <v>SPS1</v>
      </c>
      <c r="C1571" t="str">
        <f t="shared" si="1741"/>
        <v>CH</v>
      </c>
      <c r="D1571" t="s">
        <v>1558</v>
      </c>
      <c r="E1571" t="str">
        <f t="shared" si="1744"/>
        <v>PJ/yr.</v>
      </c>
      <c r="F1571" s="1">
        <f>IF(([1]Transport!B$24+[1]Transport!B$27)=0,0,(F$49+F$716)/([1]Transport!B$24+[1]Transport!B$27)*F1567)</f>
        <v>0</v>
      </c>
      <c r="G1571" s="1">
        <f>IF(([1]Transport!C$24+[1]Transport!C$27)=0,0,(G$49+G$716)/([1]Transport!C$24+[1]Transport!C$27)*G1567)</f>
        <v>0</v>
      </c>
      <c r="H1571" s="1">
        <f>IF(([1]Transport!D$24+[1]Transport!D$27)=0,0,(H$49+H$716)/([1]Transport!D$24+[1]Transport!D$27)*H1567)</f>
        <v>0</v>
      </c>
      <c r="I1571" s="1">
        <f>IF(([1]Transport!E$24+[1]Transport!E$27)=0,0,(I$49+I$716)/([1]Transport!E$24+[1]Transport!E$27)*I1567)</f>
        <v>0</v>
      </c>
      <c r="J1571" s="1">
        <f>IF(([1]Transport!F$24+[1]Transport!F$27)=0,0,(J$49+J$716)/([1]Transport!F$24+[1]Transport!F$27)*J1567)</f>
        <v>0</v>
      </c>
      <c r="K1571" s="1">
        <f>IF(([1]Transport!G$24+[1]Transport!G$27)=0,0,(K$49+K$716)/([1]Transport!G$24+[1]Transport!G$27)*K1567)</f>
        <v>0</v>
      </c>
      <c r="L1571" s="1">
        <f>IF(([1]Transport!H$24+[1]Transport!H$27)=0,0,(L$49+L$716)/([1]Transport!H$24+[1]Transport!H$27)*L1567)</f>
        <v>0</v>
      </c>
      <c r="M1571" s="1">
        <f>IF(([1]Transport!I$24+[1]Transport!I$27)=0,0,(M$49+M$716)/([1]Transport!I$24+[1]Transport!I$27)*M1567)</f>
        <v>0</v>
      </c>
      <c r="N1571" s="1">
        <f>IF(([1]Transport!J$24+[1]Transport!J$27)=0,0,(N$49+N$716)/([1]Transport!J$24+[1]Transport!J$27)*N1567)</f>
        <v>0</v>
      </c>
      <c r="O1571" s="1">
        <f>IF(([1]Transport!K$24+[1]Transport!K$27)=0,0,(O$49+O$716)/([1]Transport!K$24+[1]Transport!K$27)*O1567)</f>
        <v>0</v>
      </c>
      <c r="P1571" s="1">
        <f>IF(([1]Transport!L$24+[1]Transport!L$27)=0,0,(P$49+P$716)/([1]Transport!L$24+[1]Transport!L$27)*P1567)</f>
        <v>0</v>
      </c>
      <c r="Q1571" s="1">
        <f>IF(([1]Transport!M$24+[1]Transport!M$27)=0,0,(Q$49+Q$716)/([1]Transport!M$24+[1]Transport!M$27)*Q1567)</f>
        <v>0</v>
      </c>
      <c r="S1571" s="3"/>
    </row>
    <row r="1572" spans="2:19" x14ac:dyDescent="0.5">
      <c r="B1572" t="str">
        <f t="shared" si="1740"/>
        <v>SPS1</v>
      </c>
      <c r="C1572" t="str">
        <f t="shared" si="1741"/>
        <v>CH</v>
      </c>
      <c r="D1572" t="s">
        <v>1559</v>
      </c>
      <c r="E1572" t="str">
        <f t="shared" si="1744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2.5727628205201549E-2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2.2282011796128081E-2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3.1544007614755419E-2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0</v>
      </c>
      <c r="J1572" s="1" cm="1">
        <f t="array" ref="J1572">SUMPRODUCT(("TFLGV-ICENGA"=[1]OUT_TransportEnergyCons!$A$3:$A$1000)*1,("Var_Fin"=[1]OUT_TransportEnergyCons!$B$3:$B$1000)*1,ISNUMBER(SEARCH("nga",[1]OUT_TransportEnergyCons!$C$3:$C$1000))*1,[1]OUT_TransportEnergyCons!H$3:H$1000)</f>
        <v>0</v>
      </c>
      <c r="K1572" s="1" cm="1">
        <f t="array" ref="K1572">SUMPRODUCT(("TFLGV-ICENGA"=[1]OUT_TransportEnergyCons!$A$3:$A$1000)*1,("Var_Fin"=[1]OUT_TransportEnergyCons!$B$3:$B$1000)*1,ISNUMBER(SEARCH("nga",[1]OUT_TransportEnergyCons!$C$3:$C$1000))*1,[1]OUT_TransportEnergyCons!I$3:I$1000)</f>
        <v>0</v>
      </c>
      <c r="L1572" s="1" cm="1">
        <f t="array" ref="L1572">SUMPRODUCT(("TFLGV-ICENGA"=[1]OUT_TransportEnergyCons!$A$3:$A$1000)*1,("Var_Fin"=[1]OUT_TransportEnergyCons!$B$3:$B$1000)*1,ISNUMBER(SEARCH("nga",[1]OUT_TransportEnergyCons!$C$3:$C$1000))*1,[1]OUT_TransportEnergyCons!J$3:J$1000)</f>
        <v>0</v>
      </c>
      <c r="M1572" s="1" cm="1">
        <f t="array" ref="M1572">SUMPRODUCT(("TFLGV-ICENGA"=[1]OUT_TransportEnergyCons!$A$3:$A$1000)*1,("Var_Fin"=[1]OUT_TransportEnergyCons!$B$3:$B$1000)*1,ISNUMBER(SEARCH("nga",[1]OUT_TransportEnergyCons!$C$3:$C$1000))*1,[1]OUT_TransportEnergyCons!K$3:K$1000)</f>
        <v>0</v>
      </c>
      <c r="N1572" s="1" cm="1">
        <f t="array" ref="N1572">SUMPRODUCT(("TFLGV-ICENGA"=[1]OUT_TransportEnergyCons!$A$3:$A$1000)*1,("Var_Fin"=[1]OUT_TransportEnergyCons!$B$3:$B$1000)*1,ISNUMBER(SEARCH("nga",[1]OUT_TransportEnergyCons!$C$3:$C$1000))*1,[1]OUT_TransportEnergyCons!L$3:L$1000)</f>
        <v>0</v>
      </c>
      <c r="O1572" s="1" cm="1">
        <f t="array" ref="O1572">SUMPRODUCT(("TFLGV-ICENGA"=[1]OUT_TransportEnergyCons!$A$3:$A$1000)*1,("Var_Fin"=[1]OUT_TransportEnergyCons!$B$3:$B$1000)*1,ISNUMBER(SEARCH("nga",[1]OUT_TransportEnergyCons!$C$3:$C$1000))*1,[1]OUT_TransportEnergyCons!M$3:M$1000)</f>
        <v>0</v>
      </c>
      <c r="P1572" s="1" cm="1">
        <f t="array" ref="P1572">SUMPRODUCT(("TFLGV-ICENGA"=[1]OUT_TransportEnergyCons!$A$3:$A$1000)*1,("Var_Fin"=[1]OUT_TransportEnergyCons!$B$3:$B$1000)*1,ISNUMBER(SEARCH("nga",[1]OUT_TransportEnergyCons!$C$3:$C$1000))*1,[1]OUT_TransportEnergyCons!N$3:N$1000)</f>
        <v>0</v>
      </c>
      <c r="Q1572" s="1" cm="1">
        <f t="array" ref="Q1572">SUMPRODUCT(("TFLGV-ICENGA"=[1]OUT_TransportEnergyCons!$A$3:$A$1000)*1,("Var_Fin"=[1]OUT_TransportEnergyCons!$B$3:$B$1000)*1,ISNUMBER(SEARCH("nga",[1]OUT_TransportEnergyCons!$C$3:$C$1000))*1,[1]OUT_TransportEnergyCons!O$3:O$1000)</f>
        <v>0</v>
      </c>
      <c r="S1572" s="3"/>
    </row>
    <row r="1573" spans="2:19" x14ac:dyDescent="0.5">
      <c r="B1573" s="2" t="str">
        <f t="shared" si="1740"/>
        <v>SPS1</v>
      </c>
      <c r="C1573" s="2" t="str">
        <f t="shared" si="1741"/>
        <v>CH</v>
      </c>
      <c r="D1573" s="2" t="s">
        <v>1560</v>
      </c>
      <c r="E1573" s="2" t="s">
        <v>1517</v>
      </c>
      <c r="F1573" s="3">
        <f>SUM(F1574:F1582)</f>
        <v>4.7786508859659032</v>
      </c>
      <c r="G1573" s="3">
        <f t="shared" ref="G1573:K1573" si="1764">SUM(G1574:G1582)</f>
        <v>4.7700871740552779</v>
      </c>
      <c r="H1573" s="3">
        <f t="shared" si="1764"/>
        <v>4.7152219923249259</v>
      </c>
      <c r="I1573" s="3">
        <f t="shared" si="1764"/>
        <v>4.6617779320016677</v>
      </c>
      <c r="J1573" s="3">
        <f t="shared" si="1764"/>
        <v>4.8439630224964203</v>
      </c>
      <c r="K1573" s="3">
        <f t="shared" si="1764"/>
        <v>5.0140130397231033</v>
      </c>
      <c r="L1573" s="3">
        <f t="shared" ref="L1573:O1573" si="1765">SUM(L1574:L1582)</f>
        <v>5.2231018168229451</v>
      </c>
      <c r="M1573" s="3">
        <f t="shared" si="1765"/>
        <v>5.4321901502238257</v>
      </c>
      <c r="N1573" s="3">
        <f t="shared" si="1765"/>
        <v>5.686567355283902</v>
      </c>
      <c r="O1573" s="3">
        <f t="shared" si="1765"/>
        <v>6.0438669659835114</v>
      </c>
      <c r="P1573" s="3">
        <f>SUM(P1574:P1582)</f>
        <v>6.4405382476039934</v>
      </c>
      <c r="Q1573" s="3">
        <f>SUM(Q1574:Q1582)</f>
        <v>6.8765701054744497</v>
      </c>
      <c r="S1573" s="3"/>
    </row>
    <row r="1574" spans="2:19" x14ac:dyDescent="0.5">
      <c r="B1574" t="str">
        <f t="shared" si="1740"/>
        <v>SPS1</v>
      </c>
      <c r="C1574" t="str">
        <f t="shared" si="1741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2.7950058851604325E-2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2.4231692814353827E-2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1.8633474432342319E-2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9.2971342107150447E-3</v>
      </c>
      <c r="J1574" s="1" cm="1">
        <f t="array" ref="J1574">SUMPRODUCT(("TFLGV-BeVELCExt"=[1]OUT_TransportEnergyCons!$A$3:$A$1000)*1,("var_fout"=[1]OUT_TransportEnergyCons!$B$3:$B$1000)*1,ISNUMBER(SEARCH("TFLGV",[1]OUT_TransportEnergyCons!$C$3:$C$1000))*1,[1]OUT_TransportEnergyCons!H$3:H$1000)</f>
        <v>0</v>
      </c>
      <c r="K1574" s="1" cm="1">
        <f t="array" ref="K1574">SUMPRODUCT(("TFLGV-BeVELCExt"=[1]OUT_TransportEnergyCons!$A$3:$A$1000)*1,("var_fout"=[1]OUT_TransportEnergyCons!$B$3:$B$1000)*1,ISNUMBER(SEARCH("TFLGV",[1]OUT_TransportEnergyCons!$C$3:$C$1000))*1,[1]OUT_TransportEnergyCons!I$3:I$1000)</f>
        <v>0</v>
      </c>
      <c r="L1574" s="1" cm="1">
        <f t="array" ref="L1574">SUMPRODUCT(("TFLGV-BeVELCExt"=[1]OUT_TransportEnergyCons!$A$3:$A$1000)*1,("var_fout"=[1]OUT_TransportEnergyCons!$B$3:$B$1000)*1,ISNUMBER(SEARCH("TFLGV",[1]OUT_TransportEnergyCons!$C$3:$C$1000))*1,[1]OUT_TransportEnergyCons!J$3:J$1000)</f>
        <v>0</v>
      </c>
      <c r="M1574" s="1" cm="1">
        <f t="array" ref="M1574">SUMPRODUCT(("TFLGV-BeVELCExt"=[1]OUT_TransportEnergyCons!$A$3:$A$1000)*1,("var_fout"=[1]OUT_TransportEnergyCons!$B$3:$B$1000)*1,ISNUMBER(SEARCH("TFLGV",[1]OUT_TransportEnergyCons!$C$3:$C$1000))*1,[1]OUT_TransportEnergyCons!K$3:K$1000)</f>
        <v>0</v>
      </c>
      <c r="N1574" s="1" cm="1">
        <f t="array" ref="N1574">SUMPRODUCT(("TFLGV-BeVELCExt"=[1]OUT_TransportEnergyCons!$A$3:$A$1000)*1,("var_fout"=[1]OUT_TransportEnergyCons!$B$3:$B$1000)*1,ISNUMBER(SEARCH("TFLGV",[1]OUT_TransportEnergyCons!$C$3:$C$1000))*1,[1]OUT_TransportEnergyCons!L$3:L$1000)</f>
        <v>0</v>
      </c>
      <c r="O1574" s="1" cm="1">
        <f t="array" ref="O1574">SUMPRODUCT(("TFLGV-BeVELCExt"=[1]OUT_TransportEnergyCons!$A$3:$A$1000)*1,("var_fout"=[1]OUT_TransportEnergyCons!$B$3:$B$1000)*1,ISNUMBER(SEARCH("TFLGV",[1]OUT_TransportEnergyCons!$C$3:$C$1000))*1,[1]OUT_TransportEnergyCons!M$3:M$1000)</f>
        <v>0</v>
      </c>
      <c r="P1574" s="1" cm="1">
        <f t="array" ref="P1574">SUMPRODUCT(("TFLGV-BeVELCExt"=[1]OUT_TransportEnergyCons!$A$3:$A$1000)*1,("var_fout"=[1]OUT_TransportEnergyCons!$B$3:$B$1000)*1,ISNUMBER(SEARCH("TFLGV",[1]OUT_TransportEnergyCons!$C$3:$C$1000))*1,[1]OUT_TransportEnergyCons!N$3:N$1000)</f>
        <v>0</v>
      </c>
      <c r="Q1574" s="1" cm="1">
        <f t="array" ref="Q1574">SUMPRODUCT(("TFLGV-BeVELCExt"=[1]OUT_TransportEnergyCons!$A$3:$A$1000)*1,("var_fout"=[1]OUT_TransportEnergyCons!$B$3:$B$1000)*1,ISNUMBER(SEARCH("TFLGV",[1]OUT_TransportEnergyCons!$C$3:$C$1000))*1,[1]OUT_TransportEnergyCons!O$3:O$1000)</f>
        <v>0</v>
      </c>
      <c r="S1574" s="3"/>
    </row>
    <row r="1575" spans="2:19" x14ac:dyDescent="0.5">
      <c r="B1575" t="str">
        <f t="shared" si="1740"/>
        <v>SPS1</v>
      </c>
      <c r="C1575" t="str">
        <f t="shared" si="1741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2.4243972146675914E-2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5.3469088148222627E-2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7.9383645745706458E-2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1.1444370968724651</v>
      </c>
      <c r="J1575" s="1" cm="1">
        <f t="array" ref="J1575">SUMPRODUCT(("TFLGV-BEVELC"=[1]OUT_TransportEnergyCons!$A$3:$A$1000)*1,("var_fout"=[1]OUT_TransportEnergyCons!$B$3:$B$1000)*1,ISNUMBER(SEARCH("TFLGV",[1]OUT_TransportEnergyCons!$C$3:$C$1000))*1,[1]OUT_TransportEnergyCons!H$3:H$1000)</f>
        <v>3.2242983264571001</v>
      </c>
      <c r="K1575" s="1" cm="1">
        <f t="array" ref="K1575">SUMPRODUCT(("TFLGV-BEVELC"=[1]OUT_TransportEnergyCons!$A$3:$A$1000)*1,("var_fout"=[1]OUT_TransportEnergyCons!$B$3:$B$1000)*1,ISNUMBER(SEARCH("TFLGV",[1]OUT_TransportEnergyCons!$C$3:$C$1000))*1,[1]OUT_TransportEnergyCons!I$3:I$1000)</f>
        <v>5.0139623258113106</v>
      </c>
      <c r="L1575" s="1" cm="1">
        <f t="array" ref="L1575">SUMPRODUCT(("TFLGV-BEVELC"=[1]OUT_TransportEnergyCons!$A$3:$A$1000)*1,("var_fout"=[1]OUT_TransportEnergyCons!$B$3:$B$1000)*1,ISNUMBER(SEARCH("TFLGV",[1]OUT_TransportEnergyCons!$C$3:$C$1000))*1,[1]OUT_TransportEnergyCons!J$3:J$1000)</f>
        <v>5.2231018168229451</v>
      </c>
      <c r="M1575" s="1" cm="1">
        <f t="array" ref="M1575">SUMPRODUCT(("TFLGV-BEVELC"=[1]OUT_TransportEnergyCons!$A$3:$A$1000)*1,("var_fout"=[1]OUT_TransportEnergyCons!$B$3:$B$1000)*1,ISNUMBER(SEARCH("TFLGV",[1]OUT_TransportEnergyCons!$C$3:$C$1000))*1,[1]OUT_TransportEnergyCons!K$3:K$1000)</f>
        <v>5.432190067157701</v>
      </c>
      <c r="N1575" s="1" cm="1">
        <f t="array" ref="N1575">SUMPRODUCT(("TFLGV-BEVELC"=[1]OUT_TransportEnergyCons!$A$3:$A$1000)*1,("var_fout"=[1]OUT_TransportEnergyCons!$B$3:$B$1000)*1,ISNUMBER(SEARCH("TFLGV",[1]OUT_TransportEnergyCons!$C$3:$C$1000))*1,[1]OUT_TransportEnergyCons!L$3:L$1000)</f>
        <v>5.686567355283902</v>
      </c>
      <c r="O1575" s="1" cm="1">
        <f t="array" ref="O1575">SUMPRODUCT(("TFLGV-BEVELC"=[1]OUT_TransportEnergyCons!$A$3:$A$1000)*1,("var_fout"=[1]OUT_TransportEnergyCons!$B$3:$B$1000)*1,ISNUMBER(SEARCH("TFLGV",[1]OUT_TransportEnergyCons!$C$3:$C$1000))*1,[1]OUT_TransportEnergyCons!M$3:M$1000)</f>
        <v>6.0438669659835114</v>
      </c>
      <c r="P1575" s="1" cm="1">
        <f t="array" ref="P1575">SUMPRODUCT(("TFLGV-BEVELC"=[1]OUT_TransportEnergyCons!$A$3:$A$1000)*1,("var_fout"=[1]OUT_TransportEnergyCons!$B$3:$B$1000)*1,ISNUMBER(SEARCH("TFLGV",[1]OUT_TransportEnergyCons!$C$3:$C$1000))*1,[1]OUT_TransportEnergyCons!N$3:N$1000)</f>
        <v>6.4405382069650905</v>
      </c>
      <c r="Q1575" s="1" cm="1">
        <f t="array" ref="Q1575">SUMPRODUCT(("TFLGV-BEVELC"=[1]OUT_TransportEnergyCons!$A$3:$A$1000)*1,("var_fout"=[1]OUT_TransportEnergyCons!$B$3:$B$1000)*1,ISNUMBER(SEARCH("TFLGV",[1]OUT_TransportEnergyCons!$C$3:$C$1000))*1,[1]OUT_TransportEnergyCons!O$3:O$1000)</f>
        <v>6.8765690333928289</v>
      </c>
      <c r="S1575" s="3"/>
    </row>
    <row r="1576" spans="2:19" x14ac:dyDescent="0.5">
      <c r="B1576" t="str">
        <f t="shared" si="1740"/>
        <v>SPS1</v>
      </c>
      <c r="C1576" t="str">
        <f t="shared" si="1741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8.8046500084948448E-6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1.1667749260513766E-5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0</v>
      </c>
      <c r="J1576" s="1" cm="1">
        <f t="array" ref="J1576">SUMPRODUCT(("TFLGV-FCLH2O"=[1]OUT_TransportEnergyCons!$A$3:$A$1000)*1,("var_fout"=[1]OUT_TransportEnergyCons!$B$3:$B$1000)*1,ISNUMBER(SEARCH("TFLGV",[1]OUT_TransportEnergyCons!$C$3:$C$1000))*1,[1]OUT_TransportEnergyCons!H$3:H$1000)</f>
        <v>4.0679191730376904E-8</v>
      </c>
      <c r="K1576" s="1" cm="1">
        <f t="array" ref="K1576">SUMPRODUCT(("TFLGV-FCLH2O"=[1]OUT_TransportEnergyCons!$A$3:$A$1000)*1,("var_fout"=[1]OUT_TransportEnergyCons!$B$3:$B$1000)*1,ISNUMBER(SEARCH("TFLGV",[1]OUT_TransportEnergyCons!$C$3:$C$1000))*1,[1]OUT_TransportEnergyCons!I$3:I$1000)</f>
        <v>1.2477147520426189E-7</v>
      </c>
      <c r="L1576" s="1" cm="1">
        <f t="array" ref="L1576">SUMPRODUCT(("TFLGV-FCLH2O"=[1]OUT_TransportEnergyCons!$A$3:$A$1000)*1,("var_fout"=[1]OUT_TransportEnergyCons!$B$3:$B$1000)*1,ISNUMBER(SEARCH("TFLGV",[1]OUT_TransportEnergyCons!$C$3:$C$1000))*1,[1]OUT_TransportEnergyCons!J$3:J$1000)</f>
        <v>0</v>
      </c>
      <c r="M1576" s="1" cm="1">
        <f t="array" ref="M1576">SUMPRODUCT(("TFLGV-FCLH2O"=[1]OUT_TransportEnergyCons!$A$3:$A$1000)*1,("var_fout"=[1]OUT_TransportEnergyCons!$B$3:$B$1000)*1,ISNUMBER(SEARCH("TFLGV",[1]OUT_TransportEnergyCons!$C$3:$C$1000))*1,[1]OUT_TransportEnergyCons!K$3:K$1000)</f>
        <v>8.3066124834194387E-8</v>
      </c>
      <c r="N1576" s="1" cm="1">
        <f t="array" ref="N1576">SUMPRODUCT(("TFLGV-FCLH2O"=[1]OUT_TransportEnergyCons!$A$3:$A$1000)*1,("var_fout"=[1]OUT_TransportEnergyCons!$B$3:$B$1000)*1,ISNUMBER(SEARCH("TFLGV",[1]OUT_TransportEnergyCons!$C$3:$C$1000))*1,[1]OUT_TransportEnergyCons!L$3:L$1000)</f>
        <v>0</v>
      </c>
      <c r="O1576" s="1" cm="1">
        <f t="array" ref="O1576">SUMPRODUCT(("TFLGV-FCLH2O"=[1]OUT_TransportEnergyCons!$A$3:$A$1000)*1,("var_fout"=[1]OUT_TransportEnergyCons!$B$3:$B$1000)*1,ISNUMBER(SEARCH("TFLGV",[1]OUT_TransportEnergyCons!$C$3:$C$1000))*1,[1]OUT_TransportEnergyCons!M$3:M$1000)</f>
        <v>0</v>
      </c>
      <c r="P1576" s="1" cm="1">
        <f t="array" ref="P1576">SUMPRODUCT(("TFLGV-FCLH2O"=[1]OUT_TransportEnergyCons!$A$3:$A$1000)*1,("var_fout"=[1]OUT_TransportEnergyCons!$B$3:$B$1000)*1,ISNUMBER(SEARCH("TFLGV",[1]OUT_TransportEnergyCons!$C$3:$C$1000))*1,[1]OUT_TransportEnergyCons!N$3:N$1000)</f>
        <v>4.0638902800071997E-8</v>
      </c>
      <c r="Q1576" s="1" cm="1">
        <f t="array" ref="Q1576">SUMPRODUCT(("TFLGV-FCLH2O"=[1]OUT_TransportEnergyCons!$A$3:$A$1000)*1,("var_fout"=[1]OUT_TransportEnergyCons!$B$3:$B$1000)*1,ISNUMBER(SEARCH("TFLGV",[1]OUT_TransportEnergyCons!$C$3:$C$1000))*1,[1]OUT_TransportEnergyCons!O$3:O$1000)</f>
        <v>1.0720816212271476E-6</v>
      </c>
      <c r="S1576" s="3"/>
    </row>
    <row r="1577" spans="2:19" x14ac:dyDescent="0.5">
      <c r="B1577" t="str">
        <f t="shared" si="1740"/>
        <v>SPS1</v>
      </c>
      <c r="C1577" t="str">
        <f t="shared" si="1741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0.20009091605359283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0.40496305435854452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0.15391279631758553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7.6933831499030617E-2</v>
      </c>
      <c r="J1577" s="1" cm="1">
        <f t="array" ref="J1577">SUMPRODUCT(("TFLGV-ICEGSLExt"=[1]OUT_TransportEnergyCons!$A$3:$A$1000)*1,("var_fout"=[1]OUT_TransportEnergyCons!$B$3:$B$1000)*1,ISNUMBER(SEARCH("TFLGV",[1]OUT_TransportEnergyCons!$C$3:$C$1000))*1,[1]OUT_TransportEnergyCons!H$3:H$1000)</f>
        <v>0</v>
      </c>
      <c r="K1577" s="1" cm="1">
        <f t="array" ref="K1577">SUMPRODUCT(("TFLGV-ICEGSLExt"=[1]OUT_TransportEnergyCons!$A$3:$A$1000)*1,("var_fout"=[1]OUT_TransportEnergyCons!$B$3:$B$1000)*1,ISNUMBER(SEARCH("TFLGV",[1]OUT_TransportEnergyCons!$C$3:$C$1000))*1,[1]OUT_TransportEnergyCons!I$3:I$1000)</f>
        <v>0</v>
      </c>
      <c r="L1577" s="1" cm="1">
        <f t="array" ref="L1577">SUMPRODUCT(("TFLGV-ICEGSLExt"=[1]OUT_TransportEnergyCons!$A$3:$A$1000)*1,("var_fout"=[1]OUT_TransportEnergyCons!$B$3:$B$1000)*1,ISNUMBER(SEARCH("TFLGV",[1]OUT_TransportEnergyCons!$C$3:$C$1000))*1,[1]OUT_TransportEnergyCons!J$3:J$1000)</f>
        <v>0</v>
      </c>
      <c r="M1577" s="1" cm="1">
        <f t="array" ref="M1577">SUMPRODUCT(("TFLGV-ICEGSLExt"=[1]OUT_TransportEnergyCons!$A$3:$A$1000)*1,("var_fout"=[1]OUT_TransportEnergyCons!$B$3:$B$1000)*1,ISNUMBER(SEARCH("TFLGV",[1]OUT_TransportEnergyCons!$C$3:$C$1000))*1,[1]OUT_TransportEnergyCons!K$3:K$1000)</f>
        <v>0</v>
      </c>
      <c r="N1577" s="1" cm="1">
        <f t="array" ref="N1577">SUMPRODUCT(("TFLGV-ICEGSLExt"=[1]OUT_TransportEnergyCons!$A$3:$A$1000)*1,("var_fout"=[1]OUT_TransportEnergyCons!$B$3:$B$1000)*1,ISNUMBER(SEARCH("TFLGV",[1]OUT_TransportEnergyCons!$C$3:$C$1000))*1,[1]OUT_TransportEnergyCons!L$3:L$1000)</f>
        <v>0</v>
      </c>
      <c r="O1577" s="1" cm="1">
        <f t="array" ref="O1577">SUMPRODUCT(("TFLGV-ICEGSLExt"=[1]OUT_TransportEnergyCons!$A$3:$A$1000)*1,("var_fout"=[1]OUT_TransportEnergyCons!$B$3:$B$1000)*1,ISNUMBER(SEARCH("TFLGV",[1]OUT_TransportEnergyCons!$C$3:$C$1000))*1,[1]OUT_TransportEnergyCons!M$3:M$1000)</f>
        <v>0</v>
      </c>
      <c r="P1577" s="1" cm="1">
        <f t="array" ref="P1577">SUMPRODUCT(("TFLGV-ICEGSLExt"=[1]OUT_TransportEnergyCons!$A$3:$A$1000)*1,("var_fout"=[1]OUT_TransportEnergyCons!$B$3:$B$1000)*1,ISNUMBER(SEARCH("TFLGV",[1]OUT_TransportEnergyCons!$C$3:$C$1000))*1,[1]OUT_TransportEnergyCons!N$3:N$1000)</f>
        <v>0</v>
      </c>
      <c r="Q1577" s="1" cm="1">
        <f t="array" ref="Q1577">SUMPRODUCT(("TFLGV-ICEGSLExt"=[1]OUT_TransportEnergyCons!$A$3:$A$1000)*1,("var_fout"=[1]OUT_TransportEnergyCons!$B$3:$B$1000)*1,ISNUMBER(SEARCH("TFLGV",[1]OUT_TransportEnergyCons!$C$3:$C$1000))*1,[1]OUT_TransportEnergyCons!O$3:O$1000)</f>
        <v>0</v>
      </c>
      <c r="S1577" s="3"/>
    </row>
    <row r="1578" spans="2:19" x14ac:dyDescent="0.5">
      <c r="B1578" t="str">
        <f t="shared" si="1740"/>
        <v>SPS1</v>
      </c>
      <c r="C1578" t="str">
        <f t="shared" si="1741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0.12569302399495905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0.20264323023459432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0.26845860659845966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0.47790023972534207</v>
      </c>
      <c r="J1578" s="1" cm="1">
        <f t="array" ref="J1578">SUMPRODUCT(("TFLGV-ICEGSL"=[1]OUT_TransportEnergyCons!$A$3:$A$1000)*1,("var_fout"=[1]OUT_TransportEnergyCons!$B$3:$B$1000)*1,ISNUMBER(SEARCH("TFLGV",[1]OUT_TransportEnergyCons!$C$3:$C$1000))*1,[1]OUT_TransportEnergyCons!H$3:H$1000)</f>
        <v>0.3414669968052354</v>
      </c>
      <c r="K1578" s="1" cm="1">
        <f t="array" ref="K1578">SUMPRODUCT(("TFLGV-ICEGSL"=[1]OUT_TransportEnergyCons!$A$3:$A$1000)*1,("var_fout"=[1]OUT_TransportEnergyCons!$B$3:$B$1000)*1,ISNUMBER(SEARCH("TFLGV",[1]OUT_TransportEnergyCons!$C$3:$C$1000))*1,[1]OUT_TransportEnergyCons!I$3:I$1000)</f>
        <v>1.6106564025813144E-5</v>
      </c>
      <c r="L1578" s="1" cm="1">
        <f t="array" ref="L1578">SUMPRODUCT(("TFLGV-ICEGSL"=[1]OUT_TransportEnergyCons!$A$3:$A$1000)*1,("var_fout"=[1]OUT_TransportEnergyCons!$B$3:$B$1000)*1,ISNUMBER(SEARCH("TFLGV",[1]OUT_TransportEnergyCons!$C$3:$C$1000))*1,[1]OUT_TransportEnergyCons!J$3:J$1000)</f>
        <v>0</v>
      </c>
      <c r="M1578" s="1" cm="1">
        <f t="array" ref="M1578">SUMPRODUCT(("TFLGV-ICEGSL"=[1]OUT_TransportEnergyCons!$A$3:$A$1000)*1,("var_fout"=[1]OUT_TransportEnergyCons!$B$3:$B$1000)*1,ISNUMBER(SEARCH("TFLGV",[1]OUT_TransportEnergyCons!$C$3:$C$1000))*1,[1]OUT_TransportEnergyCons!K$3:K$1000)</f>
        <v>0</v>
      </c>
      <c r="N1578" s="1" cm="1">
        <f t="array" ref="N1578">SUMPRODUCT(("TFLGV-ICEGSL"=[1]OUT_TransportEnergyCons!$A$3:$A$1000)*1,("var_fout"=[1]OUT_TransportEnergyCons!$B$3:$B$1000)*1,ISNUMBER(SEARCH("TFLGV",[1]OUT_TransportEnergyCons!$C$3:$C$1000))*1,[1]OUT_TransportEnergyCons!L$3:L$1000)</f>
        <v>0</v>
      </c>
      <c r="O1578" s="1" cm="1">
        <f t="array" ref="O1578">SUMPRODUCT(("TFLGV-ICEGSL"=[1]OUT_TransportEnergyCons!$A$3:$A$1000)*1,("var_fout"=[1]OUT_TransportEnergyCons!$B$3:$B$1000)*1,ISNUMBER(SEARCH("TFLGV",[1]OUT_TransportEnergyCons!$C$3:$C$1000))*1,[1]OUT_TransportEnergyCons!M$3:M$1000)</f>
        <v>0</v>
      </c>
      <c r="P1578" s="1" cm="1">
        <f t="array" ref="P1578">SUMPRODUCT(("TFLGV-ICEGSL"=[1]OUT_TransportEnergyCons!$A$3:$A$1000)*1,("var_fout"=[1]OUT_TransportEnergyCons!$B$3:$B$1000)*1,ISNUMBER(SEARCH("TFLGV",[1]OUT_TransportEnergyCons!$C$3:$C$1000))*1,[1]OUT_TransportEnergyCons!N$3:N$1000)</f>
        <v>0</v>
      </c>
      <c r="Q1578" s="1" cm="1">
        <f t="array" ref="Q1578">SUMPRODUCT(("TFLGV-ICEGSL"=[1]OUT_TransportEnergyCons!$A$3:$A$1000)*1,("var_fout"=[1]OUT_TransportEnergyCons!$B$3:$B$1000)*1,ISNUMBER(SEARCH("TFLGV",[1]OUT_TransportEnergyCons!$C$3:$C$1000))*1,[1]OUT_TransportEnergyCons!O$3:O$1000)</f>
        <v>0</v>
      </c>
      <c r="S1578" s="3"/>
    </row>
    <row r="1579" spans="2:19" x14ac:dyDescent="0.5">
      <c r="B1579" t="str">
        <f t="shared" si="1740"/>
        <v>SPS1</v>
      </c>
      <c r="C1579" t="str">
        <f t="shared" si="1741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2.8699849904424122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2.0828831419152767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1.5332596846709128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0.76659559039654457</v>
      </c>
      <c r="J1579" s="1" cm="1">
        <f t="array" ref="J1579">SUMPRODUCT(("TFLGV-ICEdslExt"=[1]OUT_TransportEnergyCons!$A$3:$A$1000)*1,("var_fout"=[1]OUT_TransportEnergyCons!$B$3:$B$1000)*1,ISNUMBER(SEARCH("TFLGV",[1]OUT_TransportEnergyCons!$C$3:$C$1000))*1,[1]OUT_TransportEnergyCons!H$3:H$1000)</f>
        <v>0</v>
      </c>
      <c r="K1579" s="1" cm="1">
        <f t="array" ref="K1579">SUMPRODUCT(("TFLGV-ICEdslExt"=[1]OUT_TransportEnergyCons!$A$3:$A$1000)*1,("var_fout"=[1]OUT_TransportEnergyCons!$B$3:$B$1000)*1,ISNUMBER(SEARCH("TFLGV",[1]OUT_TransportEnergyCons!$C$3:$C$1000))*1,[1]OUT_TransportEnergyCons!I$3:I$1000)</f>
        <v>0</v>
      </c>
      <c r="L1579" s="1" cm="1">
        <f t="array" ref="L1579">SUMPRODUCT(("TFLGV-ICEdslExt"=[1]OUT_TransportEnergyCons!$A$3:$A$1000)*1,("var_fout"=[1]OUT_TransportEnergyCons!$B$3:$B$1000)*1,ISNUMBER(SEARCH("TFLGV",[1]OUT_TransportEnergyCons!$C$3:$C$1000))*1,[1]OUT_TransportEnergyCons!J$3:J$1000)</f>
        <v>0</v>
      </c>
      <c r="M1579" s="1" cm="1">
        <f t="array" ref="M1579">SUMPRODUCT(("TFLGV-ICEdslExt"=[1]OUT_TransportEnergyCons!$A$3:$A$1000)*1,("var_fout"=[1]OUT_TransportEnergyCons!$B$3:$B$1000)*1,ISNUMBER(SEARCH("TFLGV",[1]OUT_TransportEnergyCons!$C$3:$C$1000))*1,[1]OUT_TransportEnergyCons!K$3:K$1000)</f>
        <v>0</v>
      </c>
      <c r="N1579" s="1" cm="1">
        <f t="array" ref="N1579">SUMPRODUCT(("TFLGV-ICEdslExt"=[1]OUT_TransportEnergyCons!$A$3:$A$1000)*1,("var_fout"=[1]OUT_TransportEnergyCons!$B$3:$B$1000)*1,ISNUMBER(SEARCH("TFLGV",[1]OUT_TransportEnergyCons!$C$3:$C$1000))*1,[1]OUT_TransportEnergyCons!L$3:L$1000)</f>
        <v>0</v>
      </c>
      <c r="O1579" s="1" cm="1">
        <f t="array" ref="O1579">SUMPRODUCT(("TFLGV-ICEdslExt"=[1]OUT_TransportEnergyCons!$A$3:$A$1000)*1,("var_fout"=[1]OUT_TransportEnergyCons!$B$3:$B$1000)*1,ISNUMBER(SEARCH("TFLGV",[1]OUT_TransportEnergyCons!$C$3:$C$1000))*1,[1]OUT_TransportEnergyCons!M$3:M$1000)</f>
        <v>0</v>
      </c>
      <c r="P1579" s="1" cm="1">
        <f t="array" ref="P1579">SUMPRODUCT(("TFLGV-ICEdslExt"=[1]OUT_TransportEnergyCons!$A$3:$A$1000)*1,("var_fout"=[1]OUT_TransportEnergyCons!$B$3:$B$1000)*1,ISNUMBER(SEARCH("TFLGV",[1]OUT_TransportEnergyCons!$C$3:$C$1000))*1,[1]OUT_TransportEnergyCons!N$3:N$1000)</f>
        <v>0</v>
      </c>
      <c r="Q1579" s="1" cm="1">
        <f t="array" ref="Q1579">SUMPRODUCT(("TFLGV-ICEdslExt"=[1]OUT_TransportEnergyCons!$A$3:$A$1000)*1,("var_fout"=[1]OUT_TransportEnergyCons!$B$3:$B$1000)*1,ISNUMBER(SEARCH("TFLGV",[1]OUT_TransportEnergyCons!$C$3:$C$1000))*1,[1]OUT_TransportEnergyCons!O$3:O$1000)</f>
        <v>0</v>
      </c>
      <c r="S1579" s="3"/>
    </row>
    <row r="1580" spans="2:19" x14ac:dyDescent="0.5">
      <c r="B1580" t="str">
        <f t="shared" si="1740"/>
        <v>SPS1</v>
      </c>
      <c r="C1580" t="str">
        <f t="shared" si="1741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1.5224402404764401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1.7955903532082627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1.7457028899349618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0.71217311987426413</v>
      </c>
      <c r="J1580" s="1" cm="1">
        <f t="array" ref="J1580">SUMPRODUCT(("TFLGV-ICEdsl"=[1]OUT_TransportEnergyCons!$A$3:$A$1000)*1,("var_fout"=[1]OUT_TransportEnergyCons!$B$3:$B$1000)*1,ISNUMBER(SEARCH("TFLGV",[1]OUT_TransportEnergyCons!$C$3:$C$1000))*1,[1]OUT_TransportEnergyCons!H$3:H$1000)</f>
        <v>3.5058685942041391E-4</v>
      </c>
      <c r="K1580" s="1" cm="1">
        <f t="array" ref="K1580">SUMPRODUCT(("TFLGV-ICEdsl"=[1]OUT_TransportEnergyCons!$A$3:$A$1000)*1,("var_fout"=[1]OUT_TransportEnergyCons!$B$3:$B$1000)*1,ISNUMBER(SEARCH("TFLGV",[1]OUT_TransportEnergyCons!$C$3:$C$1000))*1,[1]OUT_TransportEnergyCons!I$3:I$1000)</f>
        <v>1.6177977037696981E-5</v>
      </c>
      <c r="L1580" s="1" cm="1">
        <f t="array" ref="L1580">SUMPRODUCT(("TFLGV-ICEdsl"=[1]OUT_TransportEnergyCons!$A$3:$A$1000)*1,("var_fout"=[1]OUT_TransportEnergyCons!$B$3:$B$1000)*1,ISNUMBER(SEARCH("TFLGV",[1]OUT_TransportEnergyCons!$C$3:$C$1000))*1,[1]OUT_TransportEnergyCons!J$3:J$1000)</f>
        <v>0</v>
      </c>
      <c r="M1580" s="1" cm="1">
        <f t="array" ref="M1580">SUMPRODUCT(("TFLGV-ICEdsl"=[1]OUT_TransportEnergyCons!$A$3:$A$1000)*1,("var_fout"=[1]OUT_TransportEnergyCons!$B$3:$B$1000)*1,ISNUMBER(SEARCH("TFLGV",[1]OUT_TransportEnergyCons!$C$3:$C$1000))*1,[1]OUT_TransportEnergyCons!K$3:K$1000)</f>
        <v>0</v>
      </c>
      <c r="N1580" s="1" cm="1">
        <f t="array" ref="N1580">SUMPRODUCT(("TFLGV-ICEdsl"=[1]OUT_TransportEnergyCons!$A$3:$A$1000)*1,("var_fout"=[1]OUT_TransportEnergyCons!$B$3:$B$1000)*1,ISNUMBER(SEARCH("TFLGV",[1]OUT_TransportEnergyCons!$C$3:$C$1000))*1,[1]OUT_TransportEnergyCons!L$3:L$1000)</f>
        <v>0</v>
      </c>
      <c r="O1580" s="1" cm="1">
        <f t="array" ref="O1580">SUMPRODUCT(("TFLGV-ICEdsl"=[1]OUT_TransportEnergyCons!$A$3:$A$1000)*1,("var_fout"=[1]OUT_TransportEnergyCons!$B$3:$B$1000)*1,ISNUMBER(SEARCH("TFLGV",[1]OUT_TransportEnergyCons!$C$3:$C$1000))*1,[1]OUT_TransportEnergyCons!M$3:M$1000)</f>
        <v>0</v>
      </c>
      <c r="P1580" s="1" cm="1">
        <f t="array" ref="P1580">SUMPRODUCT(("TFLGV-ICEdsl"=[1]OUT_TransportEnergyCons!$A$3:$A$1000)*1,("var_fout"=[1]OUT_TransportEnergyCons!$B$3:$B$1000)*1,ISNUMBER(SEARCH("TFLGV",[1]OUT_TransportEnergyCons!$C$3:$C$1000))*1,[1]OUT_TransportEnergyCons!N$3:N$1000)</f>
        <v>0</v>
      </c>
      <c r="Q1580" s="1" cm="1">
        <f t="array" ref="Q1580">SUMPRODUCT(("TFLGV-ICEdsl"=[1]OUT_TransportEnergyCons!$A$3:$A$1000)*1,("var_fout"=[1]OUT_TransportEnergyCons!$B$3:$B$1000)*1,ISNUMBER(SEARCH("TFLGV",[1]OUT_TransportEnergyCons!$C$3:$C$1000))*1,[1]OUT_TransportEnergyCons!O$3:O$1000)</f>
        <v>0</v>
      </c>
      <c r="S1580" s="3"/>
    </row>
    <row r="1581" spans="2:19" x14ac:dyDescent="0.5">
      <c r="B1581" t="str">
        <f t="shared" si="1740"/>
        <v>SPS1</v>
      </c>
      <c r="C1581" t="str">
        <f t="shared" si="1741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0.19915470984733871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0.90574694583556692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1.4744409194233055</v>
      </c>
      <c r="J1581" s="1" cm="1">
        <f t="array" ref="J1581">SUMPRODUCT(("TFLGV-HYBDSL"=[1]OUT_TransportEnergyCons!$A$3:$A$1000)*1,("var_fout"=[1]OUT_TransportEnergyCons!$B$3:$B$1000)*1,ISNUMBER(SEARCH("TFLGV",[1]OUT_TransportEnergyCons!$C$3:$C$1000))*1,[1]OUT_TransportEnergyCons!H$3:H$1000)</f>
        <v>1.2778470716954733</v>
      </c>
      <c r="K1581" s="1" cm="1">
        <f t="array" ref="K1581">SUMPRODUCT(("TFLGV-HYBDSL"=[1]OUT_TransportEnergyCons!$A$3:$A$1000)*1,("var_fout"=[1]OUT_TransportEnergyCons!$B$3:$B$1000)*1,ISNUMBER(SEARCH("TFLGV",[1]OUT_TransportEnergyCons!$C$3:$C$1000))*1,[1]OUT_TransportEnergyCons!I$3:I$1000)</f>
        <v>1.830459925374435E-5</v>
      </c>
      <c r="L1581" s="1" cm="1">
        <f t="array" ref="L1581">SUMPRODUCT(("TFLGV-HYBDSL"=[1]OUT_TransportEnergyCons!$A$3:$A$1000)*1,("var_fout"=[1]OUT_TransportEnergyCons!$B$3:$B$1000)*1,ISNUMBER(SEARCH("TFLGV",[1]OUT_TransportEnergyCons!$C$3:$C$1000))*1,[1]OUT_TransportEnergyCons!J$3:J$1000)</f>
        <v>0</v>
      </c>
      <c r="M1581" s="1" cm="1">
        <f t="array" ref="M1581">SUMPRODUCT(("TFLGV-HYBDSL"=[1]OUT_TransportEnergyCons!$A$3:$A$1000)*1,("var_fout"=[1]OUT_TransportEnergyCons!$B$3:$B$1000)*1,ISNUMBER(SEARCH("TFLGV",[1]OUT_TransportEnergyCons!$C$3:$C$1000))*1,[1]OUT_TransportEnergyCons!K$3:K$1000)</f>
        <v>0</v>
      </c>
      <c r="N1581" s="1" cm="1">
        <f t="array" ref="N1581">SUMPRODUCT(("TFLGV-HYBDSL"=[1]OUT_TransportEnergyCons!$A$3:$A$1000)*1,("var_fout"=[1]OUT_TransportEnergyCons!$B$3:$B$1000)*1,ISNUMBER(SEARCH("TFLGV",[1]OUT_TransportEnergyCons!$C$3:$C$1000))*1,[1]OUT_TransportEnergyCons!L$3:L$1000)</f>
        <v>0</v>
      </c>
      <c r="O1581" s="1" cm="1">
        <f t="array" ref="O1581">SUMPRODUCT(("TFLGV-HYBDSL"=[1]OUT_TransportEnergyCons!$A$3:$A$1000)*1,("var_fout"=[1]OUT_TransportEnergyCons!$B$3:$B$1000)*1,ISNUMBER(SEARCH("TFLGV",[1]OUT_TransportEnergyCons!$C$3:$C$1000))*1,[1]OUT_TransportEnergyCons!M$3:M$1000)</f>
        <v>0</v>
      </c>
      <c r="P1581" s="1" cm="1">
        <f t="array" ref="P1581">SUMPRODUCT(("TFLGV-HYBDSL"=[1]OUT_TransportEnergyCons!$A$3:$A$1000)*1,("var_fout"=[1]OUT_TransportEnergyCons!$B$3:$B$1000)*1,ISNUMBER(SEARCH("TFLGV",[1]OUT_TransportEnergyCons!$C$3:$C$1000))*1,[1]OUT_TransportEnergyCons!N$3:N$1000)</f>
        <v>0</v>
      </c>
      <c r="Q1581" s="1" cm="1">
        <f t="array" ref="Q1581">SUMPRODUCT(("TFLGV-HYBDSL"=[1]OUT_TransportEnergyCons!$A$3:$A$1000)*1,("var_fout"=[1]OUT_TransportEnergyCons!$B$3:$B$1000)*1,ISNUMBER(SEARCH("TFLGV",[1]OUT_TransportEnergyCons!$C$3:$C$1000))*1,[1]OUT_TransportEnergyCons!O$3:O$1000)</f>
        <v>0</v>
      </c>
      <c r="S1581" s="3"/>
    </row>
    <row r="1582" spans="2:19" x14ac:dyDescent="0.5">
      <c r="B1582" t="str">
        <f t="shared" si="1740"/>
        <v>SPS1</v>
      </c>
      <c r="C1582" t="str">
        <f t="shared" si="1741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8.2476840002181796E-3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7.1430988786771775E-3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1.01122810401302E-2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0</v>
      </c>
      <c r="J1582" s="1" cm="1">
        <f t="array" ref="J1582">SUMPRODUCT(("TFLGV-ICENGA"=[1]OUT_TransportEnergyCons!$A$3:$A$1000)*1,("var_fout"=[1]OUT_TransportEnergyCons!$B$3:$B$1000)*1,ISNUMBER(SEARCH("TFLGV",[1]OUT_TransportEnergyCons!$C$3:$C$1000))*1,[1]OUT_TransportEnergyCons!H$3:H$1000)</f>
        <v>0</v>
      </c>
      <c r="K1582" s="1" cm="1">
        <f t="array" ref="K1582">SUMPRODUCT(("TFLGV-ICENGA"=[1]OUT_TransportEnergyCons!$A$3:$A$1000)*1,("var_fout"=[1]OUT_TransportEnergyCons!$B$3:$B$1000)*1,ISNUMBER(SEARCH("TFLGV",[1]OUT_TransportEnergyCons!$C$3:$C$1000))*1,[1]OUT_TransportEnergyCons!I$3:I$1000)</f>
        <v>0</v>
      </c>
      <c r="L1582" s="1" cm="1">
        <f t="array" ref="L1582">SUMPRODUCT(("TFLGV-ICENGA"=[1]OUT_TransportEnergyCons!$A$3:$A$1000)*1,("var_fout"=[1]OUT_TransportEnergyCons!$B$3:$B$1000)*1,ISNUMBER(SEARCH("TFLGV",[1]OUT_TransportEnergyCons!$C$3:$C$1000))*1,[1]OUT_TransportEnergyCons!J$3:J$1000)</f>
        <v>0</v>
      </c>
      <c r="M1582" s="1" cm="1">
        <f t="array" ref="M1582">SUMPRODUCT(("TFLGV-ICENGA"=[1]OUT_TransportEnergyCons!$A$3:$A$1000)*1,("var_fout"=[1]OUT_TransportEnergyCons!$B$3:$B$1000)*1,ISNUMBER(SEARCH("TFLGV",[1]OUT_TransportEnergyCons!$C$3:$C$1000))*1,[1]OUT_TransportEnergyCons!K$3:K$1000)</f>
        <v>0</v>
      </c>
      <c r="N1582" s="1" cm="1">
        <f t="array" ref="N1582">SUMPRODUCT(("TFLGV-ICENGA"=[1]OUT_TransportEnergyCons!$A$3:$A$1000)*1,("var_fout"=[1]OUT_TransportEnergyCons!$B$3:$B$1000)*1,ISNUMBER(SEARCH("TFLGV",[1]OUT_TransportEnergyCons!$C$3:$C$1000))*1,[1]OUT_TransportEnergyCons!L$3:L$1000)</f>
        <v>0</v>
      </c>
      <c r="O1582" s="1" cm="1">
        <f t="array" ref="O1582">SUMPRODUCT(("TFLGV-ICENGA"=[1]OUT_TransportEnergyCons!$A$3:$A$1000)*1,("var_fout"=[1]OUT_TransportEnergyCons!$B$3:$B$1000)*1,ISNUMBER(SEARCH("TFLGV",[1]OUT_TransportEnergyCons!$C$3:$C$1000))*1,[1]OUT_TransportEnergyCons!M$3:M$1000)</f>
        <v>0</v>
      </c>
      <c r="P1582" s="1" cm="1">
        <f t="array" ref="P1582">SUMPRODUCT(("TFLGV-ICENGA"=[1]OUT_TransportEnergyCons!$A$3:$A$1000)*1,("var_fout"=[1]OUT_TransportEnergyCons!$B$3:$B$1000)*1,ISNUMBER(SEARCH("TFLGV",[1]OUT_TransportEnergyCons!$C$3:$C$1000))*1,[1]OUT_TransportEnergyCons!N$3:N$1000)</f>
        <v>0</v>
      </c>
      <c r="Q1582" s="1" cm="1">
        <f t="array" ref="Q1582">SUMPRODUCT(("TFLGV-ICENGA"=[1]OUT_TransportEnergyCons!$A$3:$A$1000)*1,("var_fout"=[1]OUT_TransportEnergyCons!$B$3:$B$1000)*1,ISNUMBER(SEARCH("TFLGV",[1]OUT_TransportEnergyCons!$C$3:$C$1000))*1,[1]OUT_TransportEnergyCons!O$3:O$1000)</f>
        <v>0</v>
      </c>
      <c r="S1582" s="3"/>
    </row>
    <row r="1583" spans="2:19" x14ac:dyDescent="0.5">
      <c r="B1583" s="2" t="str">
        <f t="shared" si="1740"/>
        <v>SPS1</v>
      </c>
      <c r="C1583" s="2" t="str">
        <f t="shared" si="1741"/>
        <v>CH</v>
      </c>
      <c r="D1583" s="2" t="s">
        <v>1568</v>
      </c>
      <c r="E1583" s="2" t="s">
        <v>1576</v>
      </c>
      <c r="F1583" s="22" t="s">
        <v>292</v>
      </c>
      <c r="G1583" s="22" t="s">
        <v>292</v>
      </c>
      <c r="H1583" s="22" t="s">
        <v>292</v>
      </c>
      <c r="I1583" s="22" t="s">
        <v>292</v>
      </c>
      <c r="J1583" s="22" t="s">
        <v>292</v>
      </c>
      <c r="K1583" s="22" t="s">
        <v>292</v>
      </c>
      <c r="L1583" s="22" t="s">
        <v>292</v>
      </c>
      <c r="M1583" s="22" t="s">
        <v>292</v>
      </c>
      <c r="N1583" s="22" t="s">
        <v>292</v>
      </c>
      <c r="O1583" s="22" t="s">
        <v>292</v>
      </c>
      <c r="P1583" s="22" t="s">
        <v>292</v>
      </c>
      <c r="Q1583" s="22" t="s">
        <v>292</v>
      </c>
      <c r="S1583" s="3"/>
    </row>
    <row r="1584" spans="2:19" x14ac:dyDescent="0.5">
      <c r="B1584" t="str">
        <f t="shared" si="1740"/>
        <v>SPS1</v>
      </c>
      <c r="C1584" t="str">
        <f t="shared" si="1741"/>
        <v>CH</v>
      </c>
      <c r="D1584" t="s">
        <v>1569</v>
      </c>
      <c r="E1584" t="s">
        <v>1576</v>
      </c>
      <c r="F1584" s="1">
        <f>IFERROR(F1574/F1548,"-")</f>
        <v>0.68922285337539668</v>
      </c>
      <c r="G1584" s="1">
        <f t="shared" ref="G1584:K1584" si="1766">IFERROR(G1574/G1548,"-")</f>
        <v>0.69564643130450599</v>
      </c>
      <c r="H1584" s="1">
        <f t="shared" si="1766"/>
        <v>0.70528179819816972</v>
      </c>
      <c r="I1584" s="1">
        <f t="shared" si="1766"/>
        <v>0.70528179819817027</v>
      </c>
      <c r="J1584" s="1" t="str">
        <f t="shared" si="1766"/>
        <v>-</v>
      </c>
      <c r="K1584" s="1" t="str">
        <f t="shared" si="1766"/>
        <v>-</v>
      </c>
      <c r="L1584" s="1" t="str">
        <f t="shared" ref="L1584:O1584" si="1767">IFERROR(L1574/L1548,"-")</f>
        <v>-</v>
      </c>
      <c r="M1584" s="1" t="str">
        <f t="shared" si="1767"/>
        <v>-</v>
      </c>
      <c r="N1584" s="1" t="str">
        <f t="shared" si="1767"/>
        <v>-</v>
      </c>
      <c r="O1584" s="1" t="str">
        <f t="shared" si="1767"/>
        <v>-</v>
      </c>
      <c r="P1584" s="1" t="str">
        <f>IFERROR(P1574/P1548,"-")</f>
        <v>-</v>
      </c>
      <c r="Q1584" s="1" t="str">
        <f>IFERROR(Q1574/Q1548,"-")</f>
        <v>-</v>
      </c>
      <c r="S1584" s="3"/>
    </row>
    <row r="1585" spans="2:19" x14ac:dyDescent="0.5">
      <c r="B1585" t="str">
        <f t="shared" si="1740"/>
        <v>SPS1</v>
      </c>
      <c r="C1585" t="str">
        <f t="shared" si="1741"/>
        <v>CH</v>
      </c>
      <c r="D1585" t="s">
        <v>1570</v>
      </c>
      <c r="E1585" t="s">
        <v>1576</v>
      </c>
      <c r="F1585" s="1">
        <f>IFERROR(F1575/F1549,"-")</f>
        <v>0.68135756995377361</v>
      </c>
      <c r="G1585" s="1">
        <f t="shared" ref="G1585:K1585" si="1768">IFERROR(G1575/G1549,"-")</f>
        <v>0.68135756995377306</v>
      </c>
      <c r="H1585" s="1">
        <f t="shared" si="1768"/>
        <v>0.68135756995377328</v>
      </c>
      <c r="I1585" s="1">
        <f t="shared" si="1768"/>
        <v>0.68135756995377361</v>
      </c>
      <c r="J1585" s="1">
        <f t="shared" si="1768"/>
        <v>0.68135756995377317</v>
      </c>
      <c r="K1585" s="1">
        <f t="shared" si="1768"/>
        <v>0.68135756995377361</v>
      </c>
      <c r="L1585" s="1">
        <f t="shared" ref="L1585:O1585" si="1769">IFERROR(L1575/L1549,"-")</f>
        <v>0.68135756995377172</v>
      </c>
      <c r="M1585" s="1">
        <f t="shared" si="1769"/>
        <v>0.68135756995377317</v>
      </c>
      <c r="N1585" s="1">
        <f t="shared" si="1769"/>
        <v>0.68135756995377217</v>
      </c>
      <c r="O1585" s="1">
        <f t="shared" si="1769"/>
        <v>0.68135756995377295</v>
      </c>
      <c r="P1585" s="1">
        <f>IFERROR(P1575/P1549,"-")</f>
        <v>0.68135756995377361</v>
      </c>
      <c r="Q1585" s="1">
        <f>IFERROR(Q1575/Q1549,"-")</f>
        <v>0.6813575699537715</v>
      </c>
      <c r="S1585" s="3"/>
    </row>
    <row r="1586" spans="2:19" x14ac:dyDescent="0.5">
      <c r="B1586" t="str">
        <f t="shared" si="1740"/>
        <v>SPS1</v>
      </c>
      <c r="C1586" t="str">
        <f t="shared" si="1741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770">IFERROR(G1576/G1551,"-")</f>
        <v>0.46510343171505458</v>
      </c>
      <c r="H1586" s="1">
        <f t="shared" si="1770"/>
        <v>0.47204089172853919</v>
      </c>
      <c r="I1586" s="1" t="str">
        <f t="shared" si="1770"/>
        <v>-</v>
      </c>
      <c r="J1586" s="1">
        <f t="shared" si="1770"/>
        <v>0.5531079460030256</v>
      </c>
      <c r="K1586" s="1">
        <f t="shared" si="1770"/>
        <v>0.56881822259197257</v>
      </c>
      <c r="L1586" s="1" t="str">
        <f t="shared" ref="L1586:O1586" si="1771">IFERROR(L1576/L1551,"-")</f>
        <v>-</v>
      </c>
      <c r="M1586" s="1">
        <f t="shared" si="1771"/>
        <v>0.60480257429318762</v>
      </c>
      <c r="N1586" s="1" t="str">
        <f t="shared" si="1771"/>
        <v>-</v>
      </c>
      <c r="O1586" s="1" t="str">
        <f t="shared" si="1771"/>
        <v>-</v>
      </c>
      <c r="P1586" s="1">
        <f>IFERROR(P1576/P1551,"-")</f>
        <v>0.60480257429318796</v>
      </c>
      <c r="Q1586" s="1">
        <f>IFERROR(Q1576/Q1551,"-")</f>
        <v>0.60480257429318807</v>
      </c>
      <c r="S1586" s="3"/>
    </row>
    <row r="1587" spans="2:19" x14ac:dyDescent="0.5">
      <c r="B1587" t="str">
        <f t="shared" si="1740"/>
        <v>SPS1</v>
      </c>
      <c r="C1587" t="str">
        <f t="shared" si="1741"/>
        <v>CH</v>
      </c>
      <c r="D1587" t="s">
        <v>1591</v>
      </c>
      <c r="E1587" t="s">
        <v>1576</v>
      </c>
      <c r="F1587" s="1">
        <f>IFERROR(F1577/F1557,"-")</f>
        <v>0.27758325613681012</v>
      </c>
      <c r="G1587" s="1">
        <f t="shared" ref="G1587:K1587" si="1772">IFERROR(G1577/G1557,"-")</f>
        <v>0.28017034051580098</v>
      </c>
      <c r="H1587" s="1">
        <f t="shared" si="1772"/>
        <v>0.28405096708428679</v>
      </c>
      <c r="I1587" s="1">
        <f t="shared" si="1772"/>
        <v>0.2840509670842869</v>
      </c>
      <c r="J1587" s="1" t="str">
        <f t="shared" si="1772"/>
        <v>-</v>
      </c>
      <c r="K1587" s="1" t="str">
        <f t="shared" si="1772"/>
        <v>-</v>
      </c>
      <c r="L1587" s="1" t="str">
        <f t="shared" ref="L1587:O1587" si="1773">IFERROR(L1577/L1557,"-")</f>
        <v>-</v>
      </c>
      <c r="M1587" s="1" t="str">
        <f t="shared" si="1773"/>
        <v>-</v>
      </c>
      <c r="N1587" s="1" t="str">
        <f t="shared" si="1773"/>
        <v>-</v>
      </c>
      <c r="O1587" s="1" t="str">
        <f t="shared" si="1773"/>
        <v>-</v>
      </c>
      <c r="P1587" s="1" t="str">
        <f>IFERROR(P1577/P1557,"-")</f>
        <v>-</v>
      </c>
      <c r="Q1587" s="1" t="str">
        <f>IFERROR(Q1577/Q1557,"-")</f>
        <v>-</v>
      </c>
      <c r="S1587" s="3"/>
    </row>
    <row r="1588" spans="2:19" x14ac:dyDescent="0.5">
      <c r="B1588" t="str">
        <f t="shared" si="1740"/>
        <v>SPS1</v>
      </c>
      <c r="C1588" t="str">
        <f t="shared" si="1741"/>
        <v>CH</v>
      </c>
      <c r="D1588" t="s">
        <v>1592</v>
      </c>
      <c r="E1588" t="s">
        <v>1576</v>
      </c>
      <c r="F1588" s="1">
        <f>IFERROR(F1578/F1558,"-")</f>
        <v>0.35122961215622045</v>
      </c>
      <c r="G1588" s="1">
        <f t="shared" ref="G1588:K1588" si="1774">IFERROR(G1578/G1558,"-")</f>
        <v>0.35122961215622045</v>
      </c>
      <c r="H1588" s="1">
        <f t="shared" si="1774"/>
        <v>0.35122961215622112</v>
      </c>
      <c r="I1588" s="1">
        <f t="shared" si="1774"/>
        <v>0.35122961215622089</v>
      </c>
      <c r="J1588" s="1">
        <f t="shared" si="1774"/>
        <v>0.35122961215622112</v>
      </c>
      <c r="K1588" s="1">
        <f t="shared" si="1774"/>
        <v>0.351229612156221</v>
      </c>
      <c r="L1588" s="1" t="str">
        <f t="shared" ref="L1588:O1588" si="1775">IFERROR(L1578/L1558,"-")</f>
        <v>-</v>
      </c>
      <c r="M1588" s="1" t="str">
        <f t="shared" si="1775"/>
        <v>-</v>
      </c>
      <c r="N1588" s="1" t="str">
        <f t="shared" si="1775"/>
        <v>-</v>
      </c>
      <c r="O1588" s="1" t="str">
        <f t="shared" si="1775"/>
        <v>-</v>
      </c>
      <c r="P1588" s="1" t="str">
        <f>IFERROR(P1578/P1558,"-")</f>
        <v>-</v>
      </c>
      <c r="Q1588" s="1" t="str">
        <f>IFERROR(Q1578/Q1558,"-")</f>
        <v>-</v>
      </c>
      <c r="S1588" s="3"/>
    </row>
    <row r="1589" spans="2:19" x14ac:dyDescent="0.5">
      <c r="B1589" t="str">
        <f t="shared" si="1740"/>
        <v>SPS1</v>
      </c>
      <c r="C1589" t="str">
        <f t="shared" si="1741"/>
        <v>CH</v>
      </c>
      <c r="D1589" t="s">
        <v>1572</v>
      </c>
      <c r="E1589" t="s">
        <v>1576</v>
      </c>
      <c r="F1589" s="1">
        <f>IFERROR(F1579/F1564,"-")</f>
        <v>0.25903663625928697</v>
      </c>
      <c r="G1589" s="1">
        <f t="shared" ref="G1589:K1589" si="1776">IFERROR(G1579/G1564,"-")</f>
        <v>0.26793746277611191</v>
      </c>
      <c r="H1589" s="1">
        <f t="shared" si="1776"/>
        <v>0.2812887025513503</v>
      </c>
      <c r="I1589" s="1">
        <f t="shared" si="1776"/>
        <v>0.28128870255134991</v>
      </c>
      <c r="J1589" s="1" t="str">
        <f t="shared" si="1776"/>
        <v>-</v>
      </c>
      <c r="K1589" s="1" t="str">
        <f t="shared" si="1776"/>
        <v>-</v>
      </c>
      <c r="L1589" s="1" t="str">
        <f t="shared" ref="L1589:O1589" si="1777">IFERROR(L1579/L1564,"-")</f>
        <v>-</v>
      </c>
      <c r="M1589" s="1" t="str">
        <f t="shared" si="1777"/>
        <v>-</v>
      </c>
      <c r="N1589" s="1" t="str">
        <f t="shared" si="1777"/>
        <v>-</v>
      </c>
      <c r="O1589" s="1" t="str">
        <f t="shared" si="1777"/>
        <v>-</v>
      </c>
      <c r="P1589" s="1" t="str">
        <f t="shared" ref="P1589:Q1591" si="1778">IFERROR(P1579/P1564,"-")</f>
        <v>-</v>
      </c>
      <c r="Q1589" s="1" t="str">
        <f t="shared" si="1778"/>
        <v>-</v>
      </c>
      <c r="S1589" s="3"/>
    </row>
    <row r="1590" spans="2:19" x14ac:dyDescent="0.5">
      <c r="B1590" t="str">
        <f t="shared" si="1740"/>
        <v>SPS1</v>
      </c>
      <c r="C1590" t="str">
        <f t="shared" si="1741"/>
        <v>CH</v>
      </c>
      <c r="D1590" t="s">
        <v>1573</v>
      </c>
      <c r="E1590" t="s">
        <v>1576</v>
      </c>
      <c r="F1590" s="1">
        <f>IFERROR(F1580/F1565,"-")</f>
        <v>0.34211451343153276</v>
      </c>
      <c r="G1590" s="1">
        <f t="shared" ref="G1590:K1590" si="1779">IFERROR(G1580/G1565,"-")</f>
        <v>0.34211451343153187</v>
      </c>
      <c r="H1590" s="1">
        <f t="shared" si="1779"/>
        <v>0.34211451343153337</v>
      </c>
      <c r="I1590" s="1">
        <f t="shared" si="1779"/>
        <v>0.3421145134315331</v>
      </c>
      <c r="J1590" s="1">
        <f t="shared" si="1779"/>
        <v>0.34211451343153215</v>
      </c>
      <c r="K1590" s="1">
        <f t="shared" si="1779"/>
        <v>0.34211451343153193</v>
      </c>
      <c r="L1590" s="1" t="str">
        <f t="shared" ref="L1590:O1590" si="1780">IFERROR(L1580/L1565,"-")</f>
        <v>-</v>
      </c>
      <c r="M1590" s="1" t="str">
        <f t="shared" si="1780"/>
        <v>-</v>
      </c>
      <c r="N1590" s="1" t="str">
        <f t="shared" si="1780"/>
        <v>-</v>
      </c>
      <c r="O1590" s="1" t="str">
        <f t="shared" si="1780"/>
        <v>-</v>
      </c>
      <c r="P1590" s="1" t="str">
        <f t="shared" si="1778"/>
        <v>-</v>
      </c>
      <c r="Q1590" s="1" t="str">
        <f t="shared" si="1778"/>
        <v>-</v>
      </c>
      <c r="S1590" s="3"/>
    </row>
    <row r="1591" spans="2:19" x14ac:dyDescent="0.5">
      <c r="B1591" t="str">
        <f t="shared" si="1740"/>
        <v>SPS1</v>
      </c>
      <c r="C1591" t="str">
        <f t="shared" si="1741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781">IFERROR(G1581/G1566,"-")</f>
        <v>0.46076759264650829</v>
      </c>
      <c r="H1591" s="1">
        <f t="shared" si="1781"/>
        <v>0.46076759264650824</v>
      </c>
      <c r="I1591" s="1">
        <f t="shared" si="1781"/>
        <v>0.46076759264650818</v>
      </c>
      <c r="J1591" s="1">
        <f t="shared" si="1781"/>
        <v>0.46076759264650791</v>
      </c>
      <c r="K1591" s="1">
        <f t="shared" si="1781"/>
        <v>0.46076759264650763</v>
      </c>
      <c r="L1591" s="1" t="str">
        <f t="shared" ref="L1591:O1591" si="1782">IFERROR(L1581/L1566,"-")</f>
        <v>-</v>
      </c>
      <c r="M1591" s="1" t="str">
        <f t="shared" si="1782"/>
        <v>-</v>
      </c>
      <c r="N1591" s="1" t="str">
        <f t="shared" si="1782"/>
        <v>-</v>
      </c>
      <c r="O1591" s="1" t="str">
        <f t="shared" si="1782"/>
        <v>-</v>
      </c>
      <c r="P1591" s="1" t="str">
        <f t="shared" si="1778"/>
        <v>-</v>
      </c>
      <c r="Q1591" s="1" t="str">
        <f t="shared" si="1778"/>
        <v>-</v>
      </c>
      <c r="S1591" s="3"/>
    </row>
    <row r="1592" spans="2:19" x14ac:dyDescent="0.5">
      <c r="B1592" t="str">
        <f t="shared" si="1740"/>
        <v>SPS1</v>
      </c>
      <c r="C1592" t="str">
        <f t="shared" si="1741"/>
        <v>CH</v>
      </c>
      <c r="D1592" t="s">
        <v>1575</v>
      </c>
      <c r="E1592" t="s">
        <v>1576</v>
      </c>
      <c r="F1592" s="1">
        <f>IFERROR(F1582/F1572,"-")</f>
        <v>0.32057692743517968</v>
      </c>
      <c r="G1592" s="1">
        <f t="shared" ref="G1592:K1592" si="1783">IFERROR(G1582/G1572,"-")</f>
        <v>0.32057692743518001</v>
      </c>
      <c r="H1592" s="1">
        <f t="shared" si="1783"/>
        <v>0.32057692743517957</v>
      </c>
      <c r="I1592" s="1" t="str">
        <f t="shared" si="1783"/>
        <v>-</v>
      </c>
      <c r="J1592" s="1" t="str">
        <f t="shared" si="1783"/>
        <v>-</v>
      </c>
      <c r="K1592" s="1" t="str">
        <f t="shared" si="1783"/>
        <v>-</v>
      </c>
      <c r="L1592" s="1" t="str">
        <f t="shared" ref="L1592:O1592" si="1784">IFERROR(L1582/L1572,"-")</f>
        <v>-</v>
      </c>
      <c r="M1592" s="1" t="str">
        <f t="shared" si="1784"/>
        <v>-</v>
      </c>
      <c r="N1592" s="1" t="str">
        <f t="shared" si="1784"/>
        <v>-</v>
      </c>
      <c r="O1592" s="1" t="str">
        <f t="shared" si="1784"/>
        <v>-</v>
      </c>
      <c r="P1592" s="1" t="str">
        <f>IFERROR(P1582/P1572,"-")</f>
        <v>-</v>
      </c>
      <c r="Q1592" s="1" t="str">
        <f>IFERROR(Q1582/Q1572,"-")</f>
        <v>-</v>
      </c>
      <c r="S1592" s="3"/>
    </row>
    <row r="1593" spans="2:19" x14ac:dyDescent="0.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24.511762137924507</v>
      </c>
      <c r="G1593" s="3">
        <f t="shared" ref="G1593" si="1785">G1594+G1597+G1599+G1606+G1614</f>
        <v>21.03796645492552</v>
      </c>
      <c r="H1593" s="3">
        <f t="shared" ref="H1593" si="1786">H1594+H1597+H1599+H1606+H1614</f>
        <v>20.508999764987468</v>
      </c>
      <c r="I1593" s="3">
        <f t="shared" ref="I1593" si="1787">I1594+I1597+I1599+I1606+I1614</f>
        <v>16.611500857841182</v>
      </c>
      <c r="J1593" s="3">
        <f t="shared" ref="J1593" si="1788">J1594+J1597+J1599+J1606+J1614</f>
        <v>13.555817119359311</v>
      </c>
      <c r="K1593" s="3">
        <f t="shared" ref="K1593" si="1789">K1594+K1597+K1599+K1606+K1614</f>
        <v>13.236371868369007</v>
      </c>
      <c r="L1593" s="3">
        <f t="shared" ref="L1593:O1593" si="1790">L1594+L1597+L1599+L1606+L1614</f>
        <v>10.494907783942493</v>
      </c>
      <c r="M1593" s="3">
        <f t="shared" si="1790"/>
        <v>9.1736282867652825</v>
      </c>
      <c r="N1593" s="3">
        <f t="shared" si="1790"/>
        <v>8.2877121093432962</v>
      </c>
      <c r="O1593" s="3">
        <f t="shared" si="1790"/>
        <v>8.5765245630091851</v>
      </c>
      <c r="P1593" s="3">
        <f>P1594+P1597+P1599+P1606+P1614</f>
        <v>8.8819655942599756</v>
      </c>
      <c r="Q1593" s="3">
        <f>Q1594+Q1597+Q1599+Q1606+Q1614</f>
        <v>9.2296978800262703</v>
      </c>
      <c r="S1593" s="3"/>
    </row>
    <row r="1594" spans="2:19" x14ac:dyDescent="0.5">
      <c r="B1594" t="str">
        <f t="shared" ref="B1594:B1639" si="1791">B1593</f>
        <v>SPS1</v>
      </c>
      <c r="C1594" t="str">
        <f t="shared" ref="C1594:C1639" si="1792">C1593</f>
        <v>CH</v>
      </c>
      <c r="D1594" t="s">
        <v>1597</v>
      </c>
      <c r="E1594" t="str">
        <f>E1593</f>
        <v>PJ/yr.</v>
      </c>
      <c r="F1594" s="1">
        <f>SUM(F1595:F1596)</f>
        <v>5.3788880894823045E-3</v>
      </c>
      <c r="G1594" s="1">
        <f t="shared" ref="G1594" si="1793">SUM(G1595:G1596)</f>
        <v>6.5487969328965438E-3</v>
      </c>
      <c r="H1594" s="1">
        <f t="shared" ref="H1594" si="1794">SUM(H1595:H1596)</f>
        <v>6.6404012622590909E-3</v>
      </c>
      <c r="I1594" s="1">
        <f t="shared" ref="I1594" si="1795">SUM(I1595:I1596)</f>
        <v>2.1774056766570419E-3</v>
      </c>
      <c r="J1594" s="1">
        <f t="shared" ref="J1594" si="1796">SUM(J1595:J1596)</f>
        <v>1.4351794094939585</v>
      </c>
      <c r="K1594" s="1">
        <f t="shared" ref="K1594" si="1797">SUM(K1595:K1596)</f>
        <v>2.4104554026202663</v>
      </c>
      <c r="L1594" s="1">
        <f t="shared" ref="L1594:O1594" si="1798">SUM(L1595:L1596)</f>
        <v>5.5445717257970877</v>
      </c>
      <c r="M1594" s="1">
        <f t="shared" si="1798"/>
        <v>7.171071700378139</v>
      </c>
      <c r="N1594" s="1">
        <f t="shared" si="1798"/>
        <v>8.2876935120252178</v>
      </c>
      <c r="O1594" s="1">
        <f t="shared" si="1798"/>
        <v>8.5765094938113453</v>
      </c>
      <c r="P1594" s="1">
        <f>SUM(P1595:P1596)</f>
        <v>8.8819473621069651</v>
      </c>
      <c r="Q1594" s="1">
        <f>SUM(Q1595:Q1596)</f>
        <v>9.2296707368934854</v>
      </c>
      <c r="S1594" s="3"/>
    </row>
    <row r="1595" spans="2:19" x14ac:dyDescent="0.5">
      <c r="B1595" t="str">
        <f t="shared" si="1791"/>
        <v>SPS1</v>
      </c>
      <c r="C1595" t="str">
        <f t="shared" si="1792"/>
        <v>CH</v>
      </c>
      <c r="D1595" t="s">
        <v>1598</v>
      </c>
      <c r="E1595" t="str">
        <f t="shared" ref="E1595:E1619" si="1799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SUMPRODUCT(("TFHGV-BeVELCExt"=[1]OUT_TransportEnergyCons!$A$3:$A$1000)*1,("Var_Fin"=[1]OUT_TransportEnergyCons!$B$3:$B$1000)*1,ISNUMBER(SEARCH("ELC",[1]OUT_TransportEnergyCons!$C$3:$C$1000))*1,[1]OUT_TransportEnergyCons!H$3:H$1000)</f>
        <v>0</v>
      </c>
      <c r="K1595" s="1" cm="1">
        <f t="array" ref="K1595">SUMPRODUCT(("TFHGV-BeVELCExt"=[1]OUT_TransportEnergyCons!$A$3:$A$1000)*1,("Var_Fin"=[1]OUT_TransportEnergyCons!$B$3:$B$1000)*1,ISNUMBER(SEARCH("ELC",[1]OUT_TransportEnergyCons!$C$3:$C$1000))*1,[1]OUT_TransportEnergyCons!I$3:I$1000)</f>
        <v>0</v>
      </c>
      <c r="L1595" s="1" cm="1">
        <f t="array" ref="L1595">SUMPRODUCT(("TFHGV-BeVELCExt"=[1]OUT_TransportEnergyCons!$A$3:$A$1000)*1,("Var_Fin"=[1]OUT_TransportEnergyCons!$B$3:$B$1000)*1,ISNUMBER(SEARCH("ELC",[1]OUT_TransportEnergyCons!$C$3:$C$1000))*1,[1]OUT_TransportEnergyCons!J$3:J$1000)</f>
        <v>0</v>
      </c>
      <c r="M1595" s="1" cm="1">
        <f t="array" ref="M1595">SUMPRODUCT(("TFHGV-BeVELCExt"=[1]OUT_TransportEnergyCons!$A$3:$A$1000)*1,("Var_Fin"=[1]OUT_TransportEnergyCons!$B$3:$B$1000)*1,ISNUMBER(SEARCH("ELC",[1]OUT_TransportEnergyCons!$C$3:$C$1000))*1,[1]OUT_TransportEnergyCons!K$3:K$1000)</f>
        <v>0</v>
      </c>
      <c r="N1595" s="1" cm="1">
        <f t="array" ref="N1595">SUMPRODUCT(("TFHGV-BeVELCExt"=[1]OUT_TransportEnergyCons!$A$3:$A$1000)*1,("Var_Fin"=[1]OUT_TransportEnergyCons!$B$3:$B$1000)*1,ISNUMBER(SEARCH("ELC",[1]OUT_TransportEnergyCons!$C$3:$C$1000))*1,[1]OUT_TransportEnergyCons!L$3:L$1000)</f>
        <v>0</v>
      </c>
      <c r="O1595" s="1" cm="1">
        <f t="array" ref="O1595">SUMPRODUCT(("TFHGV-BeVELCExt"=[1]OUT_TransportEnergyCons!$A$3:$A$1000)*1,("Var_Fin"=[1]OUT_TransportEnergyCons!$B$3:$B$1000)*1,ISNUMBER(SEARCH("ELC",[1]OUT_TransportEnergyCons!$C$3:$C$1000))*1,[1]OUT_TransportEnergyCons!M$3:M$1000)</f>
        <v>0</v>
      </c>
      <c r="P1595" s="1" cm="1">
        <f t="array" ref="P1595">SUMPRODUCT(("TFHGV-BeVELCExt"=[1]OUT_TransportEnergyCons!$A$3:$A$1000)*1,("Var_Fin"=[1]OUT_TransportEnergyCons!$B$3:$B$1000)*1,ISNUMBER(SEARCH("ELC",[1]OUT_TransportEnergyCons!$C$3:$C$1000))*1,[1]OUT_TransportEnergyCons!N$3:N$1000)</f>
        <v>0</v>
      </c>
      <c r="Q1595" s="1" cm="1">
        <f t="array" ref="Q1595">SUMPRODUCT(("TFHGV-BeVELCExt"=[1]OUT_TransportEnergyCons!$A$3:$A$1000)*1,("Var_Fin"=[1]OUT_TransportEnergyCons!$B$3:$B$1000)*1,ISNUMBER(SEARCH("ELC",[1]OUT_TransportEnergyCons!$C$3:$C$1000))*1,[1]OUT_TransportEnergyCons!O$3:O$1000)</f>
        <v>0</v>
      </c>
      <c r="S1595" s="3"/>
    </row>
    <row r="1596" spans="2:19" x14ac:dyDescent="0.5">
      <c r="B1596" t="str">
        <f t="shared" si="1791"/>
        <v>SPS1</v>
      </c>
      <c r="C1596" t="str">
        <f t="shared" si="1792"/>
        <v>CH</v>
      </c>
      <c r="D1596" t="s">
        <v>1599</v>
      </c>
      <c r="E1596" t="str">
        <f t="shared" si="1799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5.3788880894823045E-3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6.5487969328965438E-3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6.6404012622590909E-3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2.1774056766570419E-3</v>
      </c>
      <c r="J1596" s="1" cm="1">
        <f t="array" ref="J1596">SUMPRODUCT(("TFHGV-BEVELC"=[1]OUT_TransportEnergyCons!$A$3:$A$1000)*1,("Var_Fin"=[1]OUT_TransportEnergyCons!$B$3:$B$1000)*1,ISNUMBER(SEARCH("ELC",[1]OUT_TransportEnergyCons!$C$3:$C$1000))*1,[1]OUT_TransportEnergyCons!H$3:H$1000)</f>
        <v>1.4351794094939585</v>
      </c>
      <c r="K1596" s="1" cm="1">
        <f t="array" ref="K1596">SUMPRODUCT(("TFHGV-BEVELC"=[1]OUT_TransportEnergyCons!$A$3:$A$1000)*1,("Var_Fin"=[1]OUT_TransportEnergyCons!$B$3:$B$1000)*1,ISNUMBER(SEARCH("ELC",[1]OUT_TransportEnergyCons!$C$3:$C$1000))*1,[1]OUT_TransportEnergyCons!I$3:I$1000)</f>
        <v>2.4104554026202663</v>
      </c>
      <c r="L1596" s="1" cm="1">
        <f t="array" ref="L1596">SUMPRODUCT(("TFHGV-BEVELC"=[1]OUT_TransportEnergyCons!$A$3:$A$1000)*1,("Var_Fin"=[1]OUT_TransportEnergyCons!$B$3:$B$1000)*1,ISNUMBER(SEARCH("ELC",[1]OUT_TransportEnergyCons!$C$3:$C$1000))*1,[1]OUT_TransportEnergyCons!J$3:J$1000)</f>
        <v>5.5445717257970877</v>
      </c>
      <c r="M1596" s="1" cm="1">
        <f t="array" ref="M1596">SUMPRODUCT(("TFHGV-BEVELC"=[1]OUT_TransportEnergyCons!$A$3:$A$1000)*1,("Var_Fin"=[1]OUT_TransportEnergyCons!$B$3:$B$1000)*1,ISNUMBER(SEARCH("ELC",[1]OUT_TransportEnergyCons!$C$3:$C$1000))*1,[1]OUT_TransportEnergyCons!K$3:K$1000)</f>
        <v>7.171071700378139</v>
      </c>
      <c r="N1596" s="1" cm="1">
        <f t="array" ref="N1596">SUMPRODUCT(("TFHGV-BEVELC"=[1]OUT_TransportEnergyCons!$A$3:$A$1000)*1,("Var_Fin"=[1]OUT_TransportEnergyCons!$B$3:$B$1000)*1,ISNUMBER(SEARCH("ELC",[1]OUT_TransportEnergyCons!$C$3:$C$1000))*1,[1]OUT_TransportEnergyCons!L$3:L$1000)</f>
        <v>8.2876935120252178</v>
      </c>
      <c r="O1596" s="1" cm="1">
        <f t="array" ref="O1596">SUMPRODUCT(("TFHGV-BEVELC"=[1]OUT_TransportEnergyCons!$A$3:$A$1000)*1,("Var_Fin"=[1]OUT_TransportEnergyCons!$B$3:$B$1000)*1,ISNUMBER(SEARCH("ELC",[1]OUT_TransportEnergyCons!$C$3:$C$1000))*1,[1]OUT_TransportEnergyCons!M$3:M$1000)</f>
        <v>8.5765094938113453</v>
      </c>
      <c r="P1596" s="1" cm="1">
        <f t="array" ref="P1596">SUMPRODUCT(("TFHGV-BEVELC"=[1]OUT_TransportEnergyCons!$A$3:$A$1000)*1,("Var_Fin"=[1]OUT_TransportEnergyCons!$B$3:$B$1000)*1,ISNUMBER(SEARCH("ELC",[1]OUT_TransportEnergyCons!$C$3:$C$1000))*1,[1]OUT_TransportEnergyCons!N$3:N$1000)</f>
        <v>8.8819473621069651</v>
      </c>
      <c r="Q1596" s="1" cm="1">
        <f t="array" ref="Q1596">SUMPRODUCT(("TFHGV-BEVELC"=[1]OUT_TransportEnergyCons!$A$3:$A$1000)*1,("Var_Fin"=[1]OUT_TransportEnergyCons!$B$3:$B$1000)*1,ISNUMBER(SEARCH("ELC",[1]OUT_TransportEnergyCons!$C$3:$C$1000))*1,[1]OUT_TransportEnergyCons!O$3:O$1000)</f>
        <v>9.2296707368934854</v>
      </c>
      <c r="S1596" s="3"/>
    </row>
    <row r="1597" spans="2:19" x14ac:dyDescent="0.5">
      <c r="B1597" t="str">
        <f t="shared" si="1791"/>
        <v>SPS1</v>
      </c>
      <c r="C1597" t="str">
        <f t="shared" si="1792"/>
        <v>CH</v>
      </c>
      <c r="D1597" t="s">
        <v>1600</v>
      </c>
      <c r="E1597" t="str">
        <f t="shared" si="1799"/>
        <v>PJ/yr.</v>
      </c>
      <c r="F1597" s="1">
        <f>F1598</f>
        <v>2.526204669792051E-3</v>
      </c>
      <c r="G1597" s="1">
        <f t="shared" ref="G1597" si="1800">G1598</f>
        <v>7.8762177993843693E-4</v>
      </c>
      <c r="H1597" s="1">
        <f t="shared" ref="H1597" si="1801">H1598</f>
        <v>7.8431507475555304E-4</v>
      </c>
      <c r="I1597" s="1">
        <f t="shared" ref="I1597" si="1802">I1598</f>
        <v>2.4284368084118991E-5</v>
      </c>
      <c r="J1597" s="1">
        <f t="shared" ref="J1597" si="1803">J1598</f>
        <v>2.8467016312362458E-5</v>
      </c>
      <c r="K1597" s="1">
        <f t="shared" ref="K1597:O1597" si="1804">K1598</f>
        <v>2.5096554862296434E-5</v>
      </c>
      <c r="L1597" s="1">
        <f t="shared" si="1804"/>
        <v>2.2452438270123221E-5</v>
      </c>
      <c r="M1597" s="1">
        <f t="shared" si="1804"/>
        <v>2.0117708711621521E-5</v>
      </c>
      <c r="N1597" s="1">
        <f t="shared" si="1804"/>
        <v>1.8597318079258233E-5</v>
      </c>
      <c r="O1597" s="1">
        <f t="shared" si="1804"/>
        <v>1.5069197840362757E-5</v>
      </c>
      <c r="P1597" s="1">
        <f>P1598</f>
        <v>1.8232153010318053E-5</v>
      </c>
      <c r="Q1597" s="1">
        <f>Q1598</f>
        <v>2.7143132785313212E-5</v>
      </c>
      <c r="S1597" s="3"/>
    </row>
    <row r="1598" spans="2:19" x14ac:dyDescent="0.5">
      <c r="B1598" t="str">
        <f t="shared" si="1791"/>
        <v>SPS1</v>
      </c>
      <c r="C1598" t="str">
        <f t="shared" si="1792"/>
        <v>CH</v>
      </c>
      <c r="D1598" t="s">
        <v>1601</v>
      </c>
      <c r="E1598" t="str">
        <f t="shared" si="1799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2.526204669792051E-3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7.8762177993843693E-4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7.8431507475555304E-4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2.4284368084118991E-5</v>
      </c>
      <c r="J1598" s="1" cm="1">
        <f t="array" ref="J1598">SUMPRODUCT(("TFHGV-FCLH2O"=[1]OUT_TransportEnergyCons!$A$3:$A$1000)*1,("Var_Fin"=[1]OUT_TransportEnergyCons!$B$3:$B$1000)*1,ISNUMBER(SEARCH("h2",[1]OUT_TransportEnergyCons!$C$3:$C$1000))*1,[1]OUT_TransportEnergyCons!H$3:H$1000)</f>
        <v>2.8467016312362458E-5</v>
      </c>
      <c r="K1598" s="1" cm="1">
        <f t="array" ref="K1598">SUMPRODUCT(("TFHGV-FCLH2O"=[1]OUT_TransportEnergyCons!$A$3:$A$1000)*1,("Var_Fin"=[1]OUT_TransportEnergyCons!$B$3:$B$1000)*1,ISNUMBER(SEARCH("h2",[1]OUT_TransportEnergyCons!$C$3:$C$1000))*1,[1]OUT_TransportEnergyCons!I$3:I$1000)</f>
        <v>2.5096554862296434E-5</v>
      </c>
      <c r="L1598" s="1" cm="1">
        <f t="array" ref="L1598">SUMPRODUCT(("TFHGV-FCLH2O"=[1]OUT_TransportEnergyCons!$A$3:$A$1000)*1,("Var_Fin"=[1]OUT_TransportEnergyCons!$B$3:$B$1000)*1,ISNUMBER(SEARCH("h2",[1]OUT_TransportEnergyCons!$C$3:$C$1000))*1,[1]OUT_TransportEnergyCons!J$3:J$1000)</f>
        <v>2.2452438270123221E-5</v>
      </c>
      <c r="M1598" s="1" cm="1">
        <f t="array" ref="M1598">SUMPRODUCT(("TFHGV-FCLH2O"=[1]OUT_TransportEnergyCons!$A$3:$A$1000)*1,("Var_Fin"=[1]OUT_TransportEnergyCons!$B$3:$B$1000)*1,ISNUMBER(SEARCH("h2",[1]OUT_TransportEnergyCons!$C$3:$C$1000))*1,[1]OUT_TransportEnergyCons!K$3:K$1000)</f>
        <v>2.0117708711621521E-5</v>
      </c>
      <c r="N1598" s="1" cm="1">
        <f t="array" ref="N1598">SUMPRODUCT(("TFHGV-FCLH2O"=[1]OUT_TransportEnergyCons!$A$3:$A$1000)*1,("Var_Fin"=[1]OUT_TransportEnergyCons!$B$3:$B$1000)*1,ISNUMBER(SEARCH("h2",[1]OUT_TransportEnergyCons!$C$3:$C$1000))*1,[1]OUT_TransportEnergyCons!L$3:L$1000)</f>
        <v>1.8597318079258233E-5</v>
      </c>
      <c r="O1598" s="1" cm="1">
        <f t="array" ref="O1598">SUMPRODUCT(("TFHGV-FCLH2O"=[1]OUT_TransportEnergyCons!$A$3:$A$1000)*1,("Var_Fin"=[1]OUT_TransportEnergyCons!$B$3:$B$1000)*1,ISNUMBER(SEARCH("h2",[1]OUT_TransportEnergyCons!$C$3:$C$1000))*1,[1]OUT_TransportEnergyCons!M$3:M$1000)</f>
        <v>1.5069197840362757E-5</v>
      </c>
      <c r="P1598" s="1" cm="1">
        <f t="array" ref="P1598">SUMPRODUCT(("TFHGV-FCLH2O"=[1]OUT_TransportEnergyCons!$A$3:$A$1000)*1,("Var_Fin"=[1]OUT_TransportEnergyCons!$B$3:$B$1000)*1,ISNUMBER(SEARCH("h2",[1]OUT_TransportEnergyCons!$C$3:$C$1000))*1,[1]OUT_TransportEnergyCons!N$3:N$1000)</f>
        <v>1.8232153010318053E-5</v>
      </c>
      <c r="Q1598" s="1" cm="1">
        <f t="array" ref="Q1598">SUMPRODUCT(("TFHGV-FCLH2O"=[1]OUT_TransportEnergyCons!$A$3:$A$1000)*1,("Var_Fin"=[1]OUT_TransportEnergyCons!$B$3:$B$1000)*1,ISNUMBER(SEARCH("h2",[1]OUT_TransportEnergyCons!$C$3:$C$1000))*1,[1]OUT_TransportEnergyCons!O$3:O$1000)</f>
        <v>2.7143132785313212E-5</v>
      </c>
      <c r="S1598" s="3"/>
    </row>
    <row r="1599" spans="2:19" x14ac:dyDescent="0.5">
      <c r="B1599" t="str">
        <f t="shared" si="1791"/>
        <v>SPS1</v>
      </c>
      <c r="C1599" t="str">
        <f t="shared" si="1792"/>
        <v>CH</v>
      </c>
      <c r="D1599" t="s">
        <v>1602</v>
      </c>
      <c r="E1599" t="str">
        <f t="shared" si="1799"/>
        <v>PJ/yr.</v>
      </c>
      <c r="F1599" s="1">
        <f>SUM(F1604:F1605)</f>
        <v>0</v>
      </c>
      <c r="G1599" s="1">
        <f t="shared" ref="G1599:K1599" si="1805">SUM(G1604:G1605)</f>
        <v>0</v>
      </c>
      <c r="H1599" s="1">
        <f t="shared" si="1805"/>
        <v>0</v>
      </c>
      <c r="I1599" s="1">
        <f t="shared" si="1805"/>
        <v>0</v>
      </c>
      <c r="J1599" s="1">
        <f t="shared" si="1805"/>
        <v>0</v>
      </c>
      <c r="K1599" s="1">
        <f t="shared" si="1805"/>
        <v>0</v>
      </c>
      <c r="L1599" s="1">
        <f t="shared" ref="L1599:O1599" si="1806">SUM(L1604:L1605)</f>
        <v>0</v>
      </c>
      <c r="M1599" s="1">
        <f t="shared" si="1806"/>
        <v>0</v>
      </c>
      <c r="N1599" s="1">
        <f t="shared" si="1806"/>
        <v>0</v>
      </c>
      <c r="O1599" s="1">
        <f t="shared" si="1806"/>
        <v>0</v>
      </c>
      <c r="P1599" s="1">
        <f>SUM(P1604:P1605)</f>
        <v>0</v>
      </c>
      <c r="Q1599" s="1">
        <f>SUM(Q1604:Q1605)</f>
        <v>0</v>
      </c>
      <c r="S1599" s="3"/>
    </row>
    <row r="1600" spans="2:19" x14ac:dyDescent="0.5">
      <c r="B1600" t="str">
        <f t="shared" si="1791"/>
        <v>SPS1</v>
      </c>
      <c r="C1600" t="str">
        <f t="shared" si="1792"/>
        <v>CH</v>
      </c>
      <c r="D1600" t="s">
        <v>1603</v>
      </c>
      <c r="E1600" t="str">
        <f t="shared" si="1799"/>
        <v>PJ/yr.</v>
      </c>
      <c r="F1600" s="1">
        <f>F1599-F1601</f>
        <v>0</v>
      </c>
      <c r="G1600" s="1">
        <f t="shared" ref="G1600:K1600" si="1807">G1599-G1601</f>
        <v>0</v>
      </c>
      <c r="H1600" s="1">
        <f t="shared" si="1807"/>
        <v>0</v>
      </c>
      <c r="I1600" s="1">
        <f t="shared" si="1807"/>
        <v>0</v>
      </c>
      <c r="J1600" s="1">
        <f t="shared" si="1807"/>
        <v>0</v>
      </c>
      <c r="K1600" s="1">
        <f t="shared" si="1807"/>
        <v>0</v>
      </c>
      <c r="L1600" s="1">
        <f t="shared" ref="L1600:O1600" si="1808">L1599-L1601</f>
        <v>0</v>
      </c>
      <c r="M1600" s="1">
        <f t="shared" si="1808"/>
        <v>0</v>
      </c>
      <c r="N1600" s="1">
        <f t="shared" si="1808"/>
        <v>0</v>
      </c>
      <c r="O1600" s="1">
        <f t="shared" si="1808"/>
        <v>0</v>
      </c>
      <c r="P1600" s="1">
        <f>P1599-P1601</f>
        <v>0</v>
      </c>
      <c r="Q1600" s="1">
        <f>Q1599-Q1601</f>
        <v>0</v>
      </c>
      <c r="S1600" s="3"/>
    </row>
    <row r="1601" spans="2:19" x14ac:dyDescent="0.5">
      <c r="B1601" t="str">
        <f t="shared" si="1791"/>
        <v>SPS1</v>
      </c>
      <c r="C1601" t="str">
        <f t="shared" si="1792"/>
        <v>CH</v>
      </c>
      <c r="D1601" t="s">
        <v>1604</v>
      </c>
      <c r="E1601" t="str">
        <f t="shared" si="1799"/>
        <v>PJ/yr.</v>
      </c>
      <c r="F1601" s="1">
        <f>SUM(F1602:F1603)</f>
        <v>0</v>
      </c>
      <c r="G1601" s="1">
        <f t="shared" ref="G1601:K1601" si="1809">SUM(G1602:G1603)</f>
        <v>0</v>
      </c>
      <c r="H1601" s="1">
        <f t="shared" si="1809"/>
        <v>0</v>
      </c>
      <c r="I1601" s="1">
        <f t="shared" si="1809"/>
        <v>0</v>
      </c>
      <c r="J1601" s="1">
        <f t="shared" si="1809"/>
        <v>0</v>
      </c>
      <c r="K1601" s="1">
        <f t="shared" si="1809"/>
        <v>0</v>
      </c>
      <c r="L1601" s="1">
        <f t="shared" ref="L1601:O1601" si="1810">SUM(L1602:L1603)</f>
        <v>0</v>
      </c>
      <c r="M1601" s="1">
        <f t="shared" si="1810"/>
        <v>0</v>
      </c>
      <c r="N1601" s="1">
        <f t="shared" si="1810"/>
        <v>0</v>
      </c>
      <c r="O1601" s="1">
        <f t="shared" si="1810"/>
        <v>0</v>
      </c>
      <c r="P1601" s="1">
        <f>SUM(P1602:P1603)</f>
        <v>0</v>
      </c>
      <c r="Q1601" s="1">
        <f>SUM(Q1602:Q1603)</f>
        <v>0</v>
      </c>
      <c r="S1601" s="3"/>
    </row>
    <row r="1602" spans="2:19" x14ac:dyDescent="0.5">
      <c r="B1602" t="str">
        <f t="shared" si="1791"/>
        <v>SPS1</v>
      </c>
      <c r="C1602" t="str">
        <f t="shared" si="1792"/>
        <v>CH</v>
      </c>
      <c r="D1602" t="s">
        <v>1605</v>
      </c>
      <c r="E1602" t="str">
        <f t="shared" si="1799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[1]Transport!F$25/SUM([1]Transport!F$21,[1]Transport!F$25)*J1599*(J$35+J$600)/(J$35+J$600+J$39)</f>
        <v>0</v>
      </c>
      <c r="K1602" s="1">
        <f>[1]Transport!G$25/SUM([1]Transport!G$21,[1]Transport!G$25)*K1599*(K$35+K$600)/(K$35+K$600+K$39)</f>
        <v>0</v>
      </c>
      <c r="L1602" s="1">
        <f>[1]Transport!H$25/SUM([1]Transport!H$21,[1]Transport!H$25)*L1599*(L$35+L$600)/(L$35+L$600+L$39)</f>
        <v>0</v>
      </c>
      <c r="M1602" s="1">
        <f>[1]Transport!I$25/SUM([1]Transport!I$21,[1]Transport!I$25)*M1599*(M$35+M$600)/(M$35+M$600+M$39)</f>
        <v>0</v>
      </c>
      <c r="N1602" s="1">
        <f>[1]Transport!J$25/SUM([1]Transport!J$21,[1]Transport!J$25)*N1599*(N$35+N$600)/(N$35+N$600+N$39)</f>
        <v>0</v>
      </c>
      <c r="O1602" s="1">
        <f>[1]Transport!K$25/SUM([1]Transport!K$21,[1]Transport!K$25)*O1599*(O$35+O$600)/(O$35+O$600+O$39)</f>
        <v>0</v>
      </c>
      <c r="P1602" s="1">
        <f>[1]Transport!L$25/SUM([1]Transport!L$21,[1]Transport!L$25)*P1599*(P$35+P$600)/(P$35+P$600+P$39)</f>
        <v>0</v>
      </c>
      <c r="Q1602" s="1">
        <f>[1]Transport!M$25/SUM([1]Transport!M$21,[1]Transport!M$25)*Q1599*(Q$35+Q$600)/(Q$35+Q$600+Q$39)</f>
        <v>0</v>
      </c>
      <c r="S1602" s="3"/>
    </row>
    <row r="1603" spans="2:19" x14ac:dyDescent="0.5">
      <c r="B1603" t="str">
        <f t="shared" si="1791"/>
        <v>SPS1</v>
      </c>
      <c r="C1603" t="str">
        <f t="shared" si="1792"/>
        <v>CH</v>
      </c>
      <c r="D1603" t="s">
        <v>1606</v>
      </c>
      <c r="E1603" t="str">
        <f t="shared" si="1799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(J$39+J$719)/([1]Transport!F$21+[1]Transport!F$25)*J1599</f>
        <v>0</v>
      </c>
      <c r="K1603" s="1">
        <f>(K$39+K$719)/([1]Transport!G$21+[1]Transport!G$25)*K1599</f>
        <v>0</v>
      </c>
      <c r="L1603" s="1">
        <f>(L$39+L$719)/([1]Transport!H$21+[1]Transport!H$25)*L1599</f>
        <v>0</v>
      </c>
      <c r="M1603" s="1">
        <f>(M$39+M$719)/([1]Transport!I$21+[1]Transport!I$25)*M1599</f>
        <v>0</v>
      </c>
      <c r="N1603" s="1">
        <f>(N$39+N$719)/([1]Transport!J$21+[1]Transport!J$25)*N1599</f>
        <v>0</v>
      </c>
      <c r="O1603" s="1">
        <f>(O$39+O$719)/([1]Transport!K$21+[1]Transport!K$25)*O1599</f>
        <v>0</v>
      </c>
      <c r="P1603" s="1">
        <f>(P$39+P$719)/([1]Transport!L$21+[1]Transport!L$25)*P1599</f>
        <v>0</v>
      </c>
      <c r="Q1603" s="1">
        <f>(Q$39+Q$719)/([1]Transport!M$21+[1]Transport!M$25)*Q1599</f>
        <v>0</v>
      </c>
      <c r="S1603" s="3"/>
    </row>
    <row r="1604" spans="2:19" x14ac:dyDescent="0.5">
      <c r="B1604" t="str">
        <f t="shared" si="1791"/>
        <v>SPS1</v>
      </c>
      <c r="C1604" t="str">
        <f t="shared" si="1792"/>
        <v>CH</v>
      </c>
      <c r="D1604" t="s">
        <v>1607</v>
      </c>
      <c r="E1604" t="str">
        <f t="shared" si="1799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SUMPRODUCT(("TFHGV-ICEGSLExt"=[1]OUT_TransportEnergyCons!$A$3:$A$1000)*1,("Var_Fin"=[1]OUT_TransportEnergyCons!$B$3:$B$1000)*1,ISNUMBER(SEARCH("gsl",[1]OUT_TransportEnergyCons!$C$3:$C$1000))*1,[1]OUT_TransportEnergyCons!H$3:H$1000)</f>
        <v>0</v>
      </c>
      <c r="K1604" s="1" cm="1">
        <f t="array" ref="K1604">SUMPRODUCT(("TFHGV-ICEGSLExt"=[1]OUT_TransportEnergyCons!$A$3:$A$1000)*1,("Var_Fin"=[1]OUT_TransportEnergyCons!$B$3:$B$1000)*1,ISNUMBER(SEARCH("gsl",[1]OUT_TransportEnergyCons!$C$3:$C$1000))*1,[1]OUT_TransportEnergyCons!I$3:I$1000)</f>
        <v>0</v>
      </c>
      <c r="L1604" s="1" cm="1">
        <f t="array" ref="L1604">SUMPRODUCT(("TFHGV-ICEGSLExt"=[1]OUT_TransportEnergyCons!$A$3:$A$1000)*1,("Var_Fin"=[1]OUT_TransportEnergyCons!$B$3:$B$1000)*1,ISNUMBER(SEARCH("gsl",[1]OUT_TransportEnergyCons!$C$3:$C$1000))*1,[1]OUT_TransportEnergyCons!J$3:J$1000)</f>
        <v>0</v>
      </c>
      <c r="M1604" s="1" cm="1">
        <f t="array" ref="M1604">SUMPRODUCT(("TFHGV-ICEGSLExt"=[1]OUT_TransportEnergyCons!$A$3:$A$1000)*1,("Var_Fin"=[1]OUT_TransportEnergyCons!$B$3:$B$1000)*1,ISNUMBER(SEARCH("gsl",[1]OUT_TransportEnergyCons!$C$3:$C$1000))*1,[1]OUT_TransportEnergyCons!K$3:K$1000)</f>
        <v>0</v>
      </c>
      <c r="N1604" s="1" cm="1">
        <f t="array" ref="N1604">SUMPRODUCT(("TFHGV-ICEGSLExt"=[1]OUT_TransportEnergyCons!$A$3:$A$1000)*1,("Var_Fin"=[1]OUT_TransportEnergyCons!$B$3:$B$1000)*1,ISNUMBER(SEARCH("gsl",[1]OUT_TransportEnergyCons!$C$3:$C$1000))*1,[1]OUT_TransportEnergyCons!L$3:L$1000)</f>
        <v>0</v>
      </c>
      <c r="O1604" s="1" cm="1">
        <f t="array" ref="O1604">SUMPRODUCT(("TFHGV-ICEGSLExt"=[1]OUT_TransportEnergyCons!$A$3:$A$1000)*1,("Var_Fin"=[1]OUT_TransportEnergyCons!$B$3:$B$1000)*1,ISNUMBER(SEARCH("gsl",[1]OUT_TransportEnergyCons!$C$3:$C$1000))*1,[1]OUT_TransportEnergyCons!M$3:M$1000)</f>
        <v>0</v>
      </c>
      <c r="P1604" s="1" cm="1">
        <f t="array" ref="P1604">SUMPRODUCT(("TFHGV-ICEGSLExt"=[1]OUT_TransportEnergyCons!$A$3:$A$1000)*1,("Var_Fin"=[1]OUT_TransportEnergyCons!$B$3:$B$1000)*1,ISNUMBER(SEARCH("gsl",[1]OUT_TransportEnergyCons!$C$3:$C$1000))*1,[1]OUT_TransportEnergyCons!N$3:N$1000)</f>
        <v>0</v>
      </c>
      <c r="Q1604" s="1" cm="1">
        <f t="array" ref="Q1604">SUMPRODUCT(("TFHGV-ICEGSLExt"=[1]OUT_TransportEnergyCons!$A$3:$A$1000)*1,("Var_Fin"=[1]OUT_TransportEnergyCons!$B$3:$B$1000)*1,ISNUMBER(SEARCH("gsl",[1]OUT_TransportEnergyCons!$C$3:$C$1000))*1,[1]OUT_TransportEnergyCons!O$3:O$1000)</f>
        <v>0</v>
      </c>
      <c r="S1604" s="3"/>
    </row>
    <row r="1605" spans="2:19" x14ac:dyDescent="0.5">
      <c r="B1605" t="str">
        <f t="shared" si="1791"/>
        <v>SPS1</v>
      </c>
      <c r="C1605" t="str">
        <f t="shared" si="1792"/>
        <v>CH</v>
      </c>
      <c r="D1605" t="s">
        <v>1608</v>
      </c>
      <c r="E1605" t="str">
        <f t="shared" si="1799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SUMPRODUCT(("TFHGV-ICEGSL"=[1]OUT_TransportEnergyCons!$A$3:$A$1000)*1,("Var_Fin"=[1]OUT_TransportEnergyCons!$B$3:$B$1000)*1,ISNUMBER(SEARCH("gsl",[1]OUT_TransportEnergyCons!$C$3:$C$1000))*1,[1]OUT_TransportEnergyCons!H$3:H$1000)</f>
        <v>0</v>
      </c>
      <c r="K1605" s="1" cm="1">
        <f t="array" ref="K1605">SUMPRODUCT(("TFHGV-ICEGSL"=[1]OUT_TransportEnergyCons!$A$3:$A$1000)*1,("Var_Fin"=[1]OUT_TransportEnergyCons!$B$3:$B$1000)*1,ISNUMBER(SEARCH("gsl",[1]OUT_TransportEnergyCons!$C$3:$C$1000))*1,[1]OUT_TransportEnergyCons!I$3:I$1000)</f>
        <v>0</v>
      </c>
      <c r="L1605" s="1" cm="1">
        <f t="array" ref="L1605">SUMPRODUCT(("TFHGV-ICEGSL"=[1]OUT_TransportEnergyCons!$A$3:$A$1000)*1,("Var_Fin"=[1]OUT_TransportEnergyCons!$B$3:$B$1000)*1,ISNUMBER(SEARCH("gsl",[1]OUT_TransportEnergyCons!$C$3:$C$1000))*1,[1]OUT_TransportEnergyCons!J$3:J$1000)</f>
        <v>0</v>
      </c>
      <c r="M1605" s="1" cm="1">
        <f t="array" ref="M1605">SUMPRODUCT(("TFHGV-ICEGSL"=[1]OUT_TransportEnergyCons!$A$3:$A$1000)*1,("Var_Fin"=[1]OUT_TransportEnergyCons!$B$3:$B$1000)*1,ISNUMBER(SEARCH("gsl",[1]OUT_TransportEnergyCons!$C$3:$C$1000))*1,[1]OUT_TransportEnergyCons!K$3:K$1000)</f>
        <v>0</v>
      </c>
      <c r="N1605" s="1" cm="1">
        <f t="array" ref="N1605">SUMPRODUCT(("TFHGV-ICEGSL"=[1]OUT_TransportEnergyCons!$A$3:$A$1000)*1,("Var_Fin"=[1]OUT_TransportEnergyCons!$B$3:$B$1000)*1,ISNUMBER(SEARCH("gsl",[1]OUT_TransportEnergyCons!$C$3:$C$1000))*1,[1]OUT_TransportEnergyCons!L$3:L$1000)</f>
        <v>0</v>
      </c>
      <c r="O1605" s="1" cm="1">
        <f t="array" ref="O1605">SUMPRODUCT(("TFHGV-ICEGSL"=[1]OUT_TransportEnergyCons!$A$3:$A$1000)*1,("Var_Fin"=[1]OUT_TransportEnergyCons!$B$3:$B$1000)*1,ISNUMBER(SEARCH("gsl",[1]OUT_TransportEnergyCons!$C$3:$C$1000))*1,[1]OUT_TransportEnergyCons!M$3:M$1000)</f>
        <v>0</v>
      </c>
      <c r="P1605" s="1" cm="1">
        <f t="array" ref="P1605">SUMPRODUCT(("TFHGV-ICEGSL"=[1]OUT_TransportEnergyCons!$A$3:$A$1000)*1,("Var_Fin"=[1]OUT_TransportEnergyCons!$B$3:$B$1000)*1,ISNUMBER(SEARCH("gsl",[1]OUT_TransportEnergyCons!$C$3:$C$1000))*1,[1]OUT_TransportEnergyCons!N$3:N$1000)</f>
        <v>0</v>
      </c>
      <c r="Q1605" s="1" cm="1">
        <f t="array" ref="Q1605">SUMPRODUCT(("TFHGV-ICEGSL"=[1]OUT_TransportEnergyCons!$A$3:$A$1000)*1,("Var_Fin"=[1]OUT_TransportEnergyCons!$B$3:$B$1000)*1,ISNUMBER(SEARCH("gsl",[1]OUT_TransportEnergyCons!$C$3:$C$1000))*1,[1]OUT_TransportEnergyCons!O$3:O$1000)</f>
        <v>0</v>
      </c>
      <c r="S1605" s="3"/>
    </row>
    <row r="1606" spans="2:19" x14ac:dyDescent="0.5">
      <c r="B1606" t="str">
        <f t="shared" si="1791"/>
        <v>SPS1</v>
      </c>
      <c r="C1606" t="str">
        <f t="shared" si="1792"/>
        <v>CH</v>
      </c>
      <c r="D1606" t="s">
        <v>1609</v>
      </c>
      <c r="E1606" t="str">
        <f t="shared" si="1799"/>
        <v>PJ/yr.</v>
      </c>
      <c r="F1606" s="1">
        <f>SUM(F1611:F1613)</f>
        <v>24.493107055785028</v>
      </c>
      <c r="G1606" s="1">
        <f t="shared" ref="G1606:K1606" si="1811">SUM(G1611:G1613)</f>
        <v>21.029720629309072</v>
      </c>
      <c r="H1606" s="1">
        <f t="shared" si="1811"/>
        <v>20.50042007883545</v>
      </c>
      <c r="I1606" s="1">
        <f t="shared" si="1811"/>
        <v>16.608179127271651</v>
      </c>
      <c r="J1606" s="1">
        <f t="shared" si="1811"/>
        <v>12.119596957469179</v>
      </c>
      <c r="K1606" s="1">
        <f t="shared" si="1811"/>
        <v>10.824830213339045</v>
      </c>
      <c r="L1606" s="1">
        <f t="shared" ref="L1606:O1606" si="1812">SUM(L1611:L1613)</f>
        <v>4.9493393699015904</v>
      </c>
      <c r="M1606" s="1">
        <f t="shared" si="1812"/>
        <v>2.0020692121366737</v>
      </c>
      <c r="N1606" s="1">
        <f t="shared" si="1812"/>
        <v>0</v>
      </c>
      <c r="O1606" s="1">
        <f t="shared" si="1812"/>
        <v>0</v>
      </c>
      <c r="P1606" s="1">
        <f>SUM(P1611:P1613)</f>
        <v>0</v>
      </c>
      <c r="Q1606" s="1">
        <f>SUM(Q1611:Q1613)</f>
        <v>0</v>
      </c>
      <c r="S1606" s="3"/>
    </row>
    <row r="1607" spans="2:19" x14ac:dyDescent="0.5">
      <c r="B1607" t="str">
        <f t="shared" si="1791"/>
        <v>SPS1</v>
      </c>
      <c r="C1607" t="str">
        <f t="shared" si="1792"/>
        <v>CH</v>
      </c>
      <c r="D1607" t="s">
        <v>1610</v>
      </c>
      <c r="E1607" t="str">
        <f t="shared" si="1799"/>
        <v>PJ/yr.</v>
      </c>
      <c r="F1607" s="1">
        <f>IF(F1606-F1608&lt;0,0,F1606-F1608)</f>
        <v>23.885557098610303</v>
      </c>
      <c r="G1607" s="1">
        <f t="shared" ref="G1607:K1607" si="1813">IF(G1606-G1608&lt;0,0,G1606-G1608)</f>
        <v>20.477652874686914</v>
      </c>
      <c r="H1607" s="1">
        <f t="shared" si="1813"/>
        <v>19.580383631954476</v>
      </c>
      <c r="I1607" s="1">
        <f t="shared" si="1813"/>
        <v>15.833668865610418</v>
      </c>
      <c r="J1607" s="1">
        <f t="shared" si="1813"/>
        <v>11.198510188708592</v>
      </c>
      <c r="K1607" s="1">
        <f t="shared" si="1813"/>
        <v>9.6259701371799036</v>
      </c>
      <c r="L1607" s="1">
        <f t="shared" ref="L1607:O1607" si="1814">IF(L1606-L1608&lt;0,0,L1606-L1608)</f>
        <v>3.5215916715785696</v>
      </c>
      <c r="M1607" s="1">
        <f t="shared" si="1814"/>
        <v>0</v>
      </c>
      <c r="N1607" s="1">
        <f t="shared" si="1814"/>
        <v>0</v>
      </c>
      <c r="O1607" s="1">
        <f t="shared" si="1814"/>
        <v>0</v>
      </c>
      <c r="P1607" s="1">
        <f>IF(P1606-P1608&lt;0,0,P1606-P1608)</f>
        <v>0</v>
      </c>
      <c r="Q1607" s="1">
        <f>IF(Q1606-Q1608&lt;0,0,Q1606-Q1608)</f>
        <v>0</v>
      </c>
      <c r="S1607" s="3"/>
    </row>
    <row r="1608" spans="2:19" x14ac:dyDescent="0.5">
      <c r="B1608" t="str">
        <f t="shared" si="1791"/>
        <v>SPS1</v>
      </c>
      <c r="C1608" t="str">
        <f t="shared" si="1792"/>
        <v>CH</v>
      </c>
      <c r="D1608" t="s">
        <v>1611</v>
      </c>
      <c r="E1608" t="str">
        <f t="shared" si="1799"/>
        <v>PJ/yr.</v>
      </c>
      <c r="F1608" s="1">
        <f>SUM(F1609:F1610)</f>
        <v>0.60754995717472648</v>
      </c>
      <c r="G1608" s="1">
        <f t="shared" ref="G1608:K1608" si="1815">SUM(G1609:G1610)</f>
        <v>0.5520677546221564</v>
      </c>
      <c r="H1608" s="1">
        <f t="shared" si="1815"/>
        <v>0.92003644688097608</v>
      </c>
      <c r="I1608" s="1">
        <f t="shared" si="1815"/>
        <v>0.77451026166123205</v>
      </c>
      <c r="J1608" s="1">
        <f t="shared" si="1815"/>
        <v>0.92108676876058615</v>
      </c>
      <c r="K1608" s="1">
        <f t="shared" si="1815"/>
        <v>1.1988600761591404</v>
      </c>
      <c r="L1608" s="1">
        <f t="shared" ref="L1608:O1608" si="1816">SUM(L1609:L1610)</f>
        <v>1.4277476983230206</v>
      </c>
      <c r="M1608" s="1">
        <f t="shared" si="1816"/>
        <v>4.2435946709557797</v>
      </c>
      <c r="N1608" s="1">
        <f t="shared" si="1816"/>
        <v>0</v>
      </c>
      <c r="O1608" s="1">
        <f t="shared" si="1816"/>
        <v>0</v>
      </c>
      <c r="P1608" s="1">
        <f>SUM(P1609:P1610)</f>
        <v>0</v>
      </c>
      <c r="Q1608" s="1">
        <f>SUM(Q1609:Q1610)</f>
        <v>0</v>
      </c>
      <c r="S1608" s="3"/>
    </row>
    <row r="1609" spans="2:19" x14ac:dyDescent="0.5">
      <c r="B1609" t="str">
        <f t="shared" si="1791"/>
        <v>SPS1</v>
      </c>
      <c r="C1609" t="str">
        <f t="shared" si="1792"/>
        <v>CH</v>
      </c>
      <c r="D1609" t="s">
        <v>1612</v>
      </c>
      <c r="E1609" t="str">
        <f t="shared" si="1799"/>
        <v>PJ/yr.</v>
      </c>
      <c r="F1609" s="1">
        <f>[1]Transport!B$26/SUM([1]Transport!B$22,[1]Transport!B$26)*F1606*(F$34+F$582)/(F$34+F$582+F$38)</f>
        <v>0.60754995717472648</v>
      </c>
      <c r="G1609" s="1">
        <f>[1]Transport!C$26/SUM([1]Transport!C$22,[1]Transport!C$26)*G1606*(G$34+G$582)/(G$34+G$582+G$38)</f>
        <v>0.5520677546221564</v>
      </c>
      <c r="H1609" s="1">
        <f>[1]Transport!D$26/SUM([1]Transport!D$22,[1]Transport!D$26)*H1606*(H$34+H$582)/(H$34+H$582+H$38)</f>
        <v>0.92003644688097608</v>
      </c>
      <c r="I1609" s="1">
        <f>[1]Transport!E$26/SUM([1]Transport!E$22,[1]Transport!E$26)*I1606*(I$34+I$582)/(I$34+I$582+I$38)</f>
        <v>0.77451026166123205</v>
      </c>
      <c r="J1609" s="1">
        <f>[1]Transport!F$26/SUM([1]Transport!F$22,[1]Transport!F$26)*J1606*(J$34+J$582)/(J$34+J$582+J$38)</f>
        <v>0.92108676876058615</v>
      </c>
      <c r="K1609" s="1">
        <f>[1]Transport!G$26/SUM([1]Transport!G$22,[1]Transport!G$26)*K1606*(K$34+K$582)/(K$34+K$582+K$38)</f>
        <v>1.1983294666135973</v>
      </c>
      <c r="L1609" s="1">
        <f>[1]Transport!H$26/SUM([1]Transport!H$22,[1]Transport!H$26)*L1606*(L$34+L$582)/(L$34+L$582+L$38)</f>
        <v>1.1359520115738611</v>
      </c>
      <c r="M1609" s="1">
        <f>[1]Transport!I$26/SUM([1]Transport!I$22,[1]Transport!I$26)*M1606*(M$34+M$582)/(M$34+M$582+M$38)</f>
        <v>1.0051470354581151</v>
      </c>
      <c r="N1609" s="1">
        <f>[1]Transport!J$26/SUM([1]Transport!J$22,[1]Transport!J$26)*N1606*(N$34+N$582)/(N$34+N$582+N$38)</f>
        <v>0</v>
      </c>
      <c r="O1609" s="1">
        <f>[1]Transport!K$26/SUM([1]Transport!K$22,[1]Transport!K$26)*O1606*(O$34+O$582)/(O$34+O$582+O$38)</f>
        <v>0</v>
      </c>
      <c r="P1609" s="1">
        <f>[1]Transport!L$26/SUM([1]Transport!L$22,[1]Transport!L$26)*P1606*(P$34+P$582)/(P$34+P$582+P$38)</f>
        <v>0</v>
      </c>
      <c r="Q1609" s="1">
        <f>[1]Transport!M$26/SUM([1]Transport!M$22,[1]Transport!M$26)*Q1606*(Q$34+Q$582)/(Q$34+Q$582+Q$38)</f>
        <v>0</v>
      </c>
      <c r="S1609" s="3"/>
    </row>
    <row r="1610" spans="2:19" x14ac:dyDescent="0.5">
      <c r="B1610" t="str">
        <f t="shared" si="1791"/>
        <v>SPS1</v>
      </c>
      <c r="C1610" t="str">
        <f t="shared" si="1792"/>
        <v>CH</v>
      </c>
      <c r="D1610" t="s">
        <v>1613</v>
      </c>
      <c r="E1610" t="str">
        <f t="shared" si="1799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(J$38+J$718)/([1]Transport!F$22+[1]Transport!F$26)*J1606</f>
        <v>0</v>
      </c>
      <c r="K1610" s="1">
        <f>(K$38+K$718)/([1]Transport!G$22+[1]Transport!G$26)*K1606</f>
        <v>5.3060954554303645E-4</v>
      </c>
      <c r="L1610" s="1">
        <f>(L$38+L$718)/([1]Transport!H$22+[1]Transport!H$26)*L1606</f>
        <v>0.29179568674915962</v>
      </c>
      <c r="M1610" s="1">
        <f>(M$38+M$718)/([1]Transport!I$22+[1]Transport!I$26)*M1606</f>
        <v>3.238447635497665</v>
      </c>
      <c r="N1610" s="1">
        <f>(N$38+N$718)/([1]Transport!J$22+[1]Transport!J$26)*N1606</f>
        <v>0</v>
      </c>
      <c r="O1610" s="1">
        <f>(O$38+O$718)/([1]Transport!K$22+[1]Transport!K$26)*O1606</f>
        <v>0</v>
      </c>
      <c r="P1610" s="1">
        <f>(P$38+P$718)/([1]Transport!L$22+[1]Transport!L$26)*P1606</f>
        <v>0</v>
      </c>
      <c r="Q1610" s="1">
        <f>(Q$38+Q$718)/([1]Transport!M$22+[1]Transport!M$26)*Q1606</f>
        <v>0</v>
      </c>
      <c r="S1610" s="3"/>
    </row>
    <row r="1611" spans="2:19" x14ac:dyDescent="0.5">
      <c r="B1611" t="str">
        <f t="shared" si="1791"/>
        <v>SPS1</v>
      </c>
      <c r="C1611" t="str">
        <f t="shared" si="1792"/>
        <v>CH</v>
      </c>
      <c r="D1611" t="s">
        <v>1614</v>
      </c>
      <c r="E1611" t="str">
        <f t="shared" si="1799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19.238402622877317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11.803190124937924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11.484591490270734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4.9450114554769229</v>
      </c>
      <c r="J1611" s="1" cm="1">
        <f t="array" ref="J1611">SUMPRODUCT(("TFHGV-ICEdslExt"=[1]OUT_TransportEnergyCons!$A$3:$A$1000)*1,("Var_Fin"=[1]OUT_TransportEnergyCons!$B$3:$B$1000)*1,ISNUMBER(SEARCH("dsl",[1]OUT_TransportEnergyCons!$C$3:$C$1000))*1,[1]OUT_TransportEnergyCons!H$3:H$1000)</f>
        <v>0</v>
      </c>
      <c r="K1611" s="1" cm="1">
        <f t="array" ref="K1611">SUMPRODUCT(("TFHGV-ICEdslExt"=[1]OUT_TransportEnergyCons!$A$3:$A$1000)*1,("Var_Fin"=[1]OUT_TransportEnergyCons!$B$3:$B$1000)*1,ISNUMBER(SEARCH("dsl",[1]OUT_TransportEnergyCons!$C$3:$C$1000))*1,[1]OUT_TransportEnergyCons!I$3:I$1000)</f>
        <v>0</v>
      </c>
      <c r="L1611" s="1" cm="1">
        <f t="array" ref="L1611">SUMPRODUCT(("TFHGV-ICEdslExt"=[1]OUT_TransportEnergyCons!$A$3:$A$1000)*1,("Var_Fin"=[1]OUT_TransportEnergyCons!$B$3:$B$1000)*1,ISNUMBER(SEARCH("dsl",[1]OUT_TransportEnergyCons!$C$3:$C$1000))*1,[1]OUT_TransportEnergyCons!J$3:J$1000)</f>
        <v>0</v>
      </c>
      <c r="M1611" s="1" cm="1">
        <f t="array" ref="M1611">SUMPRODUCT(("TFHGV-ICEdslExt"=[1]OUT_TransportEnergyCons!$A$3:$A$1000)*1,("Var_Fin"=[1]OUT_TransportEnergyCons!$B$3:$B$1000)*1,ISNUMBER(SEARCH("dsl",[1]OUT_TransportEnergyCons!$C$3:$C$1000))*1,[1]OUT_TransportEnergyCons!K$3:K$1000)</f>
        <v>0</v>
      </c>
      <c r="N1611" s="1" cm="1">
        <f t="array" ref="N1611">SUMPRODUCT(("TFHGV-ICEdslExt"=[1]OUT_TransportEnergyCons!$A$3:$A$1000)*1,("Var_Fin"=[1]OUT_TransportEnergyCons!$B$3:$B$1000)*1,ISNUMBER(SEARCH("dsl",[1]OUT_TransportEnergyCons!$C$3:$C$1000))*1,[1]OUT_TransportEnergyCons!L$3:L$1000)</f>
        <v>0</v>
      </c>
      <c r="O1611" s="1" cm="1">
        <f t="array" ref="O1611">SUMPRODUCT(("TFHGV-ICEdslExt"=[1]OUT_TransportEnergyCons!$A$3:$A$1000)*1,("Var_Fin"=[1]OUT_TransportEnergyCons!$B$3:$B$1000)*1,ISNUMBER(SEARCH("dsl",[1]OUT_TransportEnergyCons!$C$3:$C$1000))*1,[1]OUT_TransportEnergyCons!M$3:M$1000)</f>
        <v>0</v>
      </c>
      <c r="P1611" s="1" cm="1">
        <f t="array" ref="P1611">SUMPRODUCT(("TFHGV-ICEdslExt"=[1]OUT_TransportEnergyCons!$A$3:$A$1000)*1,("Var_Fin"=[1]OUT_TransportEnergyCons!$B$3:$B$1000)*1,ISNUMBER(SEARCH("dsl",[1]OUT_TransportEnergyCons!$C$3:$C$1000))*1,[1]OUT_TransportEnergyCons!N$3:N$1000)</f>
        <v>0</v>
      </c>
      <c r="Q1611" s="1" cm="1">
        <f t="array" ref="Q1611">SUMPRODUCT(("TFHGV-ICEdslExt"=[1]OUT_TransportEnergyCons!$A$3:$A$1000)*1,("Var_Fin"=[1]OUT_TransportEnergyCons!$B$3:$B$1000)*1,ISNUMBER(SEARCH("dsl",[1]OUT_TransportEnergyCons!$C$3:$C$1000))*1,[1]OUT_TransportEnergyCons!O$3:O$1000)</f>
        <v>0</v>
      </c>
      <c r="S1611" s="3"/>
    </row>
    <row r="1612" spans="2:19" x14ac:dyDescent="0.5">
      <c r="B1612" t="str">
        <f t="shared" si="1791"/>
        <v>SPS1</v>
      </c>
      <c r="C1612" t="str">
        <f t="shared" si="1792"/>
        <v>CH</v>
      </c>
      <c r="D1612" t="s">
        <v>1615</v>
      </c>
      <c r="E1612" t="str">
        <f t="shared" si="1799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5.2547044329077117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6.1505779850570006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4.8018959728230586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0.43979347507803102</v>
      </c>
      <c r="J1612" s="1" cm="1">
        <f t="array" ref="J1612">SUMPRODUCT(("TFHGV-ICEdsl"=[1]OUT_TransportEnergyCons!$A$3:$A$1000)*1,("Var_Fin"=[1]OUT_TransportEnergyCons!$B$3:$B$1000)*1,ISNUMBER(SEARCH("dsl",[1]OUT_TransportEnergyCons!$C$3:$C$1000))*1,[1]OUT_TransportEnergyCons!H$3:H$1000)</f>
        <v>2.91854018791823E-4</v>
      </c>
      <c r="K1612" s="1" cm="1">
        <f t="array" ref="K1612">SUMPRODUCT(("TFHGV-ICEdsl"=[1]OUT_TransportEnergyCons!$A$3:$A$1000)*1,("Var_Fin"=[1]OUT_TransportEnergyCons!$B$3:$B$1000)*1,ISNUMBER(SEARCH("dsl",[1]OUT_TransportEnergyCons!$C$3:$C$1000))*1,[1]OUT_TransportEnergyCons!I$3:I$1000)</f>
        <v>3.039705336154135E-4</v>
      </c>
      <c r="L1612" s="1" cm="1">
        <f t="array" ref="L1612">SUMPRODUCT(("TFHGV-ICEdsl"=[1]OUT_TransportEnergyCons!$A$3:$A$1000)*1,("Var_Fin"=[1]OUT_TransportEnergyCons!$B$3:$B$1000)*1,ISNUMBER(SEARCH("dsl",[1]OUT_TransportEnergyCons!$C$3:$C$1000))*1,[1]OUT_TransportEnergyCons!J$3:J$1000)</f>
        <v>3.0788111826541599E-4</v>
      </c>
      <c r="M1612" s="1" cm="1">
        <f t="array" ref="M1612">SUMPRODUCT(("TFHGV-ICEdsl"=[1]OUT_TransportEnergyCons!$A$3:$A$1000)*1,("Var_Fin"=[1]OUT_TransportEnergyCons!$B$3:$B$1000)*1,ISNUMBER(SEARCH("dsl",[1]OUT_TransportEnergyCons!$C$3:$C$1000))*1,[1]OUT_TransportEnergyCons!K$3:K$1000)</f>
        <v>1.5120895713014064E-4</v>
      </c>
      <c r="N1612" s="1" cm="1">
        <f t="array" ref="N1612">SUMPRODUCT(("TFHGV-ICEdsl"=[1]OUT_TransportEnergyCons!$A$3:$A$1000)*1,("Var_Fin"=[1]OUT_TransportEnergyCons!$B$3:$B$1000)*1,ISNUMBER(SEARCH("dsl",[1]OUT_TransportEnergyCons!$C$3:$C$1000))*1,[1]OUT_TransportEnergyCons!L$3:L$1000)</f>
        <v>0</v>
      </c>
      <c r="O1612" s="1" cm="1">
        <f t="array" ref="O1612">SUMPRODUCT(("TFHGV-ICEdsl"=[1]OUT_TransportEnergyCons!$A$3:$A$1000)*1,("Var_Fin"=[1]OUT_TransportEnergyCons!$B$3:$B$1000)*1,ISNUMBER(SEARCH("dsl",[1]OUT_TransportEnergyCons!$C$3:$C$1000))*1,[1]OUT_TransportEnergyCons!M$3:M$1000)</f>
        <v>0</v>
      </c>
      <c r="P1612" s="1" cm="1">
        <f t="array" ref="P1612">SUMPRODUCT(("TFHGV-ICEdsl"=[1]OUT_TransportEnergyCons!$A$3:$A$1000)*1,("Var_Fin"=[1]OUT_TransportEnergyCons!$B$3:$B$1000)*1,ISNUMBER(SEARCH("dsl",[1]OUT_TransportEnergyCons!$C$3:$C$1000))*1,[1]OUT_TransportEnergyCons!N$3:N$1000)</f>
        <v>0</v>
      </c>
      <c r="Q1612" s="1" cm="1">
        <f t="array" ref="Q1612">SUMPRODUCT(("TFHGV-ICEdsl"=[1]OUT_TransportEnergyCons!$A$3:$A$1000)*1,("Var_Fin"=[1]OUT_TransportEnergyCons!$B$3:$B$1000)*1,ISNUMBER(SEARCH("dsl",[1]OUT_TransportEnergyCons!$C$3:$C$1000))*1,[1]OUT_TransportEnergyCons!O$3:O$1000)</f>
        <v>0</v>
      </c>
      <c r="S1612" s="3"/>
    </row>
    <row r="1613" spans="2:19" x14ac:dyDescent="0.5">
      <c r="B1613" t="str">
        <f t="shared" si="1791"/>
        <v>SPS1</v>
      </c>
      <c r="C1613" t="str">
        <f t="shared" si="1792"/>
        <v>CH</v>
      </c>
      <c r="D1613" t="s">
        <v>1616</v>
      </c>
      <c r="E1613" t="str">
        <f t="shared" si="1799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3.0759525193141464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4.2139326157416592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11.223374196716696</v>
      </c>
      <c r="J1613" s="1" cm="1">
        <f t="array" ref="J1613">SUMPRODUCT(("TFHGV-HYBDSL"=[1]OUT_TransportEnergyCons!$A$3:$A$1000)*1,("Var_Fin"=[1]OUT_TransportEnergyCons!$B$3:$B$1000)*1,ISNUMBER(SEARCH("dsl",[1]OUT_TransportEnergyCons!$C$3:$C$1000))*1,[1]OUT_TransportEnergyCons!H$3:H$1000)</f>
        <v>12.119305103450387</v>
      </c>
      <c r="K1613" s="1" cm="1">
        <f t="array" ref="K1613">SUMPRODUCT(("TFHGV-HYBDSL"=[1]OUT_TransportEnergyCons!$A$3:$A$1000)*1,("Var_Fin"=[1]OUT_TransportEnergyCons!$B$3:$B$1000)*1,ISNUMBER(SEARCH("dsl",[1]OUT_TransportEnergyCons!$C$3:$C$1000))*1,[1]OUT_TransportEnergyCons!I$3:I$1000)</f>
        <v>10.82452624280543</v>
      </c>
      <c r="L1613" s="1" cm="1">
        <f t="array" ref="L1613">SUMPRODUCT(("TFHGV-HYBDSL"=[1]OUT_TransportEnergyCons!$A$3:$A$1000)*1,("Var_Fin"=[1]OUT_TransportEnergyCons!$B$3:$B$1000)*1,ISNUMBER(SEARCH("dsl",[1]OUT_TransportEnergyCons!$C$3:$C$1000))*1,[1]OUT_TransportEnergyCons!J$3:J$1000)</f>
        <v>4.9490314887833247</v>
      </c>
      <c r="M1613" s="1" cm="1">
        <f t="array" ref="M1613">SUMPRODUCT(("TFHGV-HYBDSL"=[1]OUT_TransportEnergyCons!$A$3:$A$1000)*1,("Var_Fin"=[1]OUT_TransportEnergyCons!$B$3:$B$1000)*1,ISNUMBER(SEARCH("dsl",[1]OUT_TransportEnergyCons!$C$3:$C$1000))*1,[1]OUT_TransportEnergyCons!K$3:K$1000)</f>
        <v>2.0019180031795436</v>
      </c>
      <c r="N1613" s="1" cm="1">
        <f t="array" ref="N1613">SUMPRODUCT(("TFHGV-HYBDSL"=[1]OUT_TransportEnergyCons!$A$3:$A$1000)*1,("Var_Fin"=[1]OUT_TransportEnergyCons!$B$3:$B$1000)*1,ISNUMBER(SEARCH("dsl",[1]OUT_TransportEnergyCons!$C$3:$C$1000))*1,[1]OUT_TransportEnergyCons!L$3:L$1000)</f>
        <v>0</v>
      </c>
      <c r="O1613" s="1" cm="1">
        <f t="array" ref="O1613">SUMPRODUCT(("TFHGV-HYBDSL"=[1]OUT_TransportEnergyCons!$A$3:$A$1000)*1,("Var_Fin"=[1]OUT_TransportEnergyCons!$B$3:$B$1000)*1,ISNUMBER(SEARCH("dsl",[1]OUT_TransportEnergyCons!$C$3:$C$1000))*1,[1]OUT_TransportEnergyCons!M$3:M$1000)</f>
        <v>0</v>
      </c>
      <c r="P1613" s="1" cm="1">
        <f t="array" ref="P1613">SUMPRODUCT(("TFHGV-HYBDSL"=[1]OUT_TransportEnergyCons!$A$3:$A$1000)*1,("Var_Fin"=[1]OUT_TransportEnergyCons!$B$3:$B$1000)*1,ISNUMBER(SEARCH("dsl",[1]OUT_TransportEnergyCons!$C$3:$C$1000))*1,[1]OUT_TransportEnergyCons!N$3:N$1000)</f>
        <v>0</v>
      </c>
      <c r="Q1613" s="1" cm="1">
        <f t="array" ref="Q1613">SUMPRODUCT(("TFHGV-HYBDSL"=[1]OUT_TransportEnergyCons!$A$3:$A$1000)*1,("Var_Fin"=[1]OUT_TransportEnergyCons!$B$3:$B$1000)*1,ISNUMBER(SEARCH("dsl",[1]OUT_TransportEnergyCons!$C$3:$C$1000))*1,[1]OUT_TransportEnergyCons!O$3:O$1000)</f>
        <v>0</v>
      </c>
      <c r="S1613" s="3"/>
    </row>
    <row r="1614" spans="2:19" x14ac:dyDescent="0.5">
      <c r="B1614" t="str">
        <f t="shared" si="1791"/>
        <v>SPS1</v>
      </c>
      <c r="C1614" t="str">
        <f t="shared" si="1792"/>
        <v>CH</v>
      </c>
      <c r="D1614" t="s">
        <v>1617</v>
      </c>
      <c r="E1614" t="str">
        <f t="shared" si="1799"/>
        <v>PJ/yr.</v>
      </c>
      <c r="F1614" s="1">
        <f>F1619</f>
        <v>1.0749989380204605E-2</v>
      </c>
      <c r="G1614" s="1">
        <f t="shared" ref="G1614:K1614" si="1817">G1619</f>
        <v>9.0940690361395588E-4</v>
      </c>
      <c r="H1614" s="1">
        <f t="shared" si="1817"/>
        <v>1.1549698150063671E-3</v>
      </c>
      <c r="I1614" s="1">
        <f t="shared" si="1817"/>
        <v>1.1200405247888609E-3</v>
      </c>
      <c r="J1614" s="1">
        <f t="shared" si="1817"/>
        <v>1.0122853798607816E-3</v>
      </c>
      <c r="K1614" s="1">
        <f t="shared" si="1817"/>
        <v>1.0611558548338795E-3</v>
      </c>
      <c r="L1614" s="1">
        <f t="shared" ref="L1614:O1614" si="1818">L1619</f>
        <v>9.7423580554558244E-4</v>
      </c>
      <c r="M1614" s="1">
        <f t="shared" si="1818"/>
        <v>4.6725654175949424E-4</v>
      </c>
      <c r="N1614" s="1">
        <f t="shared" si="1818"/>
        <v>0</v>
      </c>
      <c r="O1614" s="1">
        <f t="shared" si="1818"/>
        <v>0</v>
      </c>
      <c r="P1614" s="1">
        <f>P1619</f>
        <v>0</v>
      </c>
      <c r="Q1614" s="1">
        <f>Q1619</f>
        <v>0</v>
      </c>
      <c r="S1614" s="3"/>
    </row>
    <row r="1615" spans="2:19" x14ac:dyDescent="0.5">
      <c r="B1615" t="str">
        <f t="shared" si="1791"/>
        <v>SPS1</v>
      </c>
      <c r="C1615" t="str">
        <f t="shared" si="1792"/>
        <v>CH</v>
      </c>
      <c r="D1615" t="s">
        <v>1618</v>
      </c>
      <c r="E1615" t="str">
        <f t="shared" si="1799"/>
        <v>PJ/yr.</v>
      </c>
      <c r="F1615" s="1">
        <f>IF(F1614-F1616&lt;0,0,F1614-F1616)</f>
        <v>9.9327258277035809E-3</v>
      </c>
      <c r="G1615" s="1">
        <f t="shared" ref="G1615:K1615" si="1819">IF(G1614-G1616&lt;0,0,G1614-G1616)</f>
        <v>7.9628340069911783E-4</v>
      </c>
      <c r="H1615" s="1">
        <f t="shared" si="1819"/>
        <v>1.1472219018185577E-3</v>
      </c>
      <c r="I1615" s="1">
        <f t="shared" si="1819"/>
        <v>1.1144224073822507E-3</v>
      </c>
      <c r="J1615" s="1">
        <f t="shared" si="1819"/>
        <v>0</v>
      </c>
      <c r="K1615" s="1">
        <f t="shared" si="1819"/>
        <v>0</v>
      </c>
      <c r="L1615" s="1">
        <f t="shared" ref="L1615:O1615" si="1820">IF(L1614-L1616&lt;0,0,L1614-L1616)</f>
        <v>0</v>
      </c>
      <c r="M1615" s="1">
        <f t="shared" si="1820"/>
        <v>0</v>
      </c>
      <c r="N1615" s="1">
        <f t="shared" si="1820"/>
        <v>0</v>
      </c>
      <c r="O1615" s="1">
        <f t="shared" si="1820"/>
        <v>0</v>
      </c>
      <c r="P1615" s="1">
        <f>IF(P1614-P1616&lt;0,0,P1614-P1616)</f>
        <v>0</v>
      </c>
      <c r="Q1615" s="1">
        <f>IF(Q1614-Q1616&lt;0,0,Q1614-Q1616)</f>
        <v>0</v>
      </c>
      <c r="S1615" s="3"/>
    </row>
    <row r="1616" spans="2:19" x14ac:dyDescent="0.5">
      <c r="B1616" t="str">
        <f t="shared" si="1791"/>
        <v>SPS1</v>
      </c>
      <c r="C1616" t="str">
        <f t="shared" si="1792"/>
        <v>CH</v>
      </c>
      <c r="D1616" t="s">
        <v>1619</v>
      </c>
      <c r="E1616" t="str">
        <f t="shared" si="1799"/>
        <v>PJ/yr.</v>
      </c>
      <c r="F1616" s="1">
        <f>SUM(F1617:F1618)</f>
        <v>8.172635525010237E-4</v>
      </c>
      <c r="G1616" s="1">
        <f t="shared" ref="G1616:K1616" si="1821">SUM(G1617:G1618)</f>
        <v>1.1312350291483809E-4</v>
      </c>
      <c r="H1616" s="1">
        <f t="shared" si="1821"/>
        <v>7.7479131878094404E-6</v>
      </c>
      <c r="I1616" s="1">
        <f t="shared" si="1821"/>
        <v>5.6181174066102638E-6</v>
      </c>
      <c r="J1616" s="1">
        <f t="shared" si="1821"/>
        <v>1.0506410268697982E-3</v>
      </c>
      <c r="K1616" s="1">
        <f t="shared" si="1821"/>
        <v>1.655595073126325E-3</v>
      </c>
      <c r="L1616" s="1">
        <f t="shared" ref="L1616:O1616" si="1822">SUM(L1617:L1618)</f>
        <v>9.9198166366898702E-4</v>
      </c>
      <c r="M1616" s="1">
        <f t="shared" si="1822"/>
        <v>7.6713410799557629E-4</v>
      </c>
      <c r="N1616" s="1">
        <f t="shared" si="1822"/>
        <v>0</v>
      </c>
      <c r="O1616" s="1">
        <f t="shared" si="1822"/>
        <v>0</v>
      </c>
      <c r="P1616" s="1">
        <f>SUM(P1617:P1618)</f>
        <v>0</v>
      </c>
      <c r="Q1616" s="1">
        <f>SUM(Q1617:Q1618)</f>
        <v>0</v>
      </c>
      <c r="S1616" s="3"/>
    </row>
    <row r="1617" spans="2:19" x14ac:dyDescent="0.5">
      <c r="B1617" t="str">
        <f t="shared" si="1791"/>
        <v>SPS1</v>
      </c>
      <c r="C1617" t="str">
        <f t="shared" si="1792"/>
        <v>CH</v>
      </c>
      <c r="D1617" t="s">
        <v>1620</v>
      </c>
      <c r="E1617" t="str">
        <f t="shared" si="1799"/>
        <v>PJ/yr.</v>
      </c>
      <c r="F1617" s="1">
        <f>IF(SUM([1]Transport!B$24,[1]Transport!B$27)=0,0,[1]Transport!B$27/SUM([1]Transport!B$24,[1]Transport!B$27)*F1614*(F$47+F$614)/(F$47+F$614+F$49))</f>
        <v>8.172635525010237E-4</v>
      </c>
      <c r="G1617" s="1">
        <f>IF(SUM([1]Transport!C$24,[1]Transport!C$27)=0,0,[1]Transport!C$27/SUM([1]Transport!C$24,[1]Transport!C$27)*G1614*(G$47+G$614)/(G$47+G$614+G$49))</f>
        <v>1.1312350291483809E-4</v>
      </c>
      <c r="H1617" s="1">
        <f>IF(SUM([1]Transport!D$24,[1]Transport!D$27)=0,0,[1]Transport!D$27/SUM([1]Transport!D$24,[1]Transport!D$27)*H1614*(H$47+H$614)/(H$47+H$614+H$49))</f>
        <v>7.7479131878094404E-6</v>
      </c>
      <c r="I1617" s="1">
        <f>IF(SUM([1]Transport!E$24,[1]Transport!E$27)=0,0,[1]Transport!E$27/SUM([1]Transport!E$24,[1]Transport!E$27)*I1614*(I$47+I$614)/(I$47+I$614+I$49))</f>
        <v>5.6181174066102638E-6</v>
      </c>
      <c r="J1617" s="1">
        <f>IF(SUM([1]Transport!F$24,[1]Transport!F$27)=0,0,[1]Transport!F$27/SUM([1]Transport!F$24,[1]Transport!F$27)*J1614*(J$47+J$614)/(J$47+J$614+J$49))</f>
        <v>3.8355647009016501E-5</v>
      </c>
      <c r="K1617" s="1">
        <f>IF(SUM([1]Transport!G$24,[1]Transport!G$27)=0,0,[1]Transport!G$27/SUM([1]Transport!G$24,[1]Transport!G$27)*K1614*(K$47+K$614)/(K$47+K$614+K$49))</f>
        <v>5.9443921829244553E-4</v>
      </c>
      <c r="L1617" s="1">
        <f>IF(SUM([1]Transport!H$24,[1]Transport!H$27)=0,0,[1]Transport!H$27/SUM([1]Transport!H$24,[1]Transport!H$27)*L1614*(L$47+L$614)/(L$47+L$614+L$49))</f>
        <v>1.7745858123404539E-5</v>
      </c>
      <c r="M1617" s="1">
        <f>IF(SUM([1]Transport!I$24,[1]Transport!I$27)=0,0,[1]Transport!I$27/SUM([1]Transport!I$24,[1]Transport!I$27)*M1614*(M$47+M$614)/(M$47+M$614+M$49))</f>
        <v>2.9987756623608199E-4</v>
      </c>
      <c r="N1617" s="1">
        <f>IF(SUM([1]Transport!J$24,[1]Transport!J$27)=0,0,[1]Transport!J$27/SUM([1]Transport!J$24,[1]Transport!J$27)*N1614*(N$47+N$614)/(N$47+N$614+N$49))</f>
        <v>0</v>
      </c>
      <c r="O1617" s="1">
        <f>IF(SUM([1]Transport!K$24,[1]Transport!K$27)=0,0,[1]Transport!K$27/SUM([1]Transport!K$24,[1]Transport!K$27)*O1614*(O$47+O$614)/(O$47+O$614+O$49))</f>
        <v>0</v>
      </c>
      <c r="P1617" s="1">
        <f>IF(SUM([1]Transport!L$24,[1]Transport!L$27)=0,0,[1]Transport!L$27/SUM([1]Transport!L$24,[1]Transport!L$27)*P1614*(P$47+P$614)/(P$47+P$614+P$49))</f>
        <v>0</v>
      </c>
      <c r="Q1617" s="1">
        <f>IF(SUM([1]Transport!M$24,[1]Transport!M$27)=0,0,[1]Transport!M$27/SUM([1]Transport!M$24,[1]Transport!M$27)*Q1614*(Q$47+Q$614)/(Q$47+Q$614+Q$49))</f>
        <v>0</v>
      </c>
      <c r="S1617" s="3"/>
    </row>
    <row r="1618" spans="2:19" x14ac:dyDescent="0.5">
      <c r="B1618" t="str">
        <f t="shared" si="1791"/>
        <v>SPS1</v>
      </c>
      <c r="C1618" t="str">
        <f t="shared" si="1792"/>
        <v>CH</v>
      </c>
      <c r="D1618" t="s">
        <v>1621</v>
      </c>
      <c r="E1618" t="str">
        <f t="shared" si="1799"/>
        <v>PJ/yr.</v>
      </c>
      <c r="F1618" s="1">
        <f>IF(([1]Transport!B$24+[1]Transport!B$27)=0,0,IF((F$49+F$716)/([1]Transport!B$24+[1]Transport!B$27)*F1614&gt;F1614,F1614,(F$49+F$716)/([1]Transport!B$24+[1]Transport!B$27)*F1614))</f>
        <v>0</v>
      </c>
      <c r="G1618" s="1">
        <f>IF(([1]Transport!C$24+[1]Transport!C$27)=0,0,IF((G$49+G$716)/([1]Transport!C$24+[1]Transport!C$27)*G1614&gt;G1614,G1614,(G$49+G$716)/([1]Transport!C$24+[1]Transport!C$27)*G1614))</f>
        <v>0</v>
      </c>
      <c r="H1618" s="1">
        <f>IF(([1]Transport!D$24+[1]Transport!D$27)=0,0,IF((H$49+H$716)/([1]Transport!D$24+[1]Transport!D$27)*H1614&gt;H1614,H1614,(H$49+H$716)/([1]Transport!D$24+[1]Transport!D$27)*H1614))</f>
        <v>0</v>
      </c>
      <c r="I1618" s="1">
        <f>IF(([1]Transport!E$24+[1]Transport!E$27)=0,0,IF((I$49+I$716)/([1]Transport!E$24+[1]Transport!E$27)*I1614&gt;I1614,I1614,(I$49+I$716)/([1]Transport!E$24+[1]Transport!E$27)*I1614))</f>
        <v>0</v>
      </c>
      <c r="J1618" s="1">
        <f>IF(([1]Transport!F$24+[1]Transport!F$27)=0,0,IF((J$49+J$716)/([1]Transport!F$24+[1]Transport!F$27)*J1614&gt;J1614,J1614,(J$49+J$716)/([1]Transport!F$24+[1]Transport!F$27)*J1614))</f>
        <v>1.0122853798607816E-3</v>
      </c>
      <c r="K1618" s="1">
        <f>IF(([1]Transport!G$24+[1]Transport!G$27)=0,0,IF((K$49+K$716)/([1]Transport!G$24+[1]Transport!G$27)*K1614&gt;K1614,K1614,(K$49+K$716)/([1]Transport!G$24+[1]Transport!G$27)*K1614))</f>
        <v>1.0611558548338795E-3</v>
      </c>
      <c r="L1618" s="1">
        <f>IF(([1]Transport!H$24+[1]Transport!H$27)=0,0,IF((L$49+L$716)/([1]Transport!H$24+[1]Transport!H$27)*L1614&gt;L1614,L1614,(L$49+L$716)/([1]Transport!H$24+[1]Transport!H$27)*L1614))</f>
        <v>9.7423580554558244E-4</v>
      </c>
      <c r="M1618" s="1">
        <f>IF(([1]Transport!I$24+[1]Transport!I$27)=0,0,IF((M$49+M$716)/([1]Transport!I$24+[1]Transport!I$27)*M1614&gt;M1614,M1614,(M$49+M$716)/([1]Transport!I$24+[1]Transport!I$27)*M1614))</f>
        <v>4.6725654175949424E-4</v>
      </c>
      <c r="N1618" s="1">
        <f>IF(([1]Transport!J$24+[1]Transport!J$27)=0,0,IF((N$49+N$716)/([1]Transport!J$24+[1]Transport!J$27)*N1614&gt;N1614,N1614,(N$49+N$716)/([1]Transport!J$24+[1]Transport!J$27)*N1614))</f>
        <v>0</v>
      </c>
      <c r="O1618" s="1">
        <f>IF(([1]Transport!K$24+[1]Transport!K$27)=0,0,IF((O$49+O$716)/([1]Transport!K$24+[1]Transport!K$27)*O1614&gt;O1614,O1614,(O$49+O$716)/([1]Transport!K$24+[1]Transport!K$27)*O1614))</f>
        <v>0</v>
      </c>
      <c r="P1618" s="1">
        <f>IF(([1]Transport!L$24+[1]Transport!L$27)=0,0,IF((P$49+P$716)/([1]Transport!L$24+[1]Transport!L$27)*P1614&gt;P1614,P1614,(P$49+P$716)/([1]Transport!L$24+[1]Transport!L$27)*P1614))</f>
        <v>0</v>
      </c>
      <c r="Q1618" s="1">
        <f>IF(([1]Transport!M$24+[1]Transport!M$27)=0,0,IF((Q$49+Q$716)/([1]Transport!M$24+[1]Transport!M$27)*Q1614&gt;Q1614,Q1614,(Q$49+Q$716)/([1]Transport!M$24+[1]Transport!M$27)*Q1614))</f>
        <v>0</v>
      </c>
      <c r="S1618" s="3"/>
    </row>
    <row r="1619" spans="2:19" x14ac:dyDescent="0.5">
      <c r="B1619" t="str">
        <f t="shared" si="1791"/>
        <v>SPS1</v>
      </c>
      <c r="C1619" t="str">
        <f t="shared" si="1792"/>
        <v>CH</v>
      </c>
      <c r="D1619" t="s">
        <v>1622</v>
      </c>
      <c r="E1619" t="str">
        <f t="shared" si="1799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1.0749989380204605E-2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9.0940690361395588E-4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1.1549698150063671E-3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1.1200405247888609E-3</v>
      </c>
      <c r="J1619" s="1" cm="1">
        <f t="array" ref="J1619">SUMPRODUCT(("TFHGV-ICENGA"=[1]OUT_TransportEnergyCons!$A$3:$A$1000)*1,("Var_Fin"=[1]OUT_TransportEnergyCons!$B$3:$B$1000)*1,ISNUMBER(SEARCH("nga",[1]OUT_TransportEnergyCons!$C$3:$C$1000))*1,[1]OUT_TransportEnergyCons!H$3:H$1000)</f>
        <v>1.0122853798607816E-3</v>
      </c>
      <c r="K1619" s="1" cm="1">
        <f t="array" ref="K1619">SUMPRODUCT(("TFHGV-ICENGA"=[1]OUT_TransportEnergyCons!$A$3:$A$1000)*1,("Var_Fin"=[1]OUT_TransportEnergyCons!$B$3:$B$1000)*1,ISNUMBER(SEARCH("nga",[1]OUT_TransportEnergyCons!$C$3:$C$1000))*1,[1]OUT_TransportEnergyCons!I$3:I$1000)</f>
        <v>1.0611558548338795E-3</v>
      </c>
      <c r="L1619" s="1" cm="1">
        <f t="array" ref="L1619">SUMPRODUCT(("TFHGV-ICENGA"=[1]OUT_TransportEnergyCons!$A$3:$A$1000)*1,("Var_Fin"=[1]OUT_TransportEnergyCons!$B$3:$B$1000)*1,ISNUMBER(SEARCH("nga",[1]OUT_TransportEnergyCons!$C$3:$C$1000))*1,[1]OUT_TransportEnergyCons!J$3:J$1000)</f>
        <v>9.7423580554558244E-4</v>
      </c>
      <c r="M1619" s="1" cm="1">
        <f t="array" ref="M1619">SUMPRODUCT(("TFHGV-ICENGA"=[1]OUT_TransportEnergyCons!$A$3:$A$1000)*1,("Var_Fin"=[1]OUT_TransportEnergyCons!$B$3:$B$1000)*1,ISNUMBER(SEARCH("nga",[1]OUT_TransportEnergyCons!$C$3:$C$1000))*1,[1]OUT_TransportEnergyCons!K$3:K$1000)</f>
        <v>4.6725654175949424E-4</v>
      </c>
      <c r="N1619" s="1" cm="1">
        <f t="array" ref="N1619">SUMPRODUCT(("TFHGV-ICENGA"=[1]OUT_TransportEnergyCons!$A$3:$A$1000)*1,("Var_Fin"=[1]OUT_TransportEnergyCons!$B$3:$B$1000)*1,ISNUMBER(SEARCH("nga",[1]OUT_TransportEnergyCons!$C$3:$C$1000))*1,[1]OUT_TransportEnergyCons!L$3:L$1000)</f>
        <v>0</v>
      </c>
      <c r="O1619" s="1" cm="1">
        <f t="array" ref="O1619">SUMPRODUCT(("TFHGV-ICENGA"=[1]OUT_TransportEnergyCons!$A$3:$A$1000)*1,("Var_Fin"=[1]OUT_TransportEnergyCons!$B$3:$B$1000)*1,ISNUMBER(SEARCH("nga",[1]OUT_TransportEnergyCons!$C$3:$C$1000))*1,[1]OUT_TransportEnergyCons!M$3:M$1000)</f>
        <v>0</v>
      </c>
      <c r="P1619" s="1" cm="1">
        <f t="array" ref="P1619">SUMPRODUCT(("TFHGV-ICENGA"=[1]OUT_TransportEnergyCons!$A$3:$A$1000)*1,("Var_Fin"=[1]OUT_TransportEnergyCons!$B$3:$B$1000)*1,ISNUMBER(SEARCH("nga",[1]OUT_TransportEnergyCons!$C$3:$C$1000))*1,[1]OUT_TransportEnergyCons!N$3:N$1000)</f>
        <v>0</v>
      </c>
      <c r="Q1619" s="1" cm="1">
        <f t="array" ref="Q1619">SUMPRODUCT(("TFHGV-ICENGA"=[1]OUT_TransportEnergyCons!$A$3:$A$1000)*1,("Var_Fin"=[1]OUT_TransportEnergyCons!$B$3:$B$1000)*1,ISNUMBER(SEARCH("nga",[1]OUT_TransportEnergyCons!$C$3:$C$1000))*1,[1]OUT_TransportEnergyCons!O$3:O$1000)</f>
        <v>0</v>
      </c>
      <c r="S1619" s="3"/>
    </row>
    <row r="1620" spans="2:19" x14ac:dyDescent="0.5">
      <c r="B1620" s="2" t="str">
        <f t="shared" si="1791"/>
        <v>SPS1</v>
      </c>
      <c r="C1620" s="2" t="str">
        <f t="shared" si="1792"/>
        <v>CH</v>
      </c>
      <c r="D1620" s="2" t="s">
        <v>1623</v>
      </c>
      <c r="E1620" s="2" t="s">
        <v>1517</v>
      </c>
      <c r="F1620" s="3">
        <f>SUM(F1621:F1629)</f>
        <v>2.2034052579825918</v>
      </c>
      <c r="G1620" s="3">
        <f t="shared" ref="G1620" si="1823">SUM(G1621:G1629)</f>
        <v>2.2263413679029638</v>
      </c>
      <c r="H1620" s="3">
        <f t="shared" ref="H1620" si="1824">SUM(H1621:H1629)</f>
        <v>2.2607486519263267</v>
      </c>
      <c r="I1620" s="3">
        <f t="shared" ref="I1620" si="1825">SUM(I1621:I1629)</f>
        <v>2.3180916434807854</v>
      </c>
      <c r="J1620" s="3">
        <f t="shared" ref="J1620" si="1826">SUM(J1621:J1629)</f>
        <v>2.418904099132658</v>
      </c>
      <c r="K1620" s="3">
        <f t="shared" ref="K1620" si="1827">SUM(K1621:K1629)</f>
        <v>2.5201020173882167</v>
      </c>
      <c r="L1620" s="3">
        <f t="shared" ref="L1620:O1620" si="1828">SUM(L1621:L1629)</f>
        <v>2.6223374686873369</v>
      </c>
      <c r="M1620" s="3">
        <f t="shared" si="1828"/>
        <v>2.7245729977140098</v>
      </c>
      <c r="N1620" s="3">
        <f t="shared" si="1828"/>
        <v>2.8129660669420713</v>
      </c>
      <c r="O1620" s="3">
        <f t="shared" si="1828"/>
        <v>2.9109935794760293</v>
      </c>
      <c r="P1620" s="3">
        <f>SUM(P1621:P1629)</f>
        <v>3.0146642633356584</v>
      </c>
      <c r="Q1620" s="3">
        <f>SUM(Q1621:Q1629)</f>
        <v>3.1326885126301178</v>
      </c>
      <c r="S1620" s="3"/>
    </row>
    <row r="1621" spans="2:19" x14ac:dyDescent="0.5">
      <c r="B1621" t="str">
        <f t="shared" si="1791"/>
        <v>SPS1</v>
      </c>
      <c r="C1621" t="str">
        <f t="shared" si="1792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SUMPRODUCT(("TFHGV-BeVELCExt"=[1]OUT_TransportEnergyCons!$A$3:$A$1000)*1,("var_fout"=[1]OUT_TransportEnergyCons!$B$3:$B$1000)*1,ISNUMBER(SEARCH("TFHGV",[1]OUT_TransportEnergyCons!$C$3:$C$1000))*1,[1]OUT_TransportEnergyCons!H$3:H$1000)</f>
        <v>0</v>
      </c>
      <c r="K1621" s="1" cm="1">
        <f t="array" ref="K1621">SUMPRODUCT(("TFHGV-BeVELCExt"=[1]OUT_TransportEnergyCons!$A$3:$A$1000)*1,("var_fout"=[1]OUT_TransportEnergyCons!$B$3:$B$1000)*1,ISNUMBER(SEARCH("TFHGV",[1]OUT_TransportEnergyCons!$C$3:$C$1000))*1,[1]OUT_TransportEnergyCons!I$3:I$1000)</f>
        <v>0</v>
      </c>
      <c r="L1621" s="1" cm="1">
        <f t="array" ref="L1621">SUMPRODUCT(("TFHGV-BeVELCExt"=[1]OUT_TransportEnergyCons!$A$3:$A$1000)*1,("var_fout"=[1]OUT_TransportEnergyCons!$B$3:$B$1000)*1,ISNUMBER(SEARCH("TFHGV",[1]OUT_TransportEnergyCons!$C$3:$C$1000))*1,[1]OUT_TransportEnergyCons!J$3:J$1000)</f>
        <v>0</v>
      </c>
      <c r="M1621" s="1" cm="1">
        <f t="array" ref="M1621">SUMPRODUCT(("TFHGV-BeVELCExt"=[1]OUT_TransportEnergyCons!$A$3:$A$1000)*1,("var_fout"=[1]OUT_TransportEnergyCons!$B$3:$B$1000)*1,ISNUMBER(SEARCH("TFHGV",[1]OUT_TransportEnergyCons!$C$3:$C$1000))*1,[1]OUT_TransportEnergyCons!K$3:K$1000)</f>
        <v>0</v>
      </c>
      <c r="N1621" s="1" cm="1">
        <f t="array" ref="N1621">SUMPRODUCT(("TFHGV-BeVELCExt"=[1]OUT_TransportEnergyCons!$A$3:$A$1000)*1,("var_fout"=[1]OUT_TransportEnergyCons!$B$3:$B$1000)*1,ISNUMBER(SEARCH("TFHGV",[1]OUT_TransportEnergyCons!$C$3:$C$1000))*1,[1]OUT_TransportEnergyCons!L$3:L$1000)</f>
        <v>0</v>
      </c>
      <c r="O1621" s="1" cm="1">
        <f t="array" ref="O1621">SUMPRODUCT(("TFHGV-BeVELCExt"=[1]OUT_TransportEnergyCons!$A$3:$A$1000)*1,("var_fout"=[1]OUT_TransportEnergyCons!$B$3:$B$1000)*1,ISNUMBER(SEARCH("TFHGV",[1]OUT_TransportEnergyCons!$C$3:$C$1000))*1,[1]OUT_TransportEnergyCons!M$3:M$1000)</f>
        <v>0</v>
      </c>
      <c r="P1621" s="1" cm="1">
        <f t="array" ref="P1621">SUMPRODUCT(("TFHGV-BeVELCExt"=[1]OUT_TransportEnergyCons!$A$3:$A$1000)*1,("var_fout"=[1]OUT_TransportEnergyCons!$B$3:$B$1000)*1,ISNUMBER(SEARCH("TFHGV",[1]OUT_TransportEnergyCons!$C$3:$C$1000))*1,[1]OUT_TransportEnergyCons!N$3:N$1000)</f>
        <v>0</v>
      </c>
      <c r="Q1621" s="1" cm="1">
        <f t="array" ref="Q1621">SUMPRODUCT(("TFHGV-BeVELCExt"=[1]OUT_TransportEnergyCons!$A$3:$A$1000)*1,("var_fout"=[1]OUT_TransportEnergyCons!$B$3:$B$1000)*1,ISNUMBER(SEARCH("TFHGV",[1]OUT_TransportEnergyCons!$C$3:$C$1000))*1,[1]OUT_TransportEnergyCons!O$3:O$1000)</f>
        <v>0</v>
      </c>
      <c r="S1621" s="3"/>
    </row>
    <row r="1622" spans="2:19" x14ac:dyDescent="0.5">
      <c r="B1622" t="str">
        <f t="shared" si="1791"/>
        <v>SPS1</v>
      </c>
      <c r="C1622" t="str">
        <f t="shared" si="1792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1.4454565699825288E-3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1.7743687260455986E-3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1.8018265166858064E-3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5.965848615770425E-4</v>
      </c>
      <c r="J1622" s="1" cm="1">
        <f t="array" ref="J1622">SUMPRODUCT(("TFHGV-BEVELC"=[1]OUT_TransportEnergyCons!$A$3:$A$1000)*1,("var_fout"=[1]OUT_TransportEnergyCons!$B$3:$B$1000)*1,ISNUMBER(SEARCH("TFHGV",[1]OUT_TransportEnergyCons!$C$3:$C$1000))*1,[1]OUT_TransportEnergyCons!H$3:H$1000)</f>
        <v>0.43764252894214062</v>
      </c>
      <c r="K1622" s="1" cm="1">
        <f t="array" ref="K1622">SUMPRODUCT(("TFHGV-BEVELC"=[1]OUT_TransportEnergyCons!$A$3:$A$1000)*1,("var_fout"=[1]OUT_TransportEnergyCons!$B$3:$B$1000)*1,ISNUMBER(SEARCH("TFHGV",[1]OUT_TransportEnergyCons!$C$3:$C$1000))*1,[1]OUT_TransportEnergyCons!I$3:I$1000)</f>
        <v>0.75048462828651852</v>
      </c>
      <c r="L1622" s="1" cm="1">
        <f t="array" ref="L1622">SUMPRODUCT(("TFHGV-BEVELC"=[1]OUT_TransportEnergyCons!$A$3:$A$1000)*1,("var_fout"=[1]OUT_TransportEnergyCons!$B$3:$B$1000)*1,ISNUMBER(SEARCH("TFHGV",[1]OUT_TransportEnergyCons!$C$3:$C$1000))*1,[1]OUT_TransportEnergyCons!J$3:J$1000)</f>
        <v>1.8131723902817054</v>
      </c>
      <c r="M1622" s="1" cm="1">
        <f t="array" ref="M1622">SUMPRODUCT(("TFHGV-BEVELC"=[1]OUT_TransportEnergyCons!$A$3:$A$1000)*1,("var_fout"=[1]OUT_TransportEnergyCons!$B$3:$B$1000)*1,ISNUMBER(SEARCH("TFHGV",[1]OUT_TransportEnergyCons!$C$3:$C$1000))*1,[1]OUT_TransportEnergyCons!K$3:K$1000)</f>
        <v>2.3972449808828653</v>
      </c>
      <c r="N1622" s="1" cm="1">
        <f t="array" ref="N1622">SUMPRODUCT(("TFHGV-BEVELC"=[1]OUT_TransportEnergyCons!$A$3:$A$1000)*1,("var_fout"=[1]OUT_TransportEnergyCons!$B$3:$B$1000)*1,ISNUMBER(SEARCH("TFHGV",[1]OUT_TransportEnergyCons!$C$3:$C$1000))*1,[1]OUT_TransportEnergyCons!L$3:L$1000)</f>
        <v>2.8129619958066852</v>
      </c>
      <c r="O1622" s="1" cm="1">
        <f t="array" ref="O1622">SUMPRODUCT(("TFHGV-BEVELC"=[1]OUT_TransportEnergyCons!$A$3:$A$1000)*1,("var_fout"=[1]OUT_TransportEnergyCons!$B$3:$B$1000)*1,ISNUMBER(SEARCH("TFHGV",[1]OUT_TransportEnergyCons!$C$3:$C$1000))*1,[1]OUT_TransportEnergyCons!M$3:M$1000)</f>
        <v>2.9109902806807777</v>
      </c>
      <c r="P1622" s="1" cm="1">
        <f t="array" ref="P1622">SUMPRODUCT(("TFHGV-BEVELC"=[1]OUT_TransportEnergyCons!$A$3:$A$1000)*1,("var_fout"=[1]OUT_TransportEnergyCons!$B$3:$B$1000)*1,ISNUMBER(SEARCH("TFHGV",[1]OUT_TransportEnergyCons!$C$3:$C$1000))*1,[1]OUT_TransportEnergyCons!N$3:N$1000)</f>
        <v>3.0146602721384883</v>
      </c>
      <c r="Q1622" s="1" cm="1">
        <f t="array" ref="Q1622">SUMPRODUCT(("TFHGV-BEVELC"=[1]OUT_TransportEnergyCons!$A$3:$A$1000)*1,("var_fout"=[1]OUT_TransportEnergyCons!$B$3:$B$1000)*1,ISNUMBER(SEARCH("TFHGV",[1]OUT_TransportEnergyCons!$C$3:$C$1000))*1,[1]OUT_TransportEnergyCons!O$3:O$1000)</f>
        <v>3.1326825707320491</v>
      </c>
      <c r="S1622" s="3"/>
    </row>
    <row r="1623" spans="2:19" x14ac:dyDescent="0.5">
      <c r="B1623" t="str">
        <f t="shared" si="1791"/>
        <v>SPS1</v>
      </c>
      <c r="C1623" t="str">
        <f t="shared" si="1792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4.4071846157201763E-4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1.380062544112591E-4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1.3746926826445046E-4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4.3644898610543548E-6</v>
      </c>
      <c r="J1623" s="1" cm="1">
        <f t="array" ref="J1623">SUMPRODUCT(("TFHGV-FCLH2O"=[1]OUT_TransportEnergyCons!$A$3:$A$1000)*1,("var_fout"=[1]OUT_TransportEnergyCons!$B$3:$B$1000)*1,ISNUMBER(SEARCH("TFHGV",[1]OUT_TransportEnergyCons!$C$3:$C$1000))*1,[1]OUT_TransportEnergyCons!H$3:H$1000)</f>
        <v>5.5463040562360105E-6</v>
      </c>
      <c r="K1623" s="1" cm="1">
        <f t="array" ref="K1623">SUMPRODUCT(("TFHGV-FCLH2O"=[1]OUT_TransportEnergyCons!$A$3:$A$1000)*1,("var_fout"=[1]OUT_TransportEnergyCons!$B$3:$B$1000)*1,ISNUMBER(SEARCH("TFHGV",[1]OUT_TransportEnergyCons!$C$3:$C$1000))*1,[1]OUT_TransportEnergyCons!I$3:I$1000)</f>
        <v>5.0046752313488778E-6</v>
      </c>
      <c r="L1623" s="1" cm="1">
        <f t="array" ref="L1623">SUMPRODUCT(("TFHGV-FCLH2O"=[1]OUT_TransportEnergyCons!$A$3:$A$1000)*1,("var_fout"=[1]OUT_TransportEnergyCons!$B$3:$B$1000)*1,ISNUMBER(SEARCH("TFHGV",[1]OUT_TransportEnergyCons!$C$3:$C$1000))*1,[1]OUT_TransportEnergyCons!J$3:J$1000)</f>
        <v>4.6874614998753753E-6</v>
      </c>
      <c r="M1623" s="1" cm="1">
        <f t="array" ref="M1623">SUMPRODUCT(("TFHGV-FCLH2O"=[1]OUT_TransportEnergyCons!$A$3:$A$1000)*1,("var_fout"=[1]OUT_TransportEnergyCons!$B$3:$B$1000)*1,ISNUMBER(SEARCH("TFHGV",[1]OUT_TransportEnergyCons!$C$3:$C$1000))*1,[1]OUT_TransportEnergyCons!K$3:K$1000)</f>
        <v>4.3246616220045394E-6</v>
      </c>
      <c r="N1623" s="1" cm="1">
        <f t="array" ref="N1623">SUMPRODUCT(("TFHGV-FCLH2O"=[1]OUT_TransportEnergyCons!$A$3:$A$1000)*1,("var_fout"=[1]OUT_TransportEnergyCons!$B$3:$B$1000)*1,ISNUMBER(SEARCH("TFHGV",[1]OUT_TransportEnergyCons!$C$3:$C$1000))*1,[1]OUT_TransportEnergyCons!L$3:L$1000)</f>
        <v>4.0711353863251498E-6</v>
      </c>
      <c r="O1623" s="1" cm="1">
        <f t="array" ref="O1623">SUMPRODUCT(("TFHGV-FCLH2O"=[1]OUT_TransportEnergyCons!$A$3:$A$1000)*1,("var_fout"=[1]OUT_TransportEnergyCons!$B$3:$B$1000)*1,ISNUMBER(SEARCH("TFHGV",[1]OUT_TransportEnergyCons!$C$3:$C$1000))*1,[1]OUT_TransportEnergyCons!M$3:M$1000)</f>
        <v>3.298795251550714E-6</v>
      </c>
      <c r="P1623" s="1" cm="1">
        <f t="array" ref="P1623">SUMPRODUCT(("TFHGV-FCLH2O"=[1]OUT_TransportEnergyCons!$A$3:$A$1000)*1,("var_fout"=[1]OUT_TransportEnergyCons!$B$3:$B$1000)*1,ISNUMBER(SEARCH("TFHGV",[1]OUT_TransportEnergyCons!$C$3:$C$1000))*1,[1]OUT_TransportEnergyCons!N$3:N$1000)</f>
        <v>3.9911971700900698E-6</v>
      </c>
      <c r="Q1623" s="1" cm="1">
        <f t="array" ref="Q1623">SUMPRODUCT(("TFHGV-FCLH2O"=[1]OUT_TransportEnergyCons!$A$3:$A$1000)*1,("var_fout"=[1]OUT_TransportEnergyCons!$B$3:$B$1000)*1,ISNUMBER(SEARCH("TFHGV",[1]OUT_TransportEnergyCons!$C$3:$C$1000))*1,[1]OUT_TransportEnergyCons!O$3:O$1000)</f>
        <v>5.9418980686928374E-6</v>
      </c>
      <c r="S1623" s="3"/>
    </row>
    <row r="1624" spans="2:19" x14ac:dyDescent="0.5">
      <c r="B1624" t="str">
        <f t="shared" si="1791"/>
        <v>SPS1</v>
      </c>
      <c r="C1624" t="str">
        <f t="shared" si="1792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SUMPRODUCT(("TFHGV-ICEGSLExt"=[1]OUT_TransportEnergyCons!$A$3:$A$1000)*1,("var_fout"=[1]OUT_TransportEnergyCons!$B$3:$B$1000)*1,ISNUMBER(SEARCH("TFHGV",[1]OUT_TransportEnergyCons!$C$3:$C$1000))*1,[1]OUT_TransportEnergyCons!H$3:H$1000)</f>
        <v>0</v>
      </c>
      <c r="K1624" s="1" cm="1">
        <f t="array" ref="K1624">SUMPRODUCT(("TFHGV-ICEGSLExt"=[1]OUT_TransportEnergyCons!$A$3:$A$1000)*1,("var_fout"=[1]OUT_TransportEnergyCons!$B$3:$B$1000)*1,ISNUMBER(SEARCH("TFHGV",[1]OUT_TransportEnergyCons!$C$3:$C$1000))*1,[1]OUT_TransportEnergyCons!I$3:I$1000)</f>
        <v>0</v>
      </c>
      <c r="L1624" s="1" cm="1">
        <f t="array" ref="L1624">SUMPRODUCT(("TFHGV-ICEGSLExt"=[1]OUT_TransportEnergyCons!$A$3:$A$1000)*1,("var_fout"=[1]OUT_TransportEnergyCons!$B$3:$B$1000)*1,ISNUMBER(SEARCH("TFHGV",[1]OUT_TransportEnergyCons!$C$3:$C$1000))*1,[1]OUT_TransportEnergyCons!J$3:J$1000)</f>
        <v>0</v>
      </c>
      <c r="M1624" s="1" cm="1">
        <f t="array" ref="M1624">SUMPRODUCT(("TFHGV-ICEGSLExt"=[1]OUT_TransportEnergyCons!$A$3:$A$1000)*1,("var_fout"=[1]OUT_TransportEnergyCons!$B$3:$B$1000)*1,ISNUMBER(SEARCH("TFHGV",[1]OUT_TransportEnergyCons!$C$3:$C$1000))*1,[1]OUT_TransportEnergyCons!K$3:K$1000)</f>
        <v>0</v>
      </c>
      <c r="N1624" s="1" cm="1">
        <f t="array" ref="N1624">SUMPRODUCT(("TFHGV-ICEGSLExt"=[1]OUT_TransportEnergyCons!$A$3:$A$1000)*1,("var_fout"=[1]OUT_TransportEnergyCons!$B$3:$B$1000)*1,ISNUMBER(SEARCH("TFHGV",[1]OUT_TransportEnergyCons!$C$3:$C$1000))*1,[1]OUT_TransportEnergyCons!L$3:L$1000)</f>
        <v>0</v>
      </c>
      <c r="O1624" s="1" cm="1">
        <f t="array" ref="O1624">SUMPRODUCT(("TFHGV-ICEGSLExt"=[1]OUT_TransportEnergyCons!$A$3:$A$1000)*1,("var_fout"=[1]OUT_TransportEnergyCons!$B$3:$B$1000)*1,ISNUMBER(SEARCH("TFHGV",[1]OUT_TransportEnergyCons!$C$3:$C$1000))*1,[1]OUT_TransportEnergyCons!M$3:M$1000)</f>
        <v>0</v>
      </c>
      <c r="P1624" s="1" cm="1">
        <f t="array" ref="P1624">SUMPRODUCT(("TFHGV-ICEGSLExt"=[1]OUT_TransportEnergyCons!$A$3:$A$1000)*1,("var_fout"=[1]OUT_TransportEnergyCons!$B$3:$B$1000)*1,ISNUMBER(SEARCH("TFHGV",[1]OUT_TransportEnergyCons!$C$3:$C$1000))*1,[1]OUT_TransportEnergyCons!N$3:N$1000)</f>
        <v>0</v>
      </c>
      <c r="Q1624" s="1" cm="1">
        <f t="array" ref="Q1624">SUMPRODUCT(("TFHGV-ICEGSLExt"=[1]OUT_TransportEnergyCons!$A$3:$A$1000)*1,("var_fout"=[1]OUT_TransportEnergyCons!$B$3:$B$1000)*1,ISNUMBER(SEARCH("TFHGV",[1]OUT_TransportEnergyCons!$C$3:$C$1000))*1,[1]OUT_TransportEnergyCons!O$3:O$1000)</f>
        <v>0</v>
      </c>
      <c r="S1624" s="3"/>
    </row>
    <row r="1625" spans="2:19" x14ac:dyDescent="0.5">
      <c r="B1625" t="str">
        <f t="shared" si="1791"/>
        <v>SPS1</v>
      </c>
      <c r="C1625" t="str">
        <f t="shared" si="1792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SUMPRODUCT(("TFHGV-ICEGSL"=[1]OUT_TransportEnergyCons!$A$3:$A$1000)*1,("var_fout"=[1]OUT_TransportEnergyCons!$B$3:$B$1000)*1,ISNUMBER(SEARCH("TFHGV",[1]OUT_TransportEnergyCons!$C$3:$C$1000))*1,[1]OUT_TransportEnergyCons!H$3:H$1000)</f>
        <v>0</v>
      </c>
      <c r="K1625" s="1" cm="1">
        <f t="array" ref="K1625">SUMPRODUCT(("TFHGV-ICEGSL"=[1]OUT_TransportEnergyCons!$A$3:$A$1000)*1,("var_fout"=[1]OUT_TransportEnergyCons!$B$3:$B$1000)*1,ISNUMBER(SEARCH("TFHGV",[1]OUT_TransportEnergyCons!$C$3:$C$1000))*1,[1]OUT_TransportEnergyCons!I$3:I$1000)</f>
        <v>0</v>
      </c>
      <c r="L1625" s="1" cm="1">
        <f t="array" ref="L1625">SUMPRODUCT(("TFHGV-ICEGSL"=[1]OUT_TransportEnergyCons!$A$3:$A$1000)*1,("var_fout"=[1]OUT_TransportEnergyCons!$B$3:$B$1000)*1,ISNUMBER(SEARCH("TFHGV",[1]OUT_TransportEnergyCons!$C$3:$C$1000))*1,[1]OUT_TransportEnergyCons!J$3:J$1000)</f>
        <v>0</v>
      </c>
      <c r="M1625" s="1" cm="1">
        <f t="array" ref="M1625">SUMPRODUCT(("TFHGV-ICEGSL"=[1]OUT_TransportEnergyCons!$A$3:$A$1000)*1,("var_fout"=[1]OUT_TransportEnergyCons!$B$3:$B$1000)*1,ISNUMBER(SEARCH("TFHGV",[1]OUT_TransportEnergyCons!$C$3:$C$1000))*1,[1]OUT_TransportEnergyCons!K$3:K$1000)</f>
        <v>0</v>
      </c>
      <c r="N1625" s="1" cm="1">
        <f t="array" ref="N1625">SUMPRODUCT(("TFHGV-ICEGSL"=[1]OUT_TransportEnergyCons!$A$3:$A$1000)*1,("var_fout"=[1]OUT_TransportEnergyCons!$B$3:$B$1000)*1,ISNUMBER(SEARCH("TFHGV",[1]OUT_TransportEnergyCons!$C$3:$C$1000))*1,[1]OUT_TransportEnergyCons!L$3:L$1000)</f>
        <v>0</v>
      </c>
      <c r="O1625" s="1" cm="1">
        <f t="array" ref="O1625">SUMPRODUCT(("TFHGV-ICEGSL"=[1]OUT_TransportEnergyCons!$A$3:$A$1000)*1,("var_fout"=[1]OUT_TransportEnergyCons!$B$3:$B$1000)*1,ISNUMBER(SEARCH("TFHGV",[1]OUT_TransportEnergyCons!$C$3:$C$1000))*1,[1]OUT_TransportEnergyCons!M$3:M$1000)</f>
        <v>0</v>
      </c>
      <c r="P1625" s="1" cm="1">
        <f t="array" ref="P1625">SUMPRODUCT(("TFHGV-ICEGSL"=[1]OUT_TransportEnergyCons!$A$3:$A$1000)*1,("var_fout"=[1]OUT_TransportEnergyCons!$B$3:$B$1000)*1,ISNUMBER(SEARCH("TFHGV",[1]OUT_TransportEnergyCons!$C$3:$C$1000))*1,[1]OUT_TransportEnergyCons!N$3:N$1000)</f>
        <v>0</v>
      </c>
      <c r="Q1625" s="1" cm="1">
        <f t="array" ref="Q1625">SUMPRODUCT(("TFHGV-ICEGSL"=[1]OUT_TransportEnergyCons!$A$3:$A$1000)*1,("var_fout"=[1]OUT_TransportEnergyCons!$B$3:$B$1000)*1,ISNUMBER(SEARCH("TFHGV",[1]OUT_TransportEnergyCons!$C$3:$C$1000))*1,[1]OUT_TransportEnergyCons!O$3:O$1000)</f>
        <v>0</v>
      </c>
      <c r="S1625" s="3"/>
    </row>
    <row r="1626" spans="2:19" x14ac:dyDescent="0.5">
      <c r="B1626" t="str">
        <f t="shared" si="1791"/>
        <v>SPS1</v>
      </c>
      <c r="C1626" t="str">
        <f t="shared" si="1792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1.5766575435063337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0.99142324367096724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0.99984892253714552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0.43051286411719686</v>
      </c>
      <c r="J1626" s="1" cm="1">
        <f t="array" ref="J1626">SUMPRODUCT(("TFHGV-ICEdslExt"=[1]OUT_TransportEnergyCons!$A$3:$A$1000)*1,("var_fout"=[1]OUT_TransportEnergyCons!$B$3:$B$1000)*1,ISNUMBER(SEARCH("TFHGV",[1]OUT_TransportEnergyCons!$C$3:$C$1000))*1,[1]OUT_TransportEnergyCons!H$3:H$1000)</f>
        <v>0</v>
      </c>
      <c r="K1626" s="1" cm="1">
        <f t="array" ref="K1626">SUMPRODUCT(("TFHGV-ICEdslExt"=[1]OUT_TransportEnergyCons!$A$3:$A$1000)*1,("var_fout"=[1]OUT_TransportEnergyCons!$B$3:$B$1000)*1,ISNUMBER(SEARCH("TFHGV",[1]OUT_TransportEnergyCons!$C$3:$C$1000))*1,[1]OUT_TransportEnergyCons!I$3:I$1000)</f>
        <v>0</v>
      </c>
      <c r="L1626" s="1" cm="1">
        <f t="array" ref="L1626">SUMPRODUCT(("TFHGV-ICEdslExt"=[1]OUT_TransportEnergyCons!$A$3:$A$1000)*1,("var_fout"=[1]OUT_TransportEnergyCons!$B$3:$B$1000)*1,ISNUMBER(SEARCH("TFHGV",[1]OUT_TransportEnergyCons!$C$3:$C$1000))*1,[1]OUT_TransportEnergyCons!J$3:J$1000)</f>
        <v>0</v>
      </c>
      <c r="M1626" s="1" cm="1">
        <f t="array" ref="M1626">SUMPRODUCT(("TFHGV-ICEdslExt"=[1]OUT_TransportEnergyCons!$A$3:$A$1000)*1,("var_fout"=[1]OUT_TransportEnergyCons!$B$3:$B$1000)*1,ISNUMBER(SEARCH("TFHGV",[1]OUT_TransportEnergyCons!$C$3:$C$1000))*1,[1]OUT_TransportEnergyCons!K$3:K$1000)</f>
        <v>0</v>
      </c>
      <c r="N1626" s="1" cm="1">
        <f t="array" ref="N1626">SUMPRODUCT(("TFHGV-ICEdslExt"=[1]OUT_TransportEnergyCons!$A$3:$A$1000)*1,("var_fout"=[1]OUT_TransportEnergyCons!$B$3:$B$1000)*1,ISNUMBER(SEARCH("TFHGV",[1]OUT_TransportEnergyCons!$C$3:$C$1000))*1,[1]OUT_TransportEnergyCons!L$3:L$1000)</f>
        <v>0</v>
      </c>
      <c r="O1626" s="1" cm="1">
        <f t="array" ref="O1626">SUMPRODUCT(("TFHGV-ICEdslExt"=[1]OUT_TransportEnergyCons!$A$3:$A$1000)*1,("var_fout"=[1]OUT_TransportEnergyCons!$B$3:$B$1000)*1,ISNUMBER(SEARCH("TFHGV",[1]OUT_TransportEnergyCons!$C$3:$C$1000))*1,[1]OUT_TransportEnergyCons!M$3:M$1000)</f>
        <v>0</v>
      </c>
      <c r="P1626" s="1" cm="1">
        <f t="array" ref="P1626">SUMPRODUCT(("TFHGV-ICEdslExt"=[1]OUT_TransportEnergyCons!$A$3:$A$1000)*1,("var_fout"=[1]OUT_TransportEnergyCons!$B$3:$B$1000)*1,ISNUMBER(SEARCH("TFHGV",[1]OUT_TransportEnergyCons!$C$3:$C$1000))*1,[1]OUT_TransportEnergyCons!N$3:N$1000)</f>
        <v>0</v>
      </c>
      <c r="Q1626" s="1" cm="1">
        <f t="array" ref="Q1626">SUMPRODUCT(("TFHGV-ICEdslExt"=[1]OUT_TransportEnergyCons!$A$3:$A$1000)*1,("var_fout"=[1]OUT_TransportEnergyCons!$B$3:$B$1000)*1,ISNUMBER(SEARCH("TFHGV",[1]OUT_TransportEnergyCons!$C$3:$C$1000))*1,[1]OUT_TransportEnergyCons!O$3:O$1000)</f>
        <v>0</v>
      </c>
      <c r="S1626" s="3"/>
    </row>
    <row r="1627" spans="2:19" x14ac:dyDescent="0.5">
      <c r="B1627" t="str">
        <f t="shared" si="1791"/>
        <v>SPS1</v>
      </c>
      <c r="C1627" t="str">
        <f t="shared" si="1792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0.62375188626484934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0.7300952258651513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0.57000193044893466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5.2205031348470855E-2</v>
      </c>
      <c r="J1627" s="1" cm="1">
        <f t="array" ref="J1627">SUMPRODUCT(("TFHGV-ICEdsl"=[1]OUT_TransportEnergyCons!$A$3:$A$1000)*1,("var_fout"=[1]OUT_TransportEnergyCons!$B$3:$B$1000)*1,ISNUMBER(SEARCH("TFHGV",[1]OUT_TransportEnergyCons!$C$3:$C$1000))*1,[1]OUT_TransportEnergyCons!H$3:H$1000)</f>
        <v>3.4644097885947451E-5</v>
      </c>
      <c r="K1627" s="1" cm="1">
        <f t="array" ref="K1627">SUMPRODUCT(("TFHGV-ICEdsl"=[1]OUT_TransportEnergyCons!$A$3:$A$1000)*1,("var_fout"=[1]OUT_TransportEnergyCons!$B$3:$B$1000)*1,ISNUMBER(SEARCH("TFHGV",[1]OUT_TransportEnergyCons!$C$3:$C$1000))*1,[1]OUT_TransportEnergyCons!I$3:I$1000)</f>
        <v>3.6082370784579063E-5</v>
      </c>
      <c r="L1627" s="1" cm="1">
        <f t="array" ref="L1627">SUMPRODUCT(("TFHGV-ICEdsl"=[1]OUT_TransportEnergyCons!$A$3:$A$1000)*1,("var_fout"=[1]OUT_TransportEnergyCons!$B$3:$B$1000)*1,ISNUMBER(SEARCH("TFHGV",[1]OUT_TransportEnergyCons!$C$3:$C$1000))*1,[1]OUT_TransportEnergyCons!J$3:J$1000)</f>
        <v>3.6546570928085074E-5</v>
      </c>
      <c r="M1627" s="1" cm="1">
        <f t="array" ref="M1627">SUMPRODUCT(("TFHGV-ICEdsl"=[1]OUT_TransportEnergyCons!$A$3:$A$1000)*1,("var_fout"=[1]OUT_TransportEnergyCons!$B$3:$B$1000)*1,ISNUMBER(SEARCH("TFHGV",[1]OUT_TransportEnergyCons!$C$3:$C$1000))*1,[1]OUT_TransportEnergyCons!K$3:K$1000)</f>
        <v>1.7949034704864559E-5</v>
      </c>
      <c r="N1627" s="1" cm="1">
        <f t="array" ref="N1627">SUMPRODUCT(("TFHGV-ICEdsl"=[1]OUT_TransportEnergyCons!$A$3:$A$1000)*1,("var_fout"=[1]OUT_TransportEnergyCons!$B$3:$B$1000)*1,ISNUMBER(SEARCH("TFHGV",[1]OUT_TransportEnergyCons!$C$3:$C$1000))*1,[1]OUT_TransportEnergyCons!L$3:L$1000)</f>
        <v>0</v>
      </c>
      <c r="O1627" s="1" cm="1">
        <f t="array" ref="O1627">SUMPRODUCT(("TFHGV-ICEdsl"=[1]OUT_TransportEnergyCons!$A$3:$A$1000)*1,("var_fout"=[1]OUT_TransportEnergyCons!$B$3:$B$1000)*1,ISNUMBER(SEARCH("TFHGV",[1]OUT_TransportEnergyCons!$C$3:$C$1000))*1,[1]OUT_TransportEnergyCons!M$3:M$1000)</f>
        <v>0</v>
      </c>
      <c r="P1627" s="1" cm="1">
        <f t="array" ref="P1627">SUMPRODUCT(("TFHGV-ICEdsl"=[1]OUT_TransportEnergyCons!$A$3:$A$1000)*1,("var_fout"=[1]OUT_TransportEnergyCons!$B$3:$B$1000)*1,ISNUMBER(SEARCH("TFHGV",[1]OUT_TransportEnergyCons!$C$3:$C$1000))*1,[1]OUT_TransportEnergyCons!N$3:N$1000)</f>
        <v>0</v>
      </c>
      <c r="Q1627" s="1" cm="1">
        <f t="array" ref="Q1627">SUMPRODUCT(("TFHGV-ICEdsl"=[1]OUT_TransportEnergyCons!$A$3:$A$1000)*1,("var_fout"=[1]OUT_TransportEnergyCons!$B$3:$B$1000)*1,ISNUMBER(SEARCH("TFHGV",[1]OUT_TransportEnergyCons!$C$3:$C$1000))*1,[1]OUT_TransportEnergyCons!O$3:O$1000)</f>
        <v>0</v>
      </c>
      <c r="S1627" s="3"/>
    </row>
    <row r="1628" spans="2:19" x14ac:dyDescent="0.5">
      <c r="B1628" t="str">
        <f t="shared" si="1791"/>
        <v>SPS1</v>
      </c>
      <c r="C1628" t="str">
        <f t="shared" si="1792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0.50281627553137576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0.68883829964314669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1.8346496498412583</v>
      </c>
      <c r="J1628" s="1" cm="1">
        <f t="array" ref="J1628">SUMPRODUCT(("TFHGV-HYBDSL"=[1]OUT_TransportEnergyCons!$A$3:$A$1000)*1,("var_fout"=[1]OUT_TransportEnergyCons!$B$3:$B$1000)*1,ISNUMBER(SEARCH("TFHGV",[1]OUT_TransportEnergyCons!$C$3:$C$1000))*1,[1]OUT_TransportEnergyCons!H$3:H$1000)</f>
        <v>1.9811046548612083</v>
      </c>
      <c r="K1628" s="1" cm="1">
        <f t="array" ref="K1628">SUMPRODUCT(("TFHGV-HYBDSL"=[1]OUT_TransportEnergyCons!$A$3:$A$1000)*1,("var_fout"=[1]OUT_TransportEnergyCons!$B$3:$B$1000)*1,ISNUMBER(SEARCH("TFHGV",[1]OUT_TransportEnergyCons!$C$3:$C$1000))*1,[1]OUT_TransportEnergyCons!I$3:I$1000)</f>
        <v>1.7694512303501533</v>
      </c>
      <c r="L1628" s="1" cm="1">
        <f t="array" ref="L1628">SUMPRODUCT(("TFHGV-HYBDSL"=[1]OUT_TransportEnergyCons!$A$3:$A$1000)*1,("var_fout"=[1]OUT_TransportEnergyCons!$B$3:$B$1000)*1,ISNUMBER(SEARCH("TFHGV",[1]OUT_TransportEnergyCons!$C$3:$C$1000))*1,[1]OUT_TransportEnergyCons!J$3:J$1000)</f>
        <v>0.80900259839914146</v>
      </c>
      <c r="M1628" s="1" cm="1">
        <f t="array" ref="M1628">SUMPRODUCT(("TFHGV-HYBDSL"=[1]OUT_TransportEnergyCons!$A$3:$A$1000)*1,("var_fout"=[1]OUT_TransportEnergyCons!$B$3:$B$1000)*1,ISNUMBER(SEARCH("TFHGV",[1]OUT_TransportEnergyCons!$C$3:$C$1000))*1,[1]OUT_TransportEnergyCons!K$3:K$1000)</f>
        <v>0.32724723413558759</v>
      </c>
      <c r="N1628" s="1" cm="1">
        <f t="array" ref="N1628">SUMPRODUCT(("TFHGV-HYBDSL"=[1]OUT_TransportEnergyCons!$A$3:$A$1000)*1,("var_fout"=[1]OUT_TransportEnergyCons!$B$3:$B$1000)*1,ISNUMBER(SEARCH("TFHGV",[1]OUT_TransportEnergyCons!$C$3:$C$1000))*1,[1]OUT_TransportEnergyCons!L$3:L$1000)</f>
        <v>0</v>
      </c>
      <c r="O1628" s="1" cm="1">
        <f t="array" ref="O1628">SUMPRODUCT(("TFHGV-HYBDSL"=[1]OUT_TransportEnergyCons!$A$3:$A$1000)*1,("var_fout"=[1]OUT_TransportEnergyCons!$B$3:$B$1000)*1,ISNUMBER(SEARCH("TFHGV",[1]OUT_TransportEnergyCons!$C$3:$C$1000))*1,[1]OUT_TransportEnergyCons!M$3:M$1000)</f>
        <v>0</v>
      </c>
      <c r="P1628" s="1" cm="1">
        <f t="array" ref="P1628">SUMPRODUCT(("TFHGV-HYBDSL"=[1]OUT_TransportEnergyCons!$A$3:$A$1000)*1,("var_fout"=[1]OUT_TransportEnergyCons!$B$3:$B$1000)*1,ISNUMBER(SEARCH("TFHGV",[1]OUT_TransportEnergyCons!$C$3:$C$1000))*1,[1]OUT_TransportEnergyCons!N$3:N$1000)</f>
        <v>0</v>
      </c>
      <c r="Q1628" s="1" cm="1">
        <f t="array" ref="Q1628">SUMPRODUCT(("TFHGV-HYBDSL"=[1]OUT_TransportEnergyCons!$A$3:$A$1000)*1,("var_fout"=[1]OUT_TransportEnergyCons!$B$3:$B$1000)*1,ISNUMBER(SEARCH("TFHGV",[1]OUT_TransportEnergyCons!$C$3:$C$1000))*1,[1]OUT_TransportEnergyCons!O$3:O$1000)</f>
        <v>0</v>
      </c>
      <c r="S1628" s="3"/>
    </row>
    <row r="1629" spans="2:19" x14ac:dyDescent="0.5">
      <c r="B1629" t="str">
        <f t="shared" si="1791"/>
        <v>SPS1</v>
      </c>
      <c r="C1629" t="str">
        <f t="shared" si="1792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1.1096531798543401E-3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9.4247855012670969E-5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1.2020351214938548E-4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1.2314882242149596E-4</v>
      </c>
      <c r="J1629" s="1" cm="1">
        <f t="array" ref="J1629">SUMPRODUCT(("TFHGV-ICENGA"=[1]OUT_TransportEnergyCons!$A$3:$A$1000)*1,("var_fout"=[1]OUT_TransportEnergyCons!$B$3:$B$1000)*1,ISNUMBER(SEARCH("TFHGV",[1]OUT_TransportEnergyCons!$C$3:$C$1000))*1,[1]OUT_TransportEnergyCons!H$3:H$1000)</f>
        <v>1.1672492736663008E-4</v>
      </c>
      <c r="K1629" s="1" cm="1">
        <f t="array" ref="K1629">SUMPRODUCT(("TFHGV-ICENGA"=[1]OUT_TransportEnergyCons!$A$3:$A$1000)*1,("var_fout"=[1]OUT_TransportEnergyCons!$B$3:$B$1000)*1,ISNUMBER(SEARCH("TFHGV",[1]OUT_TransportEnergyCons!$C$3:$C$1000))*1,[1]OUT_TransportEnergyCons!I$3:I$1000)</f>
        <v>1.2507170552911317E-4</v>
      </c>
      <c r="L1629" s="1" cm="1">
        <f t="array" ref="L1629">SUMPRODUCT(("TFHGV-ICENGA"=[1]OUT_TransportEnergyCons!$A$3:$A$1000)*1,("var_fout"=[1]OUT_TransportEnergyCons!$B$3:$B$1000)*1,ISNUMBER(SEARCH("TFHGV",[1]OUT_TransportEnergyCons!$C$3:$C$1000))*1,[1]OUT_TransportEnergyCons!J$3:J$1000)</f>
        <v>1.2124597406188471E-4</v>
      </c>
      <c r="M1629" s="1" cm="1">
        <f t="array" ref="M1629">SUMPRODUCT(("TFHGV-ICENGA"=[1]OUT_TransportEnergyCons!$A$3:$A$1000)*1,("var_fout"=[1]OUT_TransportEnergyCons!$B$3:$B$1000)*1,ISNUMBER(SEARCH("TFHGV",[1]OUT_TransportEnergyCons!$C$3:$C$1000))*1,[1]OUT_TransportEnergyCons!K$3:K$1000)</f>
        <v>5.8508999230101368E-5</v>
      </c>
      <c r="N1629" s="1" cm="1">
        <f t="array" ref="N1629">SUMPRODUCT(("TFHGV-ICENGA"=[1]OUT_TransportEnergyCons!$A$3:$A$1000)*1,("var_fout"=[1]OUT_TransportEnergyCons!$B$3:$B$1000)*1,ISNUMBER(SEARCH("TFHGV",[1]OUT_TransportEnergyCons!$C$3:$C$1000))*1,[1]OUT_TransportEnergyCons!L$3:L$1000)</f>
        <v>0</v>
      </c>
      <c r="O1629" s="1" cm="1">
        <f t="array" ref="O1629">SUMPRODUCT(("TFHGV-ICENGA"=[1]OUT_TransportEnergyCons!$A$3:$A$1000)*1,("var_fout"=[1]OUT_TransportEnergyCons!$B$3:$B$1000)*1,ISNUMBER(SEARCH("TFHGV",[1]OUT_TransportEnergyCons!$C$3:$C$1000))*1,[1]OUT_TransportEnergyCons!M$3:M$1000)</f>
        <v>0</v>
      </c>
      <c r="P1629" s="1" cm="1">
        <f t="array" ref="P1629">SUMPRODUCT(("TFHGV-ICENGA"=[1]OUT_TransportEnergyCons!$A$3:$A$1000)*1,("var_fout"=[1]OUT_TransportEnergyCons!$B$3:$B$1000)*1,ISNUMBER(SEARCH("TFHGV",[1]OUT_TransportEnergyCons!$C$3:$C$1000))*1,[1]OUT_TransportEnergyCons!N$3:N$1000)</f>
        <v>0</v>
      </c>
      <c r="Q1629" s="1" cm="1">
        <f t="array" ref="Q1629">SUMPRODUCT(("TFHGV-ICENGA"=[1]OUT_TransportEnergyCons!$A$3:$A$1000)*1,("var_fout"=[1]OUT_TransportEnergyCons!$B$3:$B$1000)*1,ISNUMBER(SEARCH("TFHGV",[1]OUT_TransportEnergyCons!$C$3:$C$1000))*1,[1]OUT_TransportEnergyCons!O$3:O$1000)</f>
        <v>0</v>
      </c>
      <c r="S1629" s="3"/>
    </row>
    <row r="1630" spans="2:19" x14ac:dyDescent="0.5">
      <c r="B1630" s="2" t="str">
        <f t="shared" si="1791"/>
        <v>SPS1</v>
      </c>
      <c r="C1630" s="2" t="str">
        <f t="shared" si="1792"/>
        <v>CH</v>
      </c>
      <c r="D1630" s="2" t="s">
        <v>1633</v>
      </c>
      <c r="E1630" s="2" t="s">
        <v>1229</v>
      </c>
      <c r="F1630" s="22" t="s">
        <v>292</v>
      </c>
      <c r="G1630" s="22" t="s">
        <v>292</v>
      </c>
      <c r="H1630" s="22" t="s">
        <v>292</v>
      </c>
      <c r="I1630" s="22" t="s">
        <v>292</v>
      </c>
      <c r="J1630" s="22" t="s">
        <v>292</v>
      </c>
      <c r="K1630" s="22" t="s">
        <v>292</v>
      </c>
      <c r="L1630" s="22" t="s">
        <v>292</v>
      </c>
      <c r="M1630" s="22" t="s">
        <v>292</v>
      </c>
      <c r="N1630" s="22" t="s">
        <v>292</v>
      </c>
      <c r="O1630" s="22" t="s">
        <v>292</v>
      </c>
      <c r="P1630" s="22" t="s">
        <v>292</v>
      </c>
      <c r="Q1630" s="22" t="s">
        <v>292</v>
      </c>
      <c r="S1630" s="3"/>
    </row>
    <row r="1631" spans="2:19" x14ac:dyDescent="0.5">
      <c r="B1631" t="str">
        <f t="shared" si="1791"/>
        <v>SPS1</v>
      </c>
      <c r="C1631" t="str">
        <f t="shared" si="1792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829">IFERROR(G1621/G1595,"-")</f>
        <v>-</v>
      </c>
      <c r="H1631" s="1" t="str">
        <f t="shared" si="1829"/>
        <v>-</v>
      </c>
      <c r="I1631" s="1" t="str">
        <f t="shared" si="1829"/>
        <v>-</v>
      </c>
      <c r="J1631" s="1" t="str">
        <f t="shared" si="1829"/>
        <v>-</v>
      </c>
      <c r="K1631" s="1" t="str">
        <f t="shared" si="1829"/>
        <v>-</v>
      </c>
      <c r="L1631" s="1" t="str">
        <f t="shared" ref="L1631:O1631" si="1830">IFERROR(L1621/L1595,"-")</f>
        <v>-</v>
      </c>
      <c r="M1631" s="1" t="str">
        <f t="shared" si="1830"/>
        <v>-</v>
      </c>
      <c r="N1631" s="1" t="str">
        <f t="shared" si="1830"/>
        <v>-</v>
      </c>
      <c r="O1631" s="1" t="str">
        <f t="shared" si="1830"/>
        <v>-</v>
      </c>
      <c r="P1631" s="1" t="str">
        <f>IFERROR(P1621/P1595,"-")</f>
        <v>-</v>
      </c>
      <c r="Q1631" s="1" t="str">
        <f>IFERROR(Q1621/Q1595,"-")</f>
        <v>-</v>
      </c>
      <c r="S1631" s="3"/>
    </row>
    <row r="1632" spans="2:19" x14ac:dyDescent="0.5">
      <c r="B1632" t="str">
        <f t="shared" si="1791"/>
        <v>SPS1</v>
      </c>
      <c r="C1632" t="str">
        <f t="shared" si="1792"/>
        <v>CH</v>
      </c>
      <c r="D1632" t="s">
        <v>1635</v>
      </c>
      <c r="E1632" t="str">
        <f t="shared" ref="E1632:E1639" si="1831">E1631</f>
        <v>km/MJ</v>
      </c>
      <c r="F1632" s="1">
        <f>IFERROR(F1622/F1596,"-")</f>
        <v>0.26872776416540911</v>
      </c>
      <c r="G1632" s="1">
        <f t="shared" ref="G1632:K1632" si="1832">IFERROR(G1622/G1596,"-")</f>
        <v>0.27094575449918434</v>
      </c>
      <c r="H1632" s="1">
        <f t="shared" si="1832"/>
        <v>0.27134301761650137</v>
      </c>
      <c r="I1632" s="1">
        <f t="shared" si="1832"/>
        <v>0.27398884276492552</v>
      </c>
      <c r="J1632" s="1">
        <f t="shared" si="1832"/>
        <v>0.30493924734918859</v>
      </c>
      <c r="K1632" s="1">
        <f t="shared" si="1832"/>
        <v>0.31134557705183435</v>
      </c>
      <c r="L1632" s="1">
        <f t="shared" ref="L1632:O1632" si="1833">IFERROR(L1622/L1596,"-")</f>
        <v>0.32701757321410496</v>
      </c>
      <c r="M1632" s="1">
        <f t="shared" si="1833"/>
        <v>0.3342938239979466</v>
      </c>
      <c r="N1632" s="1">
        <f t="shared" si="1833"/>
        <v>0.33941433665773885</v>
      </c>
      <c r="O1632" s="1">
        <f t="shared" si="1833"/>
        <v>0.3394143366577389</v>
      </c>
      <c r="P1632" s="1">
        <f>IFERROR(P1622/P1596,"-")</f>
        <v>0.33941433665773879</v>
      </c>
      <c r="Q1632" s="1">
        <f>IFERROR(Q1622/Q1596,"-")</f>
        <v>0.33941433665773918</v>
      </c>
      <c r="S1632" s="3"/>
    </row>
    <row r="1633" spans="2:19" x14ac:dyDescent="0.5">
      <c r="B1633" t="str">
        <f t="shared" si="1791"/>
        <v>SPS1</v>
      </c>
      <c r="C1633" t="str">
        <f t="shared" si="1792"/>
        <v>CH</v>
      </c>
      <c r="D1633" t="s">
        <v>1636</v>
      </c>
      <c r="E1633" t="str">
        <f t="shared" si="1831"/>
        <v>km/MJ</v>
      </c>
      <c r="F1633" s="1">
        <f>IFERROR(F1623/F1598,"-")</f>
        <v>0.17445873125089906</v>
      </c>
      <c r="G1633" s="1">
        <f t="shared" ref="G1633:K1633" si="1834">IFERROR(G1623/G1598,"-")</f>
        <v>0.17521894128174836</v>
      </c>
      <c r="H1633" s="1">
        <f t="shared" si="1834"/>
        <v>0.17527301551266933</v>
      </c>
      <c r="I1633" s="1">
        <f t="shared" si="1834"/>
        <v>0.17972425084054616</v>
      </c>
      <c r="J1633" s="1">
        <f t="shared" si="1834"/>
        <v>0.19483264404592343</v>
      </c>
      <c r="K1633" s="1">
        <f t="shared" si="1834"/>
        <v>0.19941682269974048</v>
      </c>
      <c r="L1633" s="1">
        <f t="shared" ref="L1633:O1633" si="1835">IFERROR(L1623/L1598,"-")</f>
        <v>0.20877293786451862</v>
      </c>
      <c r="M1633" s="1">
        <f t="shared" si="1835"/>
        <v>0.21496790136474564</v>
      </c>
      <c r="N1633" s="1">
        <f t="shared" si="1835"/>
        <v>0.21890981102623211</v>
      </c>
      <c r="O1633" s="1">
        <f t="shared" si="1835"/>
        <v>0.21890981102623197</v>
      </c>
      <c r="P1633" s="1">
        <f>IFERROR(P1623/P1598,"-")</f>
        <v>0.21890981102623189</v>
      </c>
      <c r="Q1633" s="1">
        <f>IFERROR(Q1623/Q1598,"-")</f>
        <v>0.218909811026232</v>
      </c>
      <c r="S1633" s="3"/>
    </row>
    <row r="1634" spans="2:19" x14ac:dyDescent="0.5">
      <c r="B1634" t="str">
        <f t="shared" si="1791"/>
        <v>SPS1</v>
      </c>
      <c r="C1634" t="str">
        <f t="shared" si="1792"/>
        <v>CH</v>
      </c>
      <c r="D1634" t="s">
        <v>1637</v>
      </c>
      <c r="E1634" t="str">
        <f t="shared" si="1831"/>
        <v>km/MJ</v>
      </c>
      <c r="F1634" s="1" t="str">
        <f>IFERROR(F1624/F1604,"-")</f>
        <v>-</v>
      </c>
      <c r="G1634" s="1" t="str">
        <f t="shared" ref="G1634:K1634" si="1836">IFERROR(G1624/G1604,"-")</f>
        <v>-</v>
      </c>
      <c r="H1634" s="1" t="str">
        <f t="shared" si="1836"/>
        <v>-</v>
      </c>
      <c r="I1634" s="1" t="str">
        <f t="shared" si="1836"/>
        <v>-</v>
      </c>
      <c r="J1634" s="1" t="str">
        <f t="shared" si="1836"/>
        <v>-</v>
      </c>
      <c r="K1634" s="1" t="str">
        <f t="shared" si="1836"/>
        <v>-</v>
      </c>
      <c r="L1634" s="1" t="str">
        <f t="shared" ref="L1634:O1634" si="1837">IFERROR(L1624/L1604,"-")</f>
        <v>-</v>
      </c>
      <c r="M1634" s="1" t="str">
        <f t="shared" si="1837"/>
        <v>-</v>
      </c>
      <c r="N1634" s="1" t="str">
        <f t="shared" si="1837"/>
        <v>-</v>
      </c>
      <c r="O1634" s="1" t="str">
        <f t="shared" si="1837"/>
        <v>-</v>
      </c>
      <c r="P1634" s="1" t="str">
        <f>IFERROR(P1624/P1604,"-")</f>
        <v>-</v>
      </c>
      <c r="Q1634" s="1" t="str">
        <f>IFERROR(Q1624/Q1604,"-")</f>
        <v>-</v>
      </c>
      <c r="S1634" s="3"/>
    </row>
    <row r="1635" spans="2:19" x14ac:dyDescent="0.5">
      <c r="B1635" t="str">
        <f t="shared" si="1791"/>
        <v>SPS1</v>
      </c>
      <c r="C1635" t="str">
        <f t="shared" si="1792"/>
        <v>CH</v>
      </c>
      <c r="D1635" t="s">
        <v>1638</v>
      </c>
      <c r="E1635" t="str">
        <f t="shared" si="1831"/>
        <v>km/MJ</v>
      </c>
      <c r="F1635" s="1" t="str">
        <f>IFERROR(F1625/F1605,"-")</f>
        <v>-</v>
      </c>
      <c r="G1635" s="1" t="str">
        <f t="shared" ref="G1635:K1635" si="1838">IFERROR(G1625/G1605,"-")</f>
        <v>-</v>
      </c>
      <c r="H1635" s="1" t="str">
        <f t="shared" si="1838"/>
        <v>-</v>
      </c>
      <c r="I1635" s="1" t="str">
        <f t="shared" si="1838"/>
        <v>-</v>
      </c>
      <c r="J1635" s="1" t="str">
        <f t="shared" si="1838"/>
        <v>-</v>
      </c>
      <c r="K1635" s="1" t="str">
        <f t="shared" si="1838"/>
        <v>-</v>
      </c>
      <c r="L1635" s="1" t="str">
        <f t="shared" ref="L1635:O1635" si="1839">IFERROR(L1625/L1605,"-")</f>
        <v>-</v>
      </c>
      <c r="M1635" s="1" t="str">
        <f t="shared" si="1839"/>
        <v>-</v>
      </c>
      <c r="N1635" s="1" t="str">
        <f t="shared" si="1839"/>
        <v>-</v>
      </c>
      <c r="O1635" s="1" t="str">
        <f t="shared" si="1839"/>
        <v>-</v>
      </c>
      <c r="P1635" s="1" t="str">
        <f>IFERROR(P1625/P1605,"-")</f>
        <v>-</v>
      </c>
      <c r="Q1635" s="1" t="str">
        <f>IFERROR(Q1625/Q1605,"-")</f>
        <v>-</v>
      </c>
      <c r="S1635" s="3"/>
    </row>
    <row r="1636" spans="2:19" x14ac:dyDescent="0.5">
      <c r="B1636" t="str">
        <f t="shared" si="1791"/>
        <v>SPS1</v>
      </c>
      <c r="C1636" t="str">
        <f t="shared" si="1792"/>
        <v>CH</v>
      </c>
      <c r="D1636" t="s">
        <v>1639</v>
      </c>
      <c r="E1636" t="str">
        <f t="shared" si="1831"/>
        <v>km/MJ</v>
      </c>
      <c r="F1636" s="1">
        <f>IFERROR(F1626/F1611,"-")</f>
        <v>8.1953661871669831E-2</v>
      </c>
      <c r="G1636" s="1">
        <f t="shared" ref="G1636:K1636" si="1840">IFERROR(G1626/G1611,"-")</f>
        <v>8.3996210615660261E-2</v>
      </c>
      <c r="H1636" s="1">
        <f t="shared" si="1840"/>
        <v>8.7060033731646072E-2</v>
      </c>
      <c r="I1636" s="1">
        <f t="shared" si="1840"/>
        <v>8.7060033731646017E-2</v>
      </c>
      <c r="J1636" s="1" t="str">
        <f t="shared" si="1840"/>
        <v>-</v>
      </c>
      <c r="K1636" s="1" t="str">
        <f t="shared" si="1840"/>
        <v>-</v>
      </c>
      <c r="L1636" s="1" t="str">
        <f t="shared" ref="L1636:O1636" si="1841">IFERROR(L1626/L1611,"-")</f>
        <v>-</v>
      </c>
      <c r="M1636" s="1" t="str">
        <f t="shared" si="1841"/>
        <v>-</v>
      </c>
      <c r="N1636" s="1" t="str">
        <f t="shared" si="1841"/>
        <v>-</v>
      </c>
      <c r="O1636" s="1" t="str">
        <f t="shared" si="1841"/>
        <v>-</v>
      </c>
      <c r="P1636" s="1" t="str">
        <f t="shared" ref="P1636:Q1638" si="1842">IFERROR(P1626/P1611,"-")</f>
        <v>-</v>
      </c>
      <c r="Q1636" s="1" t="str">
        <f t="shared" si="1842"/>
        <v>-</v>
      </c>
      <c r="S1636" s="3"/>
    </row>
    <row r="1637" spans="2:19" x14ac:dyDescent="0.5">
      <c r="B1637" t="str">
        <f t="shared" si="1791"/>
        <v>SPS1</v>
      </c>
      <c r="C1637" t="str">
        <f t="shared" si="1792"/>
        <v>CH</v>
      </c>
      <c r="D1637" t="s">
        <v>1640</v>
      </c>
      <c r="E1637" t="str">
        <f t="shared" si="1831"/>
        <v>km/MJ</v>
      </c>
      <c r="F1637" s="1">
        <f>IFERROR(F1627/F1612,"-")</f>
        <v>0.11870351496053484</v>
      </c>
      <c r="G1637" s="1">
        <f t="shared" ref="G1637:K1637" si="1843">IFERROR(G1627/G1612,"-")</f>
        <v>0.11870351496053506</v>
      </c>
      <c r="H1637" s="1">
        <f t="shared" si="1843"/>
        <v>0.11870351496053499</v>
      </c>
      <c r="I1637" s="1">
        <f t="shared" si="1843"/>
        <v>0.11870351496053529</v>
      </c>
      <c r="J1637" s="1">
        <f t="shared" si="1843"/>
        <v>0.11870351496053509</v>
      </c>
      <c r="K1637" s="1">
        <f t="shared" si="1843"/>
        <v>0.11870351496053506</v>
      </c>
      <c r="L1637" s="1">
        <f t="shared" ref="L1637:O1637" si="1844">IFERROR(L1627/L1612,"-")</f>
        <v>0.11870351496053506</v>
      </c>
      <c r="M1637" s="1">
        <f t="shared" si="1844"/>
        <v>0.11870351496053509</v>
      </c>
      <c r="N1637" s="1" t="str">
        <f t="shared" si="1844"/>
        <v>-</v>
      </c>
      <c r="O1637" s="1" t="str">
        <f t="shared" si="1844"/>
        <v>-</v>
      </c>
      <c r="P1637" s="1" t="str">
        <f t="shared" si="1842"/>
        <v>-</v>
      </c>
      <c r="Q1637" s="1" t="str">
        <f t="shared" si="1842"/>
        <v>-</v>
      </c>
      <c r="S1637" s="3"/>
    </row>
    <row r="1638" spans="2:19" x14ac:dyDescent="0.5">
      <c r="B1638" t="str">
        <f t="shared" si="1791"/>
        <v>SPS1</v>
      </c>
      <c r="C1638" t="str">
        <f t="shared" si="1792"/>
        <v>CH</v>
      </c>
      <c r="D1638" t="s">
        <v>1641</v>
      </c>
      <c r="E1638" t="str">
        <f t="shared" si="1831"/>
        <v>km/MJ</v>
      </c>
      <c r="F1638" s="1" t="str">
        <f>IFERROR(F1628/F1613,"-")</f>
        <v>-</v>
      </c>
      <c r="G1638" s="1">
        <f t="shared" ref="G1638:K1638" si="1845">IFERROR(G1628/G1613,"-")</f>
        <v>0.16346685209675801</v>
      </c>
      <c r="H1638" s="1">
        <f t="shared" si="1845"/>
        <v>0.16346685209675807</v>
      </c>
      <c r="I1638" s="1">
        <f t="shared" si="1845"/>
        <v>0.16346685209675801</v>
      </c>
      <c r="J1638" s="1">
        <f t="shared" si="1845"/>
        <v>0.16346685209675796</v>
      </c>
      <c r="K1638" s="1">
        <f t="shared" si="1845"/>
        <v>0.16346685209675824</v>
      </c>
      <c r="L1638" s="1">
        <f t="shared" ref="L1638:O1638" si="1846">IFERROR(L1628/L1613,"-")</f>
        <v>0.16346685209675793</v>
      </c>
      <c r="M1638" s="1">
        <f t="shared" si="1846"/>
        <v>0.16346685209675801</v>
      </c>
      <c r="N1638" s="1" t="str">
        <f t="shared" si="1846"/>
        <v>-</v>
      </c>
      <c r="O1638" s="1" t="str">
        <f t="shared" si="1846"/>
        <v>-</v>
      </c>
      <c r="P1638" s="1" t="str">
        <f t="shared" si="1842"/>
        <v>-</v>
      </c>
      <c r="Q1638" s="1" t="str">
        <f t="shared" si="1842"/>
        <v>-</v>
      </c>
      <c r="S1638" s="3"/>
    </row>
    <row r="1639" spans="2:19" x14ac:dyDescent="0.5">
      <c r="B1639" t="str">
        <f t="shared" si="1791"/>
        <v>SPS1</v>
      </c>
      <c r="C1639" t="str">
        <f t="shared" si="1792"/>
        <v>CH</v>
      </c>
      <c r="D1639" t="s">
        <v>1642</v>
      </c>
      <c r="E1639" t="str">
        <f t="shared" si="1831"/>
        <v>km/MJ</v>
      </c>
      <c r="F1639" s="1">
        <f>IFERROR(F1629/F1619,"-")</f>
        <v>0.1032236535877601</v>
      </c>
      <c r="G1639" s="1">
        <f t="shared" ref="G1639:K1639" si="1847">IFERROR(G1629/G1619,"-")</f>
        <v>0.1036366170502256</v>
      </c>
      <c r="H1639" s="1">
        <f t="shared" si="1847"/>
        <v>0.10407502480809235</v>
      </c>
      <c r="I1639" s="1">
        <f t="shared" si="1847"/>
        <v>0.1099503274175823</v>
      </c>
      <c r="J1639" s="1">
        <f t="shared" si="1847"/>
        <v>0.11530832084395323</v>
      </c>
      <c r="K1639" s="1">
        <f t="shared" si="1847"/>
        <v>0.11786365307167131</v>
      </c>
      <c r="L1639" s="1">
        <f t="shared" ref="L1639:O1639" si="1848">IFERROR(L1629/L1619,"-")</f>
        <v>0.12445238962859272</v>
      </c>
      <c r="M1639" s="1">
        <f t="shared" si="1848"/>
        <v>0.12521814892046404</v>
      </c>
      <c r="N1639" s="1" t="str">
        <f t="shared" si="1848"/>
        <v>-</v>
      </c>
      <c r="O1639" s="1" t="str">
        <f t="shared" si="1848"/>
        <v>-</v>
      </c>
      <c r="P1639" s="1" t="str">
        <f>IFERROR(P1629/P1619,"-")</f>
        <v>-</v>
      </c>
      <c r="Q1639" s="1" t="str">
        <f>IFERROR(Q1629/Q1619,"-")</f>
        <v>-</v>
      </c>
      <c r="S1639" s="3"/>
    </row>
    <row r="1640" spans="2:19" x14ac:dyDescent="0.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10.966836436919312</v>
      </c>
      <c r="G1640" s="1">
        <f t="shared" ref="G1640:K1640" si="1849">G1641+G1645+G1649+G1655</f>
        <v>10.359807397852872</v>
      </c>
      <c r="H1640" s="1">
        <f t="shared" si="1849"/>
        <v>11.550838817454208</v>
      </c>
      <c r="I1640" s="1">
        <f t="shared" si="1849"/>
        <v>12.708694282765309</v>
      </c>
      <c r="J1640" s="1">
        <f t="shared" si="1849"/>
        <v>13.678335443618503</v>
      </c>
      <c r="K1640" s="1">
        <f t="shared" si="1849"/>
        <v>15.365143103581946</v>
      </c>
      <c r="L1640" s="1">
        <f t="shared" ref="L1640:O1640" si="1850">L1641+L1645+L1649+L1655</f>
        <v>17.685420762153434</v>
      </c>
      <c r="M1640" s="1">
        <f t="shared" si="1850"/>
        <v>19.192576813539066</v>
      </c>
      <c r="N1640" s="1">
        <f t="shared" si="1850"/>
        <v>19.74714238015585</v>
      </c>
      <c r="O1640" s="1">
        <f t="shared" si="1850"/>
        <v>20.316161908596072</v>
      </c>
      <c r="P1640" s="1">
        <f>P1641+P1645+P1649+P1655</f>
        <v>20.822536381508343</v>
      </c>
      <c r="Q1640" s="1">
        <f>Q1641+Q1645+Q1649+Q1655</f>
        <v>21.32721900403789</v>
      </c>
      <c r="S1640" s="3"/>
    </row>
    <row r="1641" spans="2:19" x14ac:dyDescent="0.5">
      <c r="B1641" t="str">
        <f t="shared" ref="B1641:B1662" si="1851">B1640</f>
        <v>SPS1</v>
      </c>
      <c r="C1641" t="str">
        <f t="shared" ref="C1641:C1687" si="1852">C1640</f>
        <v>CH</v>
      </c>
      <c r="D1641" t="s">
        <v>1652</v>
      </c>
      <c r="E1641" t="s">
        <v>8</v>
      </c>
      <c r="F1641" s="1">
        <f>SUM(F1642:F1644)</f>
        <v>9.2070286731909547</v>
      </c>
      <c r="G1641" s="1">
        <f t="shared" ref="G1641:K1641" si="1853">SUM(G1642:G1644)</f>
        <v>9.5634932148642608</v>
      </c>
      <c r="H1641" s="1">
        <f t="shared" si="1853"/>
        <v>9.9543078990811313</v>
      </c>
      <c r="I1641" s="1">
        <f t="shared" si="1853"/>
        <v>10.606377169949083</v>
      </c>
      <c r="J1641" s="1">
        <f t="shared" si="1853"/>
        <v>11.575998993048598</v>
      </c>
      <c r="K1641" s="1">
        <f t="shared" si="1853"/>
        <v>14.288710124464327</v>
      </c>
      <c r="L1641" s="1">
        <f t="shared" ref="L1641:O1641" si="1854">SUM(L1642:L1644)</f>
        <v>17.57494544071232</v>
      </c>
      <c r="M1641" s="1">
        <f t="shared" si="1854"/>
        <v>19.188738747752254</v>
      </c>
      <c r="N1641" s="1">
        <f t="shared" si="1854"/>
        <v>19.743329136857774</v>
      </c>
      <c r="O1641" s="1">
        <f t="shared" si="1854"/>
        <v>20.312274697500385</v>
      </c>
      <c r="P1641" s="1">
        <f>SUM(P1642:P1644)</f>
        <v>20.818674722940123</v>
      </c>
      <c r="Q1641" s="1">
        <f>SUM(Q1642:Q1644)</f>
        <v>21.322940065687263</v>
      </c>
      <c r="S1641" s="3"/>
    </row>
    <row r="1642" spans="2:19" x14ac:dyDescent="0.5">
      <c r="B1642" t="str">
        <f t="shared" si="1851"/>
        <v>SPS1</v>
      </c>
      <c r="C1642" t="str">
        <f t="shared" si="1852"/>
        <v>CH</v>
      </c>
      <c r="D1642" t="s">
        <v>1653</v>
      </c>
      <c r="E1642" t="str">
        <f t="shared" ref="E1642:E1644" si="185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SUMPRODUCT(("TPRLPELCEXT"=[1]OUT_TransportEnergyCons!$A$3:$A$1000)*1,("Var_Fin"=[1]OUT_TransportEnergyCons!$B$3:$B$1000)*1,ISNUMBER(SEARCH("ELC",[1]OUT_TransportEnergyCons!$C$3:$C$1000))*1,[1]OUT_TransportEnergyCons!H$3:H$1000)</f>
        <v>9.2102053769306007</v>
      </c>
      <c r="K1642" s="1" cm="1">
        <f t="array" ref="K1642">SUMPRODUCT(("TPRLPELCEXT"=[1]OUT_TransportEnergyCons!$A$3:$A$1000)*1,("Var_Fin"=[1]OUT_TransportEnergyCons!$B$3:$B$1000)*1,ISNUMBER(SEARCH("ELC",[1]OUT_TransportEnergyCons!$C$3:$C$1000))*1,[1]OUT_TransportEnergyCons!I$3:I$1000)</f>
        <v>9.7092182487523591</v>
      </c>
      <c r="L1642" s="1" cm="1">
        <f t="array" ref="L1642">SUMPRODUCT(("TPRLPELCEXT"=[1]OUT_TransportEnergyCons!$A$3:$A$1000)*1,("Var_Fin"=[1]OUT_TransportEnergyCons!$B$3:$B$1000)*1,ISNUMBER(SEARCH("ELC",[1]OUT_TransportEnergyCons!$C$3:$C$1000))*1,[1]OUT_TransportEnergyCons!J$3:J$1000)</f>
        <v>10.08056878555843</v>
      </c>
      <c r="M1642" s="1" cm="1">
        <f t="array" ref="M1642">SUMPRODUCT(("TPRLPELCEXT"=[1]OUT_TransportEnergyCons!$A$3:$A$1000)*1,("Var_Fin"=[1]OUT_TransportEnergyCons!$B$3:$B$1000)*1,ISNUMBER(SEARCH("ELC",[1]OUT_TransportEnergyCons!$C$3:$C$1000))*1,[1]OUT_TransportEnergyCons!K$3:K$1000)</f>
        <v>10.45248595324836</v>
      </c>
      <c r="N1642" s="1" cm="1">
        <f t="array" ref="N1642">SUMPRODUCT(("TPRLPELCEXT"=[1]OUT_TransportEnergyCons!$A$3:$A$1000)*1,("Var_Fin"=[1]OUT_TransportEnergyCons!$B$3:$B$1000)*1,ISNUMBER(SEARCH("ELC",[1]OUT_TransportEnergyCons!$C$3:$C$1000))*1,[1]OUT_TransportEnergyCons!L$3:L$1000)</f>
        <v>10.945993614675658</v>
      </c>
      <c r="O1642" s="1" cm="1">
        <f t="array" ref="O1642">SUMPRODUCT(("TPRLPELCEXT"=[1]OUT_TransportEnergyCons!$A$3:$A$1000)*1,("Var_Fin"=[1]OUT_TransportEnergyCons!$B$3:$B$1000)*1,ISNUMBER(SEARCH("ELC",[1]OUT_TransportEnergyCons!$C$3:$C$1000))*1,[1]OUT_TransportEnergyCons!M$3:M$1000)</f>
        <v>11.438288125827173</v>
      </c>
      <c r="P1642" s="1" cm="1">
        <f t="array" ref="P1642">SUMPRODUCT(("TPRLPELCEXT"=[1]OUT_TransportEnergyCons!$A$3:$A$1000)*1,("Var_Fin"=[1]OUT_TransportEnergyCons!$B$3:$B$1000)*1,ISNUMBER(SEARCH("ELC",[1]OUT_TransportEnergyCons!$C$3:$C$1000))*1,[1]OUT_TransportEnergyCons!N$3:N$1000)</f>
        <v>11.929414350002673</v>
      </c>
      <c r="Q1642" s="1" cm="1">
        <f t="array" ref="Q1642">SUMPRODUCT(("TPRLPELCEXT"=[1]OUT_TransportEnergyCons!$A$3:$A$1000)*1,("Var_Fin"=[1]OUT_TransportEnergyCons!$B$3:$B$1000)*1,ISNUMBER(SEARCH("ELC",[1]OUT_TransportEnergyCons!$C$3:$C$1000))*1,[1]OUT_TransportEnergyCons!O$3:O$1000)</f>
        <v>12.419227796819305</v>
      </c>
      <c r="S1642" s="3"/>
    </row>
    <row r="1643" spans="2:19" x14ac:dyDescent="0.5">
      <c r="B1643" t="str">
        <f t="shared" si="1851"/>
        <v>SPS1</v>
      </c>
      <c r="C1643" t="str">
        <f t="shared" si="1852"/>
        <v>CH</v>
      </c>
      <c r="D1643" t="s">
        <v>1654</v>
      </c>
      <c r="E1643" t="str">
        <f t="shared" si="185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1.502308660090008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1.6575859562153534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1.7464036605236748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1.894435899530196</v>
      </c>
      <c r="J1643" s="1" cm="1">
        <f t="array" ref="J1643">SUMPRODUCT(("TFRLFELCEXT"=[1]OUT_TransportEnergyCons!$A$3:$A$1000)*1,("Var_Fin"=[1]OUT_TransportEnergyCons!$B$3:$B$1000)*1,ISNUMBER(SEARCH("ELC",[1]OUT_TransportEnergyCons!$C$3:$C$1000))*1,[1]OUT_TransportEnergyCons!H$3:H$1000)</f>
        <v>1.9814790513044853</v>
      </c>
      <c r="K1643" s="1" cm="1">
        <f t="array" ref="K1643">SUMPRODUCT(("TFRLFELCEXT"=[1]OUT_TransportEnergyCons!$A$3:$A$1000)*1,("Var_Fin"=[1]OUT_TransportEnergyCons!$B$3:$B$1000)*1,ISNUMBER(SEARCH("ELC",[1]OUT_TransportEnergyCons!$C$3:$C$1000))*1,[1]OUT_TransportEnergyCons!I$3:I$1000)</f>
        <v>2.0282687743561851</v>
      </c>
      <c r="L1643" s="1" cm="1">
        <f t="array" ref="L1643">SUMPRODUCT(("TFRLFELCEXT"=[1]OUT_TransportEnergyCons!$A$3:$A$1000)*1,("Var_Fin"=[1]OUT_TransportEnergyCons!$B$3:$B$1000)*1,ISNUMBER(SEARCH("ELC",[1]OUT_TransportEnergyCons!$C$3:$C$1000))*1,[1]OUT_TransportEnergyCons!J$3:J$1000)</f>
        <v>2.1043694710173577</v>
      </c>
      <c r="M1643" s="1" cm="1">
        <f t="array" ref="M1643">SUMPRODUCT(("TFRLFELCEXT"=[1]OUT_TransportEnergyCons!$A$3:$A$1000)*1,("Var_Fin"=[1]OUT_TransportEnergyCons!$B$3:$B$1000)*1,ISNUMBER(SEARCH("ELC",[1]OUT_TransportEnergyCons!$C$3:$C$1000))*1,[1]OUT_TransportEnergyCons!K$3:K$1000)</f>
        <v>2.1804671823032526</v>
      </c>
      <c r="N1643" s="1" cm="1">
        <f t="array" ref="N1643">SUMPRODUCT(("TFRLFELCEXT"=[1]OUT_TransportEnergyCons!$A$3:$A$1000)*1,("Var_Fin"=[1]OUT_TransportEnergyCons!$B$3:$B$1000)*1,ISNUMBER(SEARCH("ELC",[1]OUT_TransportEnergyCons!$C$3:$C$1000))*1,[1]OUT_TransportEnergyCons!L$3:L$1000)</f>
        <v>2.2150443573880825</v>
      </c>
      <c r="O1643" s="1" cm="1">
        <f t="array" ref="O1643">SUMPRODUCT(("TFRLFELCEXT"=[1]OUT_TransportEnergyCons!$A$3:$A$1000)*1,("Var_Fin"=[1]OUT_TransportEnergyCons!$B$3:$B$1000)*1,ISNUMBER(SEARCH("ELC",[1]OUT_TransportEnergyCons!$C$3:$C$1000))*1,[1]OUT_TransportEnergyCons!M$3:M$1000)</f>
        <v>2.2673805776360214</v>
      </c>
      <c r="P1643" s="1" cm="1">
        <f t="array" ref="P1643">SUMPRODUCT(("TFRLFELCEXT"=[1]OUT_TransportEnergyCons!$A$3:$A$1000)*1,("Var_Fin"=[1]OUT_TransportEnergyCons!$B$3:$B$1000)*1,ISNUMBER(SEARCH("ELC",[1]OUT_TransportEnergyCons!$C$3:$C$1000))*1,[1]OUT_TransportEnergyCons!N$3:N$1000)</f>
        <v>2.2823041478645179</v>
      </c>
      <c r="Q1643" s="1" cm="1">
        <f t="array" ref="Q1643">SUMPRODUCT(("TFRLFELCEXT"=[1]OUT_TransportEnergyCons!$A$3:$A$1000)*1,("Var_Fin"=[1]OUT_TransportEnergyCons!$B$3:$B$1000)*1,ISNUMBER(SEARCH("ELC",[1]OUT_TransportEnergyCons!$C$3:$C$1000))*1,[1]OUT_TransportEnergyCons!O$3:O$1000)</f>
        <v>2.3118059304080103</v>
      </c>
      <c r="S1643" s="3"/>
    </row>
    <row r="1644" spans="2:19" x14ac:dyDescent="0.5">
      <c r="B1644" t="str">
        <f t="shared" si="1851"/>
        <v>SPS1</v>
      </c>
      <c r="C1644" t="str">
        <f t="shared" si="1852"/>
        <v>CH</v>
      </c>
      <c r="D1644" t="s">
        <v>1655</v>
      </c>
      <c r="E1644" t="str">
        <f t="shared" si="185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1.8217979836696376E-6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2.7862531029430931E-6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1.312732428051003E-4</v>
      </c>
      <c r="J1644" s="1" cm="1">
        <f t="array" ref="J1644">SUMPRODUCT(("TPSHPELCEXT"=[1]OUT_TransportEnergyCons!$A$3:$A$1000)*1,("Var_Fin"=[1]OUT_TransportEnergyCons!$B$3:$B$1000)*1,ISNUMBER(SEARCH("ELC",[1]OUT_TransportEnergyCons!$C$3:$C$1000))*1,[1]OUT_TransportEnergyCons!H$3:H$1000)+[1]Transport_Aviation_Intl!F$13</f>
        <v>0.38431456481351334</v>
      </c>
      <c r="K1644" s="1" cm="1">
        <f t="array" ref="K1644">SUMPRODUCT(("TPSHPELCEXT"=[1]OUT_TransportEnergyCons!$A$3:$A$1000)*1,("Var_Fin"=[1]OUT_TransportEnergyCons!$B$3:$B$1000)*1,ISNUMBER(SEARCH("ELC",[1]OUT_TransportEnergyCons!$C$3:$C$1000))*1,[1]OUT_TransportEnergyCons!I$3:I$1000)+[1]Transport_Aviation_Intl!G$13</f>
        <v>2.5512231013557822</v>
      </c>
      <c r="L1644" s="1" cm="1">
        <f t="array" ref="L1644">SUMPRODUCT(("TPSHPELCEXT"=[1]OUT_TransportEnergyCons!$A$3:$A$1000)*1,("Var_Fin"=[1]OUT_TransportEnergyCons!$B$3:$B$1000)*1,ISNUMBER(SEARCH("ELC",[1]OUT_TransportEnergyCons!$C$3:$C$1000))*1,[1]OUT_TransportEnergyCons!J$3:J$1000)+[1]Transport_Aviation_Intl!H$13</f>
        <v>5.3900071841365325</v>
      </c>
      <c r="M1644" s="1" cm="1">
        <f t="array" ref="M1644">SUMPRODUCT(("TPSHPELCEXT"=[1]OUT_TransportEnergyCons!$A$3:$A$1000)*1,("Var_Fin"=[1]OUT_TransportEnergyCons!$B$3:$B$1000)*1,ISNUMBER(SEARCH("ELC",[1]OUT_TransportEnergyCons!$C$3:$C$1000))*1,[1]OUT_TransportEnergyCons!K$3:K$1000)+[1]Transport_Aviation_Intl!I$13</f>
        <v>6.5557856122006415</v>
      </c>
      <c r="N1644" s="1" cm="1">
        <f t="array" ref="N1644">SUMPRODUCT(("TPSHPELCEXT"=[1]OUT_TransportEnergyCons!$A$3:$A$1000)*1,("Var_Fin"=[1]OUT_TransportEnergyCons!$B$3:$B$1000)*1,ISNUMBER(SEARCH("ELC",[1]OUT_TransportEnergyCons!$C$3:$C$1000))*1,[1]OUT_TransportEnergyCons!L$3:L$1000)+[1]Transport_Aviation_Intl!J$13</f>
        <v>6.5822911647940359</v>
      </c>
      <c r="O1644" s="1" cm="1">
        <f t="array" ref="O1644">SUMPRODUCT(("TPSHPELCEXT"=[1]OUT_TransportEnergyCons!$A$3:$A$1000)*1,("Var_Fin"=[1]OUT_TransportEnergyCons!$B$3:$B$1000)*1,ISNUMBER(SEARCH("ELC",[1]OUT_TransportEnergyCons!$C$3:$C$1000))*1,[1]OUT_TransportEnergyCons!M$3:M$1000)+[1]Transport_Aviation_Intl!K$13</f>
        <v>6.6066059940371913</v>
      </c>
      <c r="P1644" s="1" cm="1">
        <f t="array" ref="P1644">SUMPRODUCT(("TPSHPELCEXT"=[1]OUT_TransportEnergyCons!$A$3:$A$1000)*1,("Var_Fin"=[1]OUT_TransportEnergyCons!$B$3:$B$1000)*1,ISNUMBER(SEARCH("ELC",[1]OUT_TransportEnergyCons!$C$3:$C$1000))*1,[1]OUT_TransportEnergyCons!N$3:N$1000)+[1]Transport_Aviation_Intl!L$13</f>
        <v>6.606956225072933</v>
      </c>
      <c r="Q1644" s="1" cm="1">
        <f t="array" ref="Q1644">SUMPRODUCT(("TPSHPELCEXT"=[1]OUT_TransportEnergyCons!$A$3:$A$1000)*1,("Var_Fin"=[1]OUT_TransportEnergyCons!$B$3:$B$1000)*1,ISNUMBER(SEARCH("ELC",[1]OUT_TransportEnergyCons!$C$3:$C$1000))*1,[1]OUT_TransportEnergyCons!O$3:O$1000)+[1]Transport_Aviation_Intl!M$13</f>
        <v>6.5919063384599497</v>
      </c>
      <c r="S1644" s="3"/>
    </row>
    <row r="1645" spans="2:19" x14ac:dyDescent="0.5">
      <c r="B1645" t="str">
        <f t="shared" si="1851"/>
        <v>SPS1</v>
      </c>
      <c r="C1645" t="str">
        <f t="shared" si="185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856">SUM(G1646:G1648)</f>
        <v>0</v>
      </c>
      <c r="H1645" s="1">
        <f t="shared" si="1856"/>
        <v>0</v>
      </c>
      <c r="I1645" s="1">
        <f t="shared" si="1856"/>
        <v>0</v>
      </c>
      <c r="J1645" s="1">
        <f t="shared" si="1856"/>
        <v>1.3456608462632177E-5</v>
      </c>
      <c r="K1645" s="1">
        <f t="shared" si="1856"/>
        <v>3.7855286525275665E-3</v>
      </c>
      <c r="L1645" s="1">
        <f t="shared" ref="L1645:O1645" si="1857">SUM(L1646:L1648)</f>
        <v>3.8552289698446174E-3</v>
      </c>
      <c r="M1645" s="1">
        <f t="shared" si="1857"/>
        <v>3.8380657868136428E-3</v>
      </c>
      <c r="N1645" s="1">
        <f t="shared" si="1857"/>
        <v>3.8132432980774503E-3</v>
      </c>
      <c r="O1645" s="1">
        <f t="shared" si="1857"/>
        <v>3.8872110956885827E-3</v>
      </c>
      <c r="P1645" s="1">
        <f>SUM(P1646:P1648)</f>
        <v>3.861658568220057E-3</v>
      </c>
      <c r="Q1645" s="1">
        <f>SUM(Q1646:Q1648)</f>
        <v>4.2789383506274771E-3</v>
      </c>
      <c r="S1645" s="3"/>
    </row>
    <row r="1646" spans="2:19" x14ac:dyDescent="0.5">
      <c r="B1646" t="str">
        <f t="shared" si="1851"/>
        <v>SPS1</v>
      </c>
      <c r="C1646" t="str">
        <f t="shared" si="1852"/>
        <v>CH</v>
      </c>
      <c r="D1646" t="s">
        <v>1657</v>
      </c>
      <c r="E1646" t="str">
        <f t="shared" ref="E1646:E1648" si="185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SUMPRODUCT(("TPRLPH2OFCL"=[1]OUT_TransportEnergyCons!$A$3:$A$1000)*1,("Var_Fin"=[1]OUT_TransportEnergyCons!$B$3:$B$1000)*1,ISNUMBER(SEARCH("h2",[1]OUT_TransportEnergyCons!$C$3:$C$1000))*1,[1]OUT_TransportEnergyCons!H$3:H$1000)</f>
        <v>0</v>
      </c>
      <c r="K1646" s="1" cm="1">
        <f t="array" ref="K1646">SUMPRODUCT(("TPRLPH2OFCL"=[1]OUT_TransportEnergyCons!$A$3:$A$1000)*1,("Var_Fin"=[1]OUT_TransportEnergyCons!$B$3:$B$1000)*1,ISNUMBER(SEARCH("h2",[1]OUT_TransportEnergyCons!$C$3:$C$1000))*1,[1]OUT_TransportEnergyCons!I$3:I$1000)</f>
        <v>9.5112838184782507E-5</v>
      </c>
      <c r="L1646" s="1" cm="1">
        <f t="array" ref="L1646">SUMPRODUCT(("TPRLPH2OFCL"=[1]OUT_TransportEnergyCons!$A$3:$A$1000)*1,("Var_Fin"=[1]OUT_TransportEnergyCons!$B$3:$B$1000)*1,ISNUMBER(SEARCH("h2",[1]OUT_TransportEnergyCons!$C$3:$C$1000))*1,[1]OUT_TransportEnergyCons!J$3:J$1000)</f>
        <v>1.1270001908596778E-4</v>
      </c>
      <c r="M1646" s="1" cm="1">
        <f t="array" ref="M1646">SUMPRODUCT(("TPRLPH2OFCL"=[1]OUT_TransportEnergyCons!$A$3:$A$1000)*1,("Var_Fin"=[1]OUT_TransportEnergyCons!$B$3:$B$1000)*1,ISNUMBER(SEARCH("h2",[1]OUT_TransportEnergyCons!$C$3:$C$1000))*1,[1]OUT_TransportEnergyCons!K$3:K$1000)</f>
        <v>8.8265781932490893E-5</v>
      </c>
      <c r="N1646" s="1" cm="1">
        <f t="array" ref="N1646">SUMPRODUCT(("TPRLPH2OFCL"=[1]OUT_TransportEnergyCons!$A$3:$A$1000)*1,("Var_Fin"=[1]OUT_TransportEnergyCons!$B$3:$B$1000)*1,ISNUMBER(SEARCH("h2",[1]OUT_TransportEnergyCons!$C$3:$C$1000))*1,[1]OUT_TransportEnergyCons!L$3:L$1000)</f>
        <v>8.8229018868262338E-5</v>
      </c>
      <c r="O1646" s="1" cm="1">
        <f t="array" ref="O1646">SUMPRODUCT(("TPRLPH2OFCL"=[1]OUT_TransportEnergyCons!$A$3:$A$1000)*1,("Var_Fin"=[1]OUT_TransportEnergyCons!$B$3:$B$1000)*1,ISNUMBER(SEARCH("h2",[1]OUT_TransportEnergyCons!$C$3:$C$1000))*1,[1]OUT_TransportEnergyCons!M$3:M$1000)</f>
        <v>1.0706906650654655E-4</v>
      </c>
      <c r="P1646" s="1" cm="1">
        <f t="array" ref="P1646">SUMPRODUCT(("TPRLPH2OFCL"=[1]OUT_TransportEnergyCons!$A$3:$A$1000)*1,("Var_Fin"=[1]OUT_TransportEnergyCons!$B$3:$B$1000)*1,ISNUMBER(SEARCH("h2",[1]OUT_TransportEnergyCons!$C$3:$C$1000))*1,[1]OUT_TransportEnergyCons!N$3:N$1000)</f>
        <v>9.4256804279233328E-5</v>
      </c>
      <c r="Q1646" s="1" cm="1">
        <f t="array" ref="Q1646">SUMPRODUCT(("TPRLPH2OFCL"=[1]OUT_TransportEnergyCons!$A$3:$A$1000)*1,("Var_Fin"=[1]OUT_TransportEnergyCons!$B$3:$B$1000)*1,ISNUMBER(SEARCH("h2",[1]OUT_TransportEnergyCons!$C$3:$C$1000))*1,[1]OUT_TransportEnergyCons!O$3:O$1000)</f>
        <v>2.6883239106314735E-4</v>
      </c>
      <c r="S1646" s="3"/>
    </row>
    <row r="1647" spans="2:19" x14ac:dyDescent="0.5">
      <c r="B1647" t="str">
        <f t="shared" si="1851"/>
        <v>SPS1</v>
      </c>
      <c r="C1647" t="str">
        <f t="shared" si="1852"/>
        <v>CH</v>
      </c>
      <c r="D1647" t="s">
        <v>1658</v>
      </c>
      <c r="E1647" t="str">
        <f t="shared" si="185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SUMPRODUCT(("TFRLFH2OFCL"=[1]OUT_TransportEnergyCons!$A$3:$A$1000)*1,("Var_Fin"=[1]OUT_TransportEnergyCons!$B$3:$B$1000)*1,ISNUMBER(SEARCH("h2",[1]OUT_TransportEnergyCons!$C$3:$C$1000))*1,[1]OUT_TransportEnergyCons!H$3:H$1000)</f>
        <v>0</v>
      </c>
      <c r="K1647" s="1" cm="1">
        <f t="array" ref="K1647">SUMPRODUCT(("TFRLFH2OFCL"=[1]OUT_TransportEnergyCons!$A$3:$A$1000)*1,("Var_Fin"=[1]OUT_TransportEnergyCons!$B$3:$B$1000)*1,ISNUMBER(SEARCH("h2",[1]OUT_TransportEnergyCons!$C$3:$C$1000))*1,[1]OUT_TransportEnergyCons!I$3:I$1000)</f>
        <v>0</v>
      </c>
      <c r="L1647" s="1" cm="1">
        <f t="array" ref="L1647">SUMPRODUCT(("TFRLFH2OFCL"=[1]OUT_TransportEnergyCons!$A$3:$A$1000)*1,("Var_Fin"=[1]OUT_TransportEnergyCons!$B$3:$B$1000)*1,ISNUMBER(SEARCH("h2",[1]OUT_TransportEnergyCons!$C$3:$C$1000))*1,[1]OUT_TransportEnergyCons!J$3:J$1000)</f>
        <v>0</v>
      </c>
      <c r="M1647" s="1" cm="1">
        <f t="array" ref="M1647">SUMPRODUCT(("TFRLFH2OFCL"=[1]OUT_TransportEnergyCons!$A$3:$A$1000)*1,("Var_Fin"=[1]OUT_TransportEnergyCons!$B$3:$B$1000)*1,ISNUMBER(SEARCH("h2",[1]OUT_TransportEnergyCons!$C$3:$C$1000))*1,[1]OUT_TransportEnergyCons!K$3:K$1000)</f>
        <v>0</v>
      </c>
      <c r="N1647" s="1" cm="1">
        <f t="array" ref="N1647">SUMPRODUCT(("TFRLFH2OFCL"=[1]OUT_TransportEnergyCons!$A$3:$A$1000)*1,("Var_Fin"=[1]OUT_TransportEnergyCons!$B$3:$B$1000)*1,ISNUMBER(SEARCH("h2",[1]OUT_TransportEnergyCons!$C$3:$C$1000))*1,[1]OUT_TransportEnergyCons!L$3:L$1000)</f>
        <v>0</v>
      </c>
      <c r="O1647" s="1" cm="1">
        <f t="array" ref="O1647">SUMPRODUCT(("TFRLFH2OFCL"=[1]OUT_TransportEnergyCons!$A$3:$A$1000)*1,("Var_Fin"=[1]OUT_TransportEnergyCons!$B$3:$B$1000)*1,ISNUMBER(SEARCH("h2",[1]OUT_TransportEnergyCons!$C$3:$C$1000))*1,[1]OUT_TransportEnergyCons!M$3:M$1000)</f>
        <v>6.0481371461780388E-5</v>
      </c>
      <c r="P1647" s="1" cm="1">
        <f t="array" ref="P1647">SUMPRODUCT(("TFRLFH2OFCL"=[1]OUT_TransportEnergyCons!$A$3:$A$1000)*1,("Var_Fin"=[1]OUT_TransportEnergyCons!$B$3:$B$1000)*1,ISNUMBER(SEARCH("h2",[1]OUT_TransportEnergyCons!$C$3:$C$1000))*1,[1]OUT_TransportEnergyCons!N$3:N$1000)</f>
        <v>5.1224064137096339E-5</v>
      </c>
      <c r="Q1647" s="1" cm="1">
        <f t="array" ref="Q1647">SUMPRODUCT(("TFRLFH2OFCL"=[1]OUT_TransportEnergyCons!$A$3:$A$1000)*1,("Var_Fin"=[1]OUT_TransportEnergyCons!$B$3:$B$1000)*1,ISNUMBER(SEARCH("h2",[1]OUT_TransportEnergyCons!$C$3:$C$1000))*1,[1]OUT_TransportEnergyCons!O$3:O$1000)</f>
        <v>2.9344939636286038E-4</v>
      </c>
      <c r="S1647" s="3"/>
    </row>
    <row r="1648" spans="2:19" x14ac:dyDescent="0.5">
      <c r="B1648" t="str">
        <f t="shared" si="1851"/>
        <v>SPS1</v>
      </c>
      <c r="C1648" t="str">
        <f t="shared" si="1852"/>
        <v>CH</v>
      </c>
      <c r="D1648" t="s">
        <v>1659</v>
      </c>
      <c r="E1648" t="str">
        <f t="shared" si="185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SUMPRODUCT(("TPSHPH2OEXT"=[1]OUT_TransportEnergyCons!$A$3:$A$1000)*1,("Var_Fin"=[1]OUT_TransportEnergyCons!$B$3:$B$1000)*1,ISNUMBER(SEARCH("h2",[1]OUT_TransportEnergyCons!$C$3:$C$1000))*1,[1]OUT_TransportEnergyCons!H$3:H$1000)+[1]Transport_Aviation_Intl!F$14</f>
        <v>1.3456608462632177E-5</v>
      </c>
      <c r="K1648" s="1" cm="1">
        <f t="array" ref="K1648">SUMPRODUCT(("TPSHPH2OEXT"=[1]OUT_TransportEnergyCons!$A$3:$A$1000)*1,("Var_Fin"=[1]OUT_TransportEnergyCons!$B$3:$B$1000)*1,ISNUMBER(SEARCH("h2",[1]OUT_TransportEnergyCons!$C$3:$C$1000))*1,[1]OUT_TransportEnergyCons!I$3:I$1000)+[1]Transport_Aviation_Intl!G$14</f>
        <v>3.690415814342784E-3</v>
      </c>
      <c r="L1648" s="1" cm="1">
        <f t="array" ref="L1648">SUMPRODUCT(("TPSHPH2OEXT"=[1]OUT_TransportEnergyCons!$A$3:$A$1000)*1,("Var_Fin"=[1]OUT_TransportEnergyCons!$B$3:$B$1000)*1,ISNUMBER(SEARCH("h2",[1]OUT_TransportEnergyCons!$C$3:$C$1000))*1,[1]OUT_TransportEnergyCons!J$3:J$1000)+[1]Transport_Aviation_Intl!H$14</f>
        <v>3.7425289507586495E-3</v>
      </c>
      <c r="M1648" s="1" cm="1">
        <f t="array" ref="M1648">SUMPRODUCT(("TPSHPH2OEXT"=[1]OUT_TransportEnergyCons!$A$3:$A$1000)*1,("Var_Fin"=[1]OUT_TransportEnergyCons!$B$3:$B$1000)*1,ISNUMBER(SEARCH("h2",[1]OUT_TransportEnergyCons!$C$3:$C$1000))*1,[1]OUT_TransportEnergyCons!K$3:K$1000)+[1]Transport_Aviation_Intl!I$14</f>
        <v>3.7498000048811517E-3</v>
      </c>
      <c r="N1648" s="1" cm="1">
        <f t="array" ref="N1648">SUMPRODUCT(("TPSHPH2OEXT"=[1]OUT_TransportEnergyCons!$A$3:$A$1000)*1,("Var_Fin"=[1]OUT_TransportEnergyCons!$B$3:$B$1000)*1,ISNUMBER(SEARCH("h2",[1]OUT_TransportEnergyCons!$C$3:$C$1000))*1,[1]OUT_TransportEnergyCons!L$3:L$1000)+[1]Transport_Aviation_Intl!J$14</f>
        <v>3.7250142792091879E-3</v>
      </c>
      <c r="O1648" s="1" cm="1">
        <f t="array" ref="O1648">SUMPRODUCT(("TPSHPH2OEXT"=[1]OUT_TransportEnergyCons!$A$3:$A$1000)*1,("Var_Fin"=[1]OUT_TransportEnergyCons!$B$3:$B$1000)*1,ISNUMBER(SEARCH("h2",[1]OUT_TransportEnergyCons!$C$3:$C$1000))*1,[1]OUT_TransportEnergyCons!M$3:M$1000)+[1]Transport_Aviation_Intl!K$14</f>
        <v>3.7196606577202559E-3</v>
      </c>
      <c r="P1648" s="1" cm="1">
        <f t="array" ref="P1648">SUMPRODUCT(("TPSHPH2OEXT"=[1]OUT_TransportEnergyCons!$A$3:$A$1000)*1,("Var_Fin"=[1]OUT_TransportEnergyCons!$B$3:$B$1000)*1,ISNUMBER(SEARCH("h2",[1]OUT_TransportEnergyCons!$C$3:$C$1000))*1,[1]OUT_TransportEnergyCons!N$3:N$1000)+[1]Transport_Aviation_Intl!L$14</f>
        <v>3.7161776998037273E-3</v>
      </c>
      <c r="Q1648" s="1" cm="1">
        <f t="array" ref="Q1648">SUMPRODUCT(("TPSHPH2OEXT"=[1]OUT_TransportEnergyCons!$A$3:$A$1000)*1,("Var_Fin"=[1]OUT_TransportEnergyCons!$B$3:$B$1000)*1,ISNUMBER(SEARCH("h2",[1]OUT_TransportEnergyCons!$C$3:$C$1000))*1,[1]OUT_TransportEnergyCons!O$3:O$1000)+[1]Transport_Aviation_Intl!M$14</f>
        <v>3.7166565632014694E-3</v>
      </c>
      <c r="S1648" s="3"/>
    </row>
    <row r="1649" spans="2:19" x14ac:dyDescent="0.5">
      <c r="B1649" t="str">
        <f t="shared" si="1851"/>
        <v>SPS1</v>
      </c>
      <c r="C1649" t="str">
        <f t="shared" si="185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859">G1654</f>
        <v>0.79631418298861101</v>
      </c>
      <c r="H1649" s="1">
        <f t="shared" si="1859"/>
        <v>1.5965309183730765</v>
      </c>
      <c r="I1649" s="1">
        <f t="shared" si="1859"/>
        <v>2.1023171128162268</v>
      </c>
      <c r="J1649" s="1">
        <f t="shared" si="1859"/>
        <v>2.1023229939614421</v>
      </c>
      <c r="K1649" s="1">
        <f t="shared" si="1859"/>
        <v>1.072647450465092</v>
      </c>
      <c r="L1649" s="1">
        <f t="shared" ref="L1649:O1649" si="1860">L1654</f>
        <v>0.10662009247127133</v>
      </c>
      <c r="M1649" s="1">
        <f t="shared" si="1860"/>
        <v>0</v>
      </c>
      <c r="N1649" s="1">
        <f t="shared" si="1860"/>
        <v>0</v>
      </c>
      <c r="O1649" s="1">
        <f t="shared" si="1860"/>
        <v>0</v>
      </c>
      <c r="P1649" s="1">
        <f>P1654</f>
        <v>0</v>
      </c>
      <c r="Q1649" s="1">
        <f>Q1654</f>
        <v>0</v>
      </c>
      <c r="S1649" s="3"/>
    </row>
    <row r="1650" spans="2:19" x14ac:dyDescent="0.5">
      <c r="B1650" t="str">
        <f t="shared" si="1851"/>
        <v>SPS1</v>
      </c>
      <c r="C1650" t="str">
        <f t="shared" si="1852"/>
        <v>CH</v>
      </c>
      <c r="D1650" t="s">
        <v>1661</v>
      </c>
      <c r="E1650" t="str">
        <f t="shared" ref="E1650:E1662" si="1861">E1649</f>
        <v>PJ/yr.</v>
      </c>
      <c r="F1650" s="1">
        <f>F1649-F1651</f>
        <v>1.6634754302487942</v>
      </c>
      <c r="G1650" s="1">
        <f t="shared" ref="G1650:K1650" si="1862">G1649-G1651</f>
        <v>0.75272380330278188</v>
      </c>
      <c r="H1650" s="1">
        <f t="shared" si="1862"/>
        <v>1.5091364507512544</v>
      </c>
      <c r="I1650" s="1">
        <f t="shared" si="1862"/>
        <v>1.9872097225716454</v>
      </c>
      <c r="J1650" s="1">
        <f t="shared" si="1862"/>
        <v>1.9812847030784073</v>
      </c>
      <c r="K1650" s="1">
        <f t="shared" si="1862"/>
        <v>0.99778013303358293</v>
      </c>
      <c r="L1650" s="1">
        <f t="shared" ref="L1650:O1650" si="1863">L1649-L1651</f>
        <v>4.1990114101953233E-2</v>
      </c>
      <c r="M1650" s="1">
        <f t="shared" si="1863"/>
        <v>0</v>
      </c>
      <c r="N1650" s="1">
        <f t="shared" si="1863"/>
        <v>0</v>
      </c>
      <c r="O1650" s="1">
        <f t="shared" si="1863"/>
        <v>0</v>
      </c>
      <c r="P1650" s="1">
        <f>P1649-P1651</f>
        <v>0</v>
      </c>
      <c r="Q1650" s="1">
        <f>Q1649-Q1651</f>
        <v>0</v>
      </c>
      <c r="S1650" s="3"/>
    </row>
    <row r="1651" spans="2:19" x14ac:dyDescent="0.5">
      <c r="B1651" t="str">
        <f t="shared" si="1851"/>
        <v>SPS1</v>
      </c>
      <c r="C1651" t="str">
        <f t="shared" si="1852"/>
        <v>CH</v>
      </c>
      <c r="D1651" t="s">
        <v>1662</v>
      </c>
      <c r="E1651" t="str">
        <f t="shared" si="1861"/>
        <v>PJ/yr.</v>
      </c>
      <c r="F1651" s="1">
        <f>SUM(F1652:F1653)</f>
        <v>9.6332333479563853E-2</v>
      </c>
      <c r="G1651" s="1">
        <f t="shared" ref="G1651:K1651" si="1864">SUM(G1652:G1653)</f>
        <v>4.3590379685829093E-2</v>
      </c>
      <c r="H1651" s="1">
        <f t="shared" si="1864"/>
        <v>8.7394467621822194E-2</v>
      </c>
      <c r="I1651" s="1">
        <f t="shared" si="1864"/>
        <v>0.11510739024458137</v>
      </c>
      <c r="J1651" s="1">
        <f t="shared" si="1864"/>
        <v>0.12103829088303482</v>
      </c>
      <c r="K1651" s="1">
        <f t="shared" si="1864"/>
        <v>7.4867317431509053E-2</v>
      </c>
      <c r="L1651" s="1">
        <f t="shared" ref="L1651:O1651" si="1865">SUM(L1652:L1653)</f>
        <v>6.4629978369318095E-2</v>
      </c>
      <c r="M1651" s="1">
        <f t="shared" si="1865"/>
        <v>0</v>
      </c>
      <c r="N1651" s="1">
        <f t="shared" si="1865"/>
        <v>0</v>
      </c>
      <c r="O1651" s="1">
        <f t="shared" si="1865"/>
        <v>0</v>
      </c>
      <c r="P1651" s="1">
        <f>SUM(P1652:P1653)</f>
        <v>0</v>
      </c>
      <c r="Q1651" s="1">
        <f>SUM(Q1652:Q1653)</f>
        <v>0</v>
      </c>
      <c r="S1651" s="3"/>
    </row>
    <row r="1652" spans="2:19" x14ac:dyDescent="0.5">
      <c r="B1652" t="str">
        <f t="shared" si="1851"/>
        <v>SPS1</v>
      </c>
      <c r="C1652" t="str">
        <f t="shared" si="1852"/>
        <v>CH</v>
      </c>
      <c r="D1652" t="s">
        <v>1663</v>
      </c>
      <c r="E1652" t="str">
        <f t="shared" si="1861"/>
        <v>PJ/yr.</v>
      </c>
      <c r="F1652" s="1">
        <f>[1]Transport!B$25/SUM([1]Transport!B$21,[1]Transport!B$25)*F1649*(F$35+F$600)/(F$35+F$600+F$39)</f>
        <v>9.6332333479563853E-2</v>
      </c>
      <c r="G1652" s="1">
        <f>[1]Transport!C$25/SUM([1]Transport!C$21,[1]Transport!C$25)*G1649*(G$35+G$600)/(G$35+G$600+G$39)</f>
        <v>4.3590379685829093E-2</v>
      </c>
      <c r="H1652" s="1">
        <f>[1]Transport!D$25/SUM([1]Transport!D$21,[1]Transport!D$25)*H1649*(H$35+H$600)/(H$35+H$600+H$39)</f>
        <v>8.7394467621822194E-2</v>
      </c>
      <c r="I1652" s="1">
        <f>[1]Transport!E$25/SUM([1]Transport!E$21,[1]Transport!E$25)*I1649*(I$35+I$600)/(I$35+I$600+I$39)</f>
        <v>0.11510739024458137</v>
      </c>
      <c r="J1652" s="1">
        <f>[1]Transport!F$25/SUM([1]Transport!F$21,[1]Transport!F$25)*J1649*(J$35+J$600)/(J$35+J$600+J$39)</f>
        <v>0.12103829088303482</v>
      </c>
      <c r="K1652" s="1">
        <f>[1]Transport!G$25/SUM([1]Transport!G$21,[1]Transport!G$25)*K1649*(K$35+K$600)/(K$35+K$600+K$39)</f>
        <v>5.873305643534274E-2</v>
      </c>
      <c r="L1652" s="1">
        <f>[1]Transport!H$25/SUM([1]Transport!H$21,[1]Transport!H$25)*L1649*(L$35+L$600)/(L$35+L$600+L$39)</f>
        <v>6.0882371677295023E-2</v>
      </c>
      <c r="M1652" s="1">
        <f>[1]Transport!I$25/SUM([1]Transport!I$21,[1]Transport!I$25)*M1649*(M$35+M$600)/(M$35+M$600+M$39)</f>
        <v>0</v>
      </c>
      <c r="N1652" s="1">
        <f>[1]Transport!J$25/SUM([1]Transport!J$21,[1]Transport!J$25)*N1649*(N$35+N$600)/(N$35+N$600+N$39)</f>
        <v>0</v>
      </c>
      <c r="O1652" s="1">
        <f>[1]Transport!K$25/SUM([1]Transport!K$21,[1]Transport!K$25)*O1649*(O$35+O$600)/(O$35+O$600+O$39)</f>
        <v>0</v>
      </c>
      <c r="P1652" s="1">
        <f>[1]Transport!L$25/SUM([1]Transport!L$21,[1]Transport!L$25)*P1649*(P$35+P$600)/(P$35+P$600+P$39)</f>
        <v>0</v>
      </c>
      <c r="Q1652" s="1">
        <f>[1]Transport!M$25/SUM([1]Transport!M$21,[1]Transport!M$25)*Q1649*(Q$35+Q$600)/(Q$35+Q$600+Q$39)</f>
        <v>0</v>
      </c>
      <c r="S1652" s="3"/>
    </row>
    <row r="1653" spans="2:19" x14ac:dyDescent="0.5">
      <c r="B1653" t="str">
        <f t="shared" si="1851"/>
        <v>SPS1</v>
      </c>
      <c r="C1653" t="str">
        <f t="shared" si="1852"/>
        <v>CH</v>
      </c>
      <c r="D1653" t="s">
        <v>1664</v>
      </c>
      <c r="E1653" t="str">
        <f t="shared" si="186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(J$39+J$719)/([1]Transport!F$21+[1]Transport!F$25)*J1649</f>
        <v>0</v>
      </c>
      <c r="K1653" s="1">
        <f>(K$39+K$719)/([1]Transport!G$21+[1]Transport!G$25)*K1649</f>
        <v>1.6134260996166314E-2</v>
      </c>
      <c r="L1653" s="1">
        <f>(L$39+L$719)/([1]Transport!H$21+[1]Transport!H$25)*L1649</f>
        <v>3.7476066920230661E-3</v>
      </c>
      <c r="M1653" s="1">
        <f>(M$39+M$719)/([1]Transport!I$21+[1]Transport!I$25)*M1649</f>
        <v>0</v>
      </c>
      <c r="N1653" s="1">
        <f>(N$39+N$719)/([1]Transport!J$21+[1]Transport!J$25)*N1649</f>
        <v>0</v>
      </c>
      <c r="O1653" s="1">
        <f>(O$39+O$719)/([1]Transport!K$21+[1]Transport!K$25)*O1649</f>
        <v>0</v>
      </c>
      <c r="P1653" s="1">
        <f>(P$39+P$719)/([1]Transport!L$21+[1]Transport!L$25)*P1649</f>
        <v>0</v>
      </c>
      <c r="Q1653" s="1">
        <f>(Q$39+Q$719)/([1]Transport!M$21+[1]Transport!M$25)*Q1649</f>
        <v>0</v>
      </c>
      <c r="S1653" s="3"/>
    </row>
    <row r="1654" spans="2:19" x14ac:dyDescent="0.5">
      <c r="B1654" t="str">
        <f t="shared" si="1851"/>
        <v>SPS1</v>
      </c>
      <c r="C1654" t="str">
        <f t="shared" si="1852"/>
        <v>CH</v>
      </c>
      <c r="D1654" t="s">
        <v>1665</v>
      </c>
      <c r="E1654" t="str">
        <f t="shared" si="186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0.79631418298861101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1.5965309183730765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2.1023171128162268</v>
      </c>
      <c r="J1654" s="1" cm="1">
        <f t="array" ref="J1654">SUMPRODUCT(("TPSHPGSLEXT"=[1]OUT_TransportEnergyCons!$A$3:$A$1000)*1,("Var_Fin"=[1]OUT_TransportEnergyCons!$B$3:$B$1000)*1,ISNUMBER(SEARCH("GSL",[1]OUT_TransportEnergyCons!$C$3:$C$1000))*1,[1]OUT_TransportEnergyCons!H$3:H$1000)</f>
        <v>2.1023229939614421</v>
      </c>
      <c r="K1654" s="1" cm="1">
        <f t="array" ref="K1654">SUMPRODUCT(("TPSHPGSLEXT"=[1]OUT_TransportEnergyCons!$A$3:$A$1000)*1,("Var_Fin"=[1]OUT_TransportEnergyCons!$B$3:$B$1000)*1,ISNUMBER(SEARCH("GSL",[1]OUT_TransportEnergyCons!$C$3:$C$1000))*1,[1]OUT_TransportEnergyCons!I$3:I$1000)</f>
        <v>1.072647450465092</v>
      </c>
      <c r="L1654" s="1" cm="1">
        <f t="array" ref="L1654">SUMPRODUCT(("TPSHPGSLEXT"=[1]OUT_TransportEnergyCons!$A$3:$A$1000)*1,("Var_Fin"=[1]OUT_TransportEnergyCons!$B$3:$B$1000)*1,ISNUMBER(SEARCH("GSL",[1]OUT_TransportEnergyCons!$C$3:$C$1000))*1,[1]OUT_TransportEnergyCons!J$3:J$1000)</f>
        <v>0.10662009247127133</v>
      </c>
      <c r="M1654" s="1" cm="1">
        <f t="array" ref="M1654">SUMPRODUCT(("TPSHPGSLEXT"=[1]OUT_TransportEnergyCons!$A$3:$A$1000)*1,("Var_Fin"=[1]OUT_TransportEnergyCons!$B$3:$B$1000)*1,ISNUMBER(SEARCH("GSL",[1]OUT_TransportEnergyCons!$C$3:$C$1000))*1,[1]OUT_TransportEnergyCons!K$3:K$1000)</f>
        <v>0</v>
      </c>
      <c r="N1654" s="1" cm="1">
        <f t="array" ref="N1654">SUMPRODUCT(("TPSHPGSLEXT"=[1]OUT_TransportEnergyCons!$A$3:$A$1000)*1,("Var_Fin"=[1]OUT_TransportEnergyCons!$B$3:$B$1000)*1,ISNUMBER(SEARCH("GSL",[1]OUT_TransportEnergyCons!$C$3:$C$1000))*1,[1]OUT_TransportEnergyCons!L$3:L$1000)</f>
        <v>0</v>
      </c>
      <c r="O1654" s="1" cm="1">
        <f t="array" ref="O1654">SUMPRODUCT(("TPSHPGSLEXT"=[1]OUT_TransportEnergyCons!$A$3:$A$1000)*1,("Var_Fin"=[1]OUT_TransportEnergyCons!$B$3:$B$1000)*1,ISNUMBER(SEARCH("GSL",[1]OUT_TransportEnergyCons!$C$3:$C$1000))*1,[1]OUT_TransportEnergyCons!M$3:M$1000)</f>
        <v>0</v>
      </c>
      <c r="P1654" s="1" cm="1">
        <f t="array" ref="P1654">SUMPRODUCT(("TPSHPGSLEXT"=[1]OUT_TransportEnergyCons!$A$3:$A$1000)*1,("Var_Fin"=[1]OUT_TransportEnergyCons!$B$3:$B$1000)*1,ISNUMBER(SEARCH("GSL",[1]OUT_TransportEnergyCons!$C$3:$C$1000))*1,[1]OUT_TransportEnergyCons!N$3:N$1000)</f>
        <v>0</v>
      </c>
      <c r="Q1654" s="1" cm="1">
        <f t="array" ref="Q1654">SUMPRODUCT(("TPSHPGSLEXT"=[1]OUT_TransportEnergyCons!$A$3:$A$1000)*1,("Var_Fin"=[1]OUT_TransportEnergyCons!$B$3:$B$1000)*1,ISNUMBER(SEARCH("GSL",[1]OUT_TransportEnergyCons!$C$3:$C$1000))*1,[1]OUT_TransportEnergyCons!O$3:O$1000)</f>
        <v>0</v>
      </c>
      <c r="S1654" s="3"/>
    </row>
    <row r="1655" spans="2:19" x14ac:dyDescent="0.5">
      <c r="B1655" t="str">
        <f t="shared" si="1851"/>
        <v>SPS1</v>
      </c>
      <c r="C1655" t="str">
        <f t="shared" si="1852"/>
        <v>CH</v>
      </c>
      <c r="D1655" t="s">
        <v>1666</v>
      </c>
      <c r="E1655" t="str">
        <f t="shared" si="1861"/>
        <v>PJ/yr.</v>
      </c>
      <c r="F1655" s="1">
        <f>[1]TRA_FuelByFleet!F$99</f>
        <v>0</v>
      </c>
      <c r="G1655" s="1">
        <f>[1]TRA_FuelByFleet!G$99</f>
        <v>0</v>
      </c>
      <c r="H1655" s="1">
        <f>[1]TRA_FuelByFleet!H$99</f>
        <v>0</v>
      </c>
      <c r="I1655" s="1">
        <f>[1]TRA_FuelByFleet!I$99</f>
        <v>0</v>
      </c>
      <c r="J1655" s="1">
        <f>[1]TRA_FuelByFleet!J$99</f>
        <v>0</v>
      </c>
      <c r="K1655" s="1">
        <f>[1]TRA_FuelByFleet!K$99</f>
        <v>0</v>
      </c>
      <c r="L1655" s="1">
        <f>[1]TRA_FuelByFleet!L$99</f>
        <v>0</v>
      </c>
      <c r="M1655" s="1">
        <f>[1]TRA_FuelByFleet!M$99</f>
        <v>0</v>
      </c>
      <c r="N1655" s="1">
        <f>[1]TRA_FuelByFleet!N$99</f>
        <v>0</v>
      </c>
      <c r="O1655" s="1">
        <f>[1]TRA_FuelByFleet!O$99</f>
        <v>0</v>
      </c>
      <c r="P1655" s="1">
        <f>[1]TRA_FuelByFleet!P$99</f>
        <v>0</v>
      </c>
      <c r="Q1655" s="1">
        <f>[1]TRA_FuelByFleet!Q$99</f>
        <v>0</v>
      </c>
      <c r="S1655" s="3"/>
    </row>
    <row r="1656" spans="2:19" x14ac:dyDescent="0.5">
      <c r="B1656" t="str">
        <f t="shared" si="1851"/>
        <v>SPS1</v>
      </c>
      <c r="C1656" t="str">
        <f t="shared" si="1852"/>
        <v>CH</v>
      </c>
      <c r="D1656" t="s">
        <v>1667</v>
      </c>
      <c r="E1656" t="str">
        <f t="shared" si="1861"/>
        <v>PJ/yr.</v>
      </c>
      <c r="F1656" s="1">
        <f>F1655-F1657</f>
        <v>0</v>
      </c>
      <c r="G1656" s="1">
        <f t="shared" ref="G1656:K1656" si="1866">G1655-G1657</f>
        <v>0</v>
      </c>
      <c r="H1656" s="1">
        <f t="shared" si="1866"/>
        <v>0</v>
      </c>
      <c r="I1656" s="1">
        <f t="shared" si="1866"/>
        <v>0</v>
      </c>
      <c r="J1656" s="1">
        <f t="shared" si="1866"/>
        <v>0</v>
      </c>
      <c r="K1656" s="1">
        <f t="shared" si="1866"/>
        <v>0</v>
      </c>
      <c r="L1656" s="1">
        <f t="shared" ref="L1656:O1656" si="1867">L1655-L1657</f>
        <v>0</v>
      </c>
      <c r="M1656" s="1">
        <f t="shared" si="1867"/>
        <v>0</v>
      </c>
      <c r="N1656" s="1">
        <f t="shared" si="1867"/>
        <v>0</v>
      </c>
      <c r="O1656" s="1">
        <f t="shared" si="1867"/>
        <v>0</v>
      </c>
      <c r="P1656" s="1">
        <f>P1655-P1657</f>
        <v>0</v>
      </c>
      <c r="Q1656" s="1">
        <f>Q1655-Q1657</f>
        <v>0</v>
      </c>
      <c r="S1656" s="3"/>
    </row>
    <row r="1657" spans="2:19" x14ac:dyDescent="0.5">
      <c r="B1657" t="str">
        <f t="shared" si="1851"/>
        <v>SPS1</v>
      </c>
      <c r="C1657" t="str">
        <f t="shared" si="1852"/>
        <v>CH</v>
      </c>
      <c r="D1657" t="s">
        <v>1668</v>
      </c>
      <c r="E1657" t="str">
        <f t="shared" si="1861"/>
        <v>PJ/yr.</v>
      </c>
      <c r="F1657" s="1">
        <f>SUM(F1658:F1659)</f>
        <v>0</v>
      </c>
      <c r="G1657" s="1">
        <f t="shared" ref="G1657:K1657" si="1868">SUM(G1658:G1659)</f>
        <v>0</v>
      </c>
      <c r="H1657" s="1">
        <f t="shared" si="1868"/>
        <v>0</v>
      </c>
      <c r="I1657" s="1">
        <f t="shared" si="1868"/>
        <v>0</v>
      </c>
      <c r="J1657" s="1">
        <f t="shared" si="1868"/>
        <v>0</v>
      </c>
      <c r="K1657" s="1">
        <f t="shared" si="1868"/>
        <v>0</v>
      </c>
      <c r="L1657" s="1">
        <f t="shared" ref="L1657:O1657" si="1869">SUM(L1658:L1659)</f>
        <v>0</v>
      </c>
      <c r="M1657" s="1">
        <f t="shared" si="1869"/>
        <v>0</v>
      </c>
      <c r="N1657" s="1">
        <f t="shared" si="1869"/>
        <v>0</v>
      </c>
      <c r="O1657" s="1">
        <f t="shared" si="1869"/>
        <v>0</v>
      </c>
      <c r="P1657" s="1">
        <f>SUM(P1658:P1659)</f>
        <v>0</v>
      </c>
      <c r="Q1657" s="1">
        <f>SUM(Q1658:Q1659)</f>
        <v>0</v>
      </c>
      <c r="S1657" s="3"/>
    </row>
    <row r="1658" spans="2:19" x14ac:dyDescent="0.5">
      <c r="B1658" t="str">
        <f t="shared" si="1851"/>
        <v>SPS1</v>
      </c>
      <c r="C1658" t="str">
        <f t="shared" si="1852"/>
        <v>CH</v>
      </c>
      <c r="D1658" t="s">
        <v>1669</v>
      </c>
      <c r="E1658" t="str">
        <f t="shared" si="1861"/>
        <v>PJ/yr.</v>
      </c>
      <c r="F1658" s="1">
        <f>[1]Transport!B$26/SUM([1]Transport!B$22,[1]Transport!B$26)*F1655*(F$34+F$582)/(F$34+F$582+F$38)</f>
        <v>0</v>
      </c>
      <c r="G1658" s="1">
        <f>[1]Transport!C$26/SUM([1]Transport!C$22,[1]Transport!C$26)*G1655*(G$34+G$582)/(G$34+G$582+G$38)</f>
        <v>0</v>
      </c>
      <c r="H1658" s="1">
        <f>[1]Transport!D$26/SUM([1]Transport!D$22,[1]Transport!D$26)*H1655*(H$34+H$582)/(H$34+H$582+H$38)</f>
        <v>0</v>
      </c>
      <c r="I1658" s="1">
        <f>[1]Transport!E$26/SUM([1]Transport!E$22,[1]Transport!E$26)*I1655*(I$34+I$582)/(I$34+I$582+I$38)</f>
        <v>0</v>
      </c>
      <c r="J1658" s="1">
        <f>[1]Transport!F$26/SUM([1]Transport!F$22,[1]Transport!F$26)*J1655*(J$34+J$582)/(J$34+J$582+J$38)</f>
        <v>0</v>
      </c>
      <c r="K1658" s="1">
        <f>[1]Transport!G$26/SUM([1]Transport!G$22,[1]Transport!G$26)*K1655*(K$34+K$582)/(K$34+K$582+K$38)</f>
        <v>0</v>
      </c>
      <c r="L1658" s="1">
        <f>[1]Transport!H$26/SUM([1]Transport!H$22,[1]Transport!H$26)*L1655*(L$34+L$582)/(L$34+L$582+L$38)</f>
        <v>0</v>
      </c>
      <c r="M1658" s="1">
        <f>[1]Transport!I$26/SUM([1]Transport!I$22,[1]Transport!I$26)*M1655*(M$34+M$582)/(M$34+M$582+M$38)</f>
        <v>0</v>
      </c>
      <c r="N1658" s="1">
        <f>[1]Transport!J$26/SUM([1]Transport!J$22,[1]Transport!J$26)*N1655*(N$34+N$582)/(N$34+N$582+N$38)</f>
        <v>0</v>
      </c>
      <c r="O1658" s="1">
        <f>[1]Transport!K$26/SUM([1]Transport!K$22,[1]Transport!K$26)*O1655*(O$34+O$582)/(O$34+O$582+O$38)</f>
        <v>0</v>
      </c>
      <c r="P1658" s="1">
        <f>[1]Transport!L$26/SUM([1]Transport!L$22,[1]Transport!L$26)*P1655*(P$34+P$582)/(P$34+P$582+P$38)</f>
        <v>0</v>
      </c>
      <c r="Q1658" s="1">
        <f>[1]Transport!M$26/SUM([1]Transport!M$22,[1]Transport!M$26)*Q1655*(Q$34+Q$582)/(Q$34+Q$582+Q$38)</f>
        <v>0</v>
      </c>
      <c r="S1658" s="3"/>
    </row>
    <row r="1659" spans="2:19" x14ac:dyDescent="0.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[1]Transport!F$26/SUM([1]Transport!F$22,[1]Transport!F$26)*J1655-J1658</f>
        <v>0</v>
      </c>
      <c r="K1659" s="1">
        <f>[1]Transport!G$26/SUM([1]Transport!G$22,[1]Transport!G$26)*K1655-K1658</f>
        <v>0</v>
      </c>
      <c r="L1659" s="1">
        <f>[1]Transport!H$26/SUM([1]Transport!H$22,[1]Transport!H$26)*L1655-L1658</f>
        <v>0</v>
      </c>
      <c r="M1659" s="1">
        <f>[1]Transport!I$26/SUM([1]Transport!I$22,[1]Transport!I$26)*M1655-M1658</f>
        <v>0</v>
      </c>
      <c r="N1659" s="1">
        <f>[1]Transport!J$26/SUM([1]Transport!J$22,[1]Transport!J$26)*N1655-N1658</f>
        <v>0</v>
      </c>
      <c r="O1659" s="1">
        <f>[1]Transport!K$26/SUM([1]Transport!K$22,[1]Transport!K$26)*O1655-O1658</f>
        <v>0</v>
      </c>
      <c r="P1659" s="1">
        <f>[1]Transport!L$26/SUM([1]Transport!L$22,[1]Transport!L$26)*P1655-P1658</f>
        <v>0</v>
      </c>
      <c r="Q1659" s="1">
        <f>[1]Transport!M$26/SUM([1]Transport!M$22,[1]Transport!M$26)*Q1655-Q1658</f>
        <v>0</v>
      </c>
      <c r="S1659" s="3"/>
    </row>
    <row r="1660" spans="2:19" x14ac:dyDescent="0.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SUMPRODUCT(("TPRLPDSLEXT"=[1]OUT_TransportEnergyCons!$A$3:$A$1000)*1,("Var_Fin"=[1]OUT_TransportEnergyCons!$B$3:$B$1000)*1,ISNUMBER(SEARCH("DSL",[1]OUT_TransportEnergyCons!$C$3:$C$1000))*1,[1]OUT_TransportEnergyCons!H$3:H$1000)</f>
        <v>0</v>
      </c>
      <c r="K1660" s="1" cm="1">
        <f t="array" ref="K1660">SUMPRODUCT(("TPRLPDSLEXT"=[1]OUT_TransportEnergyCons!$A$3:$A$1000)*1,("Var_Fin"=[1]OUT_TransportEnergyCons!$B$3:$B$1000)*1,ISNUMBER(SEARCH("DSL",[1]OUT_TransportEnergyCons!$C$3:$C$1000))*1,[1]OUT_TransportEnergyCons!I$3:I$1000)</f>
        <v>0</v>
      </c>
      <c r="L1660" s="1" cm="1">
        <f t="array" ref="L1660">SUMPRODUCT(("TPRLPDSLEXT"=[1]OUT_TransportEnergyCons!$A$3:$A$1000)*1,("Var_Fin"=[1]OUT_TransportEnergyCons!$B$3:$B$1000)*1,ISNUMBER(SEARCH("DSL",[1]OUT_TransportEnergyCons!$C$3:$C$1000))*1,[1]OUT_TransportEnergyCons!J$3:J$1000)</f>
        <v>0</v>
      </c>
      <c r="M1660" s="1" cm="1">
        <f t="array" ref="M1660">SUMPRODUCT(("TPRLPDSLEXT"=[1]OUT_TransportEnergyCons!$A$3:$A$1000)*1,("Var_Fin"=[1]OUT_TransportEnergyCons!$B$3:$B$1000)*1,ISNUMBER(SEARCH("DSL",[1]OUT_TransportEnergyCons!$C$3:$C$1000))*1,[1]OUT_TransportEnergyCons!K$3:K$1000)</f>
        <v>0</v>
      </c>
      <c r="N1660" s="1" cm="1">
        <f t="array" ref="N1660">SUMPRODUCT(("TPRLPDSLEXT"=[1]OUT_TransportEnergyCons!$A$3:$A$1000)*1,("Var_Fin"=[1]OUT_TransportEnergyCons!$B$3:$B$1000)*1,ISNUMBER(SEARCH("DSL",[1]OUT_TransportEnergyCons!$C$3:$C$1000))*1,[1]OUT_TransportEnergyCons!L$3:L$1000)</f>
        <v>0</v>
      </c>
      <c r="O1660" s="1" cm="1">
        <f t="array" ref="O1660">SUMPRODUCT(("TPRLPDSLEXT"=[1]OUT_TransportEnergyCons!$A$3:$A$1000)*1,("Var_Fin"=[1]OUT_TransportEnergyCons!$B$3:$B$1000)*1,ISNUMBER(SEARCH("DSL",[1]OUT_TransportEnergyCons!$C$3:$C$1000))*1,[1]OUT_TransportEnergyCons!M$3:M$1000)</f>
        <v>0</v>
      </c>
      <c r="P1660" s="1" cm="1">
        <f t="array" ref="P1660">SUMPRODUCT(("TPRLPDSLEXT"=[1]OUT_TransportEnergyCons!$A$3:$A$1000)*1,("Var_Fin"=[1]OUT_TransportEnergyCons!$B$3:$B$1000)*1,ISNUMBER(SEARCH("DSL",[1]OUT_TransportEnergyCons!$C$3:$C$1000))*1,[1]OUT_TransportEnergyCons!N$3:N$1000)</f>
        <v>0</v>
      </c>
      <c r="Q1660" s="1" cm="1">
        <f t="array" ref="Q1660">SUMPRODUCT(("TPRLPDSLEXT"=[1]OUT_TransportEnergyCons!$A$3:$A$1000)*1,("Var_Fin"=[1]OUT_TransportEnergyCons!$B$3:$B$1000)*1,ISNUMBER(SEARCH("DSL",[1]OUT_TransportEnergyCons!$C$3:$C$1000))*1,[1]OUT_TransportEnergyCons!O$3:O$1000)</f>
        <v>0</v>
      </c>
      <c r="S1660" s="3"/>
    </row>
    <row r="1661" spans="2:19" x14ac:dyDescent="0.5">
      <c r="B1661" t="str">
        <f t="shared" si="1851"/>
        <v>SPS1</v>
      </c>
      <c r="C1661" t="str">
        <f t="shared" si="1852"/>
        <v>CH</v>
      </c>
      <c r="D1661" t="s">
        <v>1672</v>
      </c>
      <c r="E1661" t="str">
        <f t="shared" si="186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0.39609140697016032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0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0</v>
      </c>
      <c r="J1661" s="1" cm="1">
        <f t="array" ref="J1661">SUMPRODUCT(("TFRLFDSLEXT"=[1]OUT_TransportEnergyCons!$A$3:$A$1000)*1,("Var_Fin"=[1]OUT_TransportEnergyCons!$B$3:$B$1000)*1,ISNUMBER(SEARCH("DSL",[1]OUT_TransportEnergyCons!$C$3:$C$1000))*1,[1]OUT_TransportEnergyCons!H$3:H$1000)</f>
        <v>0</v>
      </c>
      <c r="K1661" s="1" cm="1">
        <f t="array" ref="K1661">SUMPRODUCT(("TFRLFDSLEXT"=[1]OUT_TransportEnergyCons!$A$3:$A$1000)*1,("Var_Fin"=[1]OUT_TransportEnergyCons!$B$3:$B$1000)*1,ISNUMBER(SEARCH("DSL",[1]OUT_TransportEnergyCons!$C$3:$C$1000))*1,[1]OUT_TransportEnergyCons!I$3:I$1000)</f>
        <v>0</v>
      </c>
      <c r="L1661" s="1" cm="1">
        <f t="array" ref="L1661">SUMPRODUCT(("TFRLFDSLEXT"=[1]OUT_TransportEnergyCons!$A$3:$A$1000)*1,("Var_Fin"=[1]OUT_TransportEnergyCons!$B$3:$B$1000)*1,ISNUMBER(SEARCH("DSL",[1]OUT_TransportEnergyCons!$C$3:$C$1000))*1,[1]OUT_TransportEnergyCons!J$3:J$1000)</f>
        <v>0</v>
      </c>
      <c r="M1661" s="1" cm="1">
        <f t="array" ref="M1661">SUMPRODUCT(("TFRLFDSLEXT"=[1]OUT_TransportEnergyCons!$A$3:$A$1000)*1,("Var_Fin"=[1]OUT_TransportEnergyCons!$B$3:$B$1000)*1,ISNUMBER(SEARCH("DSL",[1]OUT_TransportEnergyCons!$C$3:$C$1000))*1,[1]OUT_TransportEnergyCons!K$3:K$1000)</f>
        <v>0</v>
      </c>
      <c r="N1661" s="1" cm="1">
        <f t="array" ref="N1661">SUMPRODUCT(("TFRLFDSLEXT"=[1]OUT_TransportEnergyCons!$A$3:$A$1000)*1,("Var_Fin"=[1]OUT_TransportEnergyCons!$B$3:$B$1000)*1,ISNUMBER(SEARCH("DSL",[1]OUT_TransportEnergyCons!$C$3:$C$1000))*1,[1]OUT_TransportEnergyCons!L$3:L$1000)</f>
        <v>0</v>
      </c>
      <c r="O1661" s="1" cm="1">
        <f t="array" ref="O1661">SUMPRODUCT(("TFRLFDSLEXT"=[1]OUT_TransportEnergyCons!$A$3:$A$1000)*1,("Var_Fin"=[1]OUT_TransportEnergyCons!$B$3:$B$1000)*1,ISNUMBER(SEARCH("DSL",[1]OUT_TransportEnergyCons!$C$3:$C$1000))*1,[1]OUT_TransportEnergyCons!M$3:M$1000)</f>
        <v>0</v>
      </c>
      <c r="P1661" s="1" cm="1">
        <f t="array" ref="P1661">SUMPRODUCT(("TFRLFDSLEXT"=[1]OUT_TransportEnergyCons!$A$3:$A$1000)*1,("Var_Fin"=[1]OUT_TransportEnergyCons!$B$3:$B$1000)*1,ISNUMBER(SEARCH("DSL",[1]OUT_TransportEnergyCons!$C$3:$C$1000))*1,[1]OUT_TransportEnergyCons!N$3:N$1000)</f>
        <v>0</v>
      </c>
      <c r="Q1661" s="1" cm="1">
        <f t="array" ref="Q1661">SUMPRODUCT(("TFRLFDSLEXT"=[1]OUT_TransportEnergyCons!$A$3:$A$1000)*1,("Var_Fin"=[1]OUT_TransportEnergyCons!$B$3:$B$1000)*1,ISNUMBER(SEARCH("DSL",[1]OUT_TransportEnergyCons!$C$3:$C$1000))*1,[1]OUT_TransportEnergyCons!O$3:O$1000)</f>
        <v>4.1950955102721097E-5</v>
      </c>
      <c r="S1661" s="3"/>
    </row>
    <row r="1662" spans="2:19" x14ac:dyDescent="0.5">
      <c r="B1662" t="str">
        <f t="shared" si="1851"/>
        <v>SPS1</v>
      </c>
      <c r="C1662" t="str">
        <f t="shared" si="1852"/>
        <v>CH</v>
      </c>
      <c r="D1662" t="s">
        <v>1673</v>
      </c>
      <c r="E1662" t="str">
        <f t="shared" si="186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17.380400522986399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15.762738579687504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14.414802694667415</v>
      </c>
      <c r="J1662" s="1" cm="1">
        <f t="array" ref="J1662">SUMPRODUCT(("TPSHPDSLEXT"=[1]OUT_TransportEnergyCons!$A$3:$A$1000)*1,("Var_Fin"=[1]OUT_TransportEnergyCons!$B$3:$B$1000)*1,ISNUMBER(SEARCH("DSL",[1]OUT_TransportEnergyCons!$C$3:$C$1000))*1,[1]OUT_TransportEnergyCons!H$3:H$1000)</f>
        <v>13.875469688815871</v>
      </c>
      <c r="K1662" s="1" cm="1">
        <f t="array" ref="K1662">SUMPRODUCT(("TPSHPDSLEXT"=[1]OUT_TransportEnergyCons!$A$3:$A$1000)*1,("Var_Fin"=[1]OUT_TransportEnergyCons!$B$3:$B$1000)*1,ISNUMBER(SEARCH("DSL",[1]OUT_TransportEnergyCons!$C$3:$C$1000))*1,[1]OUT_TransportEnergyCons!I$3:I$1000)</f>
        <v>10.522296125089154</v>
      </c>
      <c r="L1662" s="1" cm="1">
        <f t="array" ref="L1662">SUMPRODUCT(("TPSHPDSLEXT"=[1]OUT_TransportEnergyCons!$A$3:$A$1000)*1,("Var_Fin"=[1]OUT_TransportEnergyCons!$B$3:$B$1000)*1,ISNUMBER(SEARCH("DSL",[1]OUT_TransportEnergyCons!$C$3:$C$1000))*1,[1]OUT_TransportEnergyCons!J$3:J$1000)</f>
        <v>4.765760645018454</v>
      </c>
      <c r="M1662" s="1" cm="1">
        <f t="array" ref="M1662">SUMPRODUCT(("TPSHPDSLEXT"=[1]OUT_TransportEnergyCons!$A$3:$A$1000)*1,("Var_Fin"=[1]OUT_TransportEnergyCons!$B$3:$B$1000)*1,ISNUMBER(SEARCH("DSL",[1]OUT_TransportEnergyCons!$C$3:$C$1000))*1,[1]OUT_TransportEnergyCons!K$3:K$1000)</f>
        <v>2.0429176548363843</v>
      </c>
      <c r="N1662" s="1" cm="1">
        <f t="array" ref="N1662">SUMPRODUCT(("TPSHPDSLEXT"=[1]OUT_TransportEnergyCons!$A$3:$A$1000)*1,("Var_Fin"=[1]OUT_TransportEnergyCons!$B$3:$B$1000)*1,ISNUMBER(SEARCH("DSL",[1]OUT_TransportEnergyCons!$C$3:$C$1000))*1,[1]OUT_TransportEnergyCons!L$3:L$1000)</f>
        <v>2.042914214729453</v>
      </c>
      <c r="O1662" s="1" cm="1">
        <f t="array" ref="O1662">SUMPRODUCT(("TPSHPDSLEXT"=[1]OUT_TransportEnergyCons!$A$3:$A$1000)*1,("Var_Fin"=[1]OUT_TransportEnergyCons!$B$3:$B$1000)*1,ISNUMBER(SEARCH("DSL",[1]OUT_TransportEnergyCons!$C$3:$C$1000))*1,[1]OUT_TransportEnergyCons!M$3:M$1000)</f>
        <v>2.0429175205187526</v>
      </c>
      <c r="P1662" s="1" cm="1">
        <f t="array" ref="P1662">SUMPRODUCT(("TPSHPDSLEXT"=[1]OUT_TransportEnergyCons!$A$3:$A$1000)*1,("Var_Fin"=[1]OUT_TransportEnergyCons!$B$3:$B$1000)*1,ISNUMBER(SEARCH("DSL",[1]OUT_TransportEnergyCons!$C$3:$C$1000))*1,[1]OUT_TransportEnergyCons!N$3:N$1000)</f>
        <v>2.0429168209112349</v>
      </c>
      <c r="Q1662" s="1" cm="1">
        <f t="array" ref="Q1662">SUMPRODUCT(("TPSHPDSLEXT"=[1]OUT_TransportEnergyCons!$A$3:$A$1000)*1,("Var_Fin"=[1]OUT_TransportEnergyCons!$B$3:$B$1000)*1,ISNUMBER(SEARCH("DSL",[1]OUT_TransportEnergyCons!$C$3:$C$1000))*1,[1]OUT_TransportEnergyCons!O$3:O$1000)</f>
        <v>2.0429168344799642</v>
      </c>
      <c r="S1662" s="3"/>
    </row>
    <row r="1663" spans="2:19" x14ac:dyDescent="0.5">
      <c r="B1663" t="str">
        <f t="shared" ref="B1663:C1665" si="1870">B1657</f>
        <v>SPS1</v>
      </c>
      <c r="C1663" t="str">
        <f t="shared" si="1870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30.629660518615733</v>
      </c>
      <c r="G1663" s="1">
        <f>IF([1]Transport!C$23+[1]Transport_Aviation_Intl!C$11&lt;0,0,[1]Transport!C$23+[1]Transport_Aviation_Intl!C$11)</f>
        <v>59.879993819700211</v>
      </c>
      <c r="H1663" s="1">
        <f>IF([1]Transport!D$23+[1]Transport_Aviation_Intl!D$11&lt;0,0,[1]Transport!D$23+[1]Transport_Aviation_Intl!D$11)</f>
        <v>85.344531480335206</v>
      </c>
      <c r="I1663" s="1">
        <f>IF([1]Transport!E$23+[1]Transport_Aviation_Intl!E$11&lt;0,0,[1]Transport!E$23+[1]Transport_Aviation_Intl!E$11)</f>
        <v>85.566620993039749</v>
      </c>
      <c r="J1663" s="1">
        <f>IF([1]Transport!F$23+[1]Transport_Aviation_Intl!F$11&lt;0,0,[1]Transport!F$23+[1]Transport_Aviation_Intl!F$11)</f>
        <v>76.382061293646174</v>
      </c>
      <c r="K1663" s="1">
        <f>IF([1]Transport!G$23+[1]Transport_Aviation_Intl!G$11&lt;0,0,[1]Transport!G$23+[1]Transport_Aviation_Intl!G$11)</f>
        <v>54.630205951214073</v>
      </c>
      <c r="L1663" s="1">
        <f>IF([1]Transport!H$23+[1]Transport_Aviation_Intl!H$11&lt;0,0,[1]Transport!H$23+[1]Transport_Aviation_Intl!H$11)</f>
        <v>28.15742834573388</v>
      </c>
      <c r="M1663" s="1">
        <f>IF([1]Transport!I$23+[1]Transport_Aviation_Intl!I$11&lt;0,0,[1]Transport!I$23+[1]Transport_Aviation_Intl!I$11)</f>
        <v>0</v>
      </c>
      <c r="N1663" s="1">
        <f>IF([1]Transport!J$23+[1]Transport_Aviation_Intl!J$11&lt;0,0,[1]Transport!J$23+[1]Transport_Aviation_Intl!J$11)</f>
        <v>8.2271443950121537E-5</v>
      </c>
      <c r="O1663" s="1">
        <f>IF([1]Transport!K$23+[1]Transport_Aviation_Intl!K$11&lt;0,0,[1]Transport!K$23+[1]Transport_Aviation_Intl!K$11)</f>
        <v>1.2809182189998936E-4</v>
      </c>
      <c r="P1663" s="1">
        <f>IF([1]Transport!L$23+[1]Transport_Aviation_Intl!L$11&lt;0,0,[1]Transport!L$23+[1]Transport_Aviation_Intl!L$11)</f>
        <v>1.215612544800404E-4</v>
      </c>
      <c r="Q1663" s="1">
        <f>IF([1]Transport!M$23+[1]Transport_Aviation_Intl!M$11&lt;0,0,[1]Transport!M$23+[1]Transport_Aviation_Intl!M$11)</f>
        <v>1.992952614100485E-4</v>
      </c>
      <c r="S1663" s="3"/>
    </row>
    <row r="1664" spans="2:19" x14ac:dyDescent="0.5">
      <c r="B1664" t="str">
        <f t="shared" si="1870"/>
        <v>SPS1</v>
      </c>
      <c r="C1664" t="str">
        <f t="shared" si="1870"/>
        <v>CH</v>
      </c>
      <c r="D1664" t="s">
        <v>2480</v>
      </c>
      <c r="E1664" t="str">
        <f>E1658</f>
        <v>PJ/yr.</v>
      </c>
      <c r="F1664" s="1">
        <f t="shared" ref="F1664:K1664" si="1871">F36</f>
        <v>3.3950520625614301E-4</v>
      </c>
      <c r="G1664" s="1">
        <f t="shared" si="1871"/>
        <v>6.1967493696691697E-6</v>
      </c>
      <c r="H1664" s="1">
        <f t="shared" si="1871"/>
        <v>4.2917365554131202E-4</v>
      </c>
      <c r="I1664" s="1">
        <f t="shared" si="1871"/>
        <v>5.3159887882745389</v>
      </c>
      <c r="J1664" s="1">
        <f t="shared" si="1871"/>
        <v>5.3159887882745389</v>
      </c>
      <c r="K1664" s="1">
        <f t="shared" si="1871"/>
        <v>18.512545547796989</v>
      </c>
      <c r="L1664" s="1">
        <f t="shared" ref="L1664:O1664" si="1872">L36</f>
        <v>38.846821268753061</v>
      </c>
      <c r="M1664" s="1">
        <f t="shared" si="1872"/>
        <v>68.66213777625623</v>
      </c>
      <c r="N1664" s="1">
        <f t="shared" si="1872"/>
        <v>95.362839073219362</v>
      </c>
      <c r="O1664" s="1">
        <f t="shared" si="1872"/>
        <v>95.543980549960509</v>
      </c>
      <c r="P1664" s="1">
        <f>P36</f>
        <v>96.256879238587331</v>
      </c>
      <c r="Q1664" s="1">
        <f>Q36</f>
        <v>97.823961003909815</v>
      </c>
      <c r="S1664" s="3"/>
    </row>
    <row r="1665" spans="2:19" x14ac:dyDescent="0.5">
      <c r="B1665" t="str">
        <f t="shared" si="1870"/>
        <v>SPS1</v>
      </c>
      <c r="C1665" t="str">
        <f t="shared" si="1870"/>
        <v>CH</v>
      </c>
      <c r="D1665" t="s">
        <v>2481</v>
      </c>
      <c r="E1665" t="str">
        <f>E1659</f>
        <v>PJ/yr.</v>
      </c>
      <c r="F1665" s="1">
        <f t="shared" ref="F1665:K1665" si="1873">F40</f>
        <v>0</v>
      </c>
      <c r="G1665" s="1">
        <f t="shared" si="1873"/>
        <v>0</v>
      </c>
      <c r="H1665" s="1">
        <f t="shared" si="1873"/>
        <v>0</v>
      </c>
      <c r="I1665" s="1">
        <f t="shared" si="1873"/>
        <v>0</v>
      </c>
      <c r="J1665" s="1">
        <f t="shared" si="1873"/>
        <v>13.196556759522451</v>
      </c>
      <c r="K1665" s="1">
        <f t="shared" si="1873"/>
        <v>20.334275720956072</v>
      </c>
      <c r="L1665" s="1">
        <f t="shared" ref="L1665:O1665" si="1874">L40</f>
        <v>29.815316507503169</v>
      </c>
      <c r="M1665" s="1">
        <f t="shared" si="1874"/>
        <v>26.881842773704278</v>
      </c>
      <c r="N1665" s="1">
        <f t="shared" si="1874"/>
        <v>0</v>
      </c>
      <c r="O1665" s="1">
        <f t="shared" si="1874"/>
        <v>0.71289868862682226</v>
      </c>
      <c r="P1665" s="1">
        <f>P40</f>
        <v>1.5670817653224844</v>
      </c>
      <c r="Q1665" s="1">
        <f>Q40</f>
        <v>1.579535759793103</v>
      </c>
      <c r="S1665" s="3"/>
    </row>
    <row r="1666" spans="2:19" x14ac:dyDescent="0.5">
      <c r="B1666" s="2" t="str">
        <f>B1662</f>
        <v>SPS1</v>
      </c>
      <c r="C1666" s="2" t="str">
        <f>C1662</f>
        <v>CH</v>
      </c>
      <c r="D1666" s="2" t="s">
        <v>1674</v>
      </c>
      <c r="E1666" s="19" t="s">
        <v>292</v>
      </c>
      <c r="F1666" s="19" t="s">
        <v>292</v>
      </c>
      <c r="G1666" s="19" t="s">
        <v>292</v>
      </c>
      <c r="H1666" s="19" t="s">
        <v>292</v>
      </c>
      <c r="I1666" s="19" t="s">
        <v>292</v>
      </c>
      <c r="J1666" s="19" t="s">
        <v>292</v>
      </c>
      <c r="K1666" s="19" t="s">
        <v>292</v>
      </c>
      <c r="L1666" s="19" t="s">
        <v>292</v>
      </c>
      <c r="M1666" s="19" t="s">
        <v>292</v>
      </c>
      <c r="N1666" s="19" t="s">
        <v>292</v>
      </c>
      <c r="O1666" s="19" t="s">
        <v>292</v>
      </c>
      <c r="P1666" s="19" t="s">
        <v>292</v>
      </c>
      <c r="Q1666" s="19" t="s">
        <v>292</v>
      </c>
      <c r="S1666" s="3"/>
    </row>
    <row r="1667" spans="2:19" x14ac:dyDescent="0.5">
      <c r="B1667" t="str">
        <f t="shared" ref="B1667:B1687" si="1875">B1666</f>
        <v>SPS1</v>
      </c>
      <c r="C1667" t="str">
        <f t="shared" si="185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SUMPRODUCT(("TPRLPELCEXT"=[1]OUT_TransportEnergyCons!$A$3:$A$1000)*1,("var_fout"=[1]OUT_TransportEnergyCons!$B$3:$B$1000)*1,ISNUMBER(SEARCH("TPRLP",[1]OUT_TransportEnergyCons!$C$3:$C$1000))*1,[1]OUT_TransportEnergyCons!H$3:H$1000)</f>
        <v>0.23259804492562927</v>
      </c>
      <c r="K1667" s="1" cm="1">
        <f t="array" ref="K1667">SUMPRODUCT(("TPRLPELCEXT"=[1]OUT_TransportEnergyCons!$A$3:$A$1000)*1,("var_fout"=[1]OUT_TransportEnergyCons!$B$3:$B$1000)*1,ISNUMBER(SEARCH("TPRLP",[1]OUT_TransportEnergyCons!$C$3:$C$1000))*1,[1]OUT_TransportEnergyCons!I$3:I$1000)</f>
        <v>0.24502301923418443</v>
      </c>
      <c r="L1667" s="1" cm="1">
        <f t="array" ref="L1667">SUMPRODUCT(("TPRLPELCEXT"=[1]OUT_TransportEnergyCons!$A$3:$A$1000)*1,("var_fout"=[1]OUT_TransportEnergyCons!$B$3:$B$1000)*1,ISNUMBER(SEARCH("TPRLP",[1]OUT_TransportEnergyCons!$C$3:$C$1000))*1,[1]OUT_TransportEnergyCons!J$3:J$1000)</f>
        <v>0.25421039867029321</v>
      </c>
      <c r="M1667" s="1" cm="1">
        <f t="array" ref="M1667">SUMPRODUCT(("TPRLPELCEXT"=[1]OUT_TransportEnergyCons!$A$3:$A$1000)*1,("var_fout"=[1]OUT_TransportEnergyCons!$B$3:$B$1000)*1,ISNUMBER(SEARCH("TPRLP",[1]OUT_TransportEnergyCons!$C$3:$C$1000))*1,[1]OUT_TransportEnergyCons!K$3:K$1000)</f>
        <v>0.26339849548325478</v>
      </c>
      <c r="N1667" s="1" cm="1">
        <f t="array" ref="N1667">SUMPRODUCT(("TPRLPELCEXT"=[1]OUT_TransportEnergyCons!$A$3:$A$1000)*1,("var_fout"=[1]OUT_TransportEnergyCons!$B$3:$B$1000)*1,ISNUMBER(SEARCH("TPRLP",[1]OUT_TransportEnergyCons!$C$3:$C$1000))*1,[1]OUT_TransportEnergyCons!L$3:L$1000)</f>
        <v>0.27583469258610854</v>
      </c>
      <c r="O1667" s="1" cm="1">
        <f t="array" ref="O1667">SUMPRODUCT(("TPRLPELCEXT"=[1]OUT_TransportEnergyCons!$A$3:$A$1000)*1,("var_fout"=[1]OUT_TransportEnergyCons!$B$3:$B$1000)*1,ISNUMBER(SEARCH("TPRLP",[1]OUT_TransportEnergyCons!$C$3:$C$1000))*1,[1]OUT_TransportEnergyCons!M$3:M$1000)</f>
        <v>0.2882403187837384</v>
      </c>
      <c r="P1667" s="1" cm="1">
        <f t="array" ref="P1667">SUMPRODUCT(("TPRLPELCEXT"=[1]OUT_TransportEnergyCons!$A$3:$A$1000)*1,("var_fout"=[1]OUT_TransportEnergyCons!$B$3:$B$1000)*1,ISNUMBER(SEARCH("TPRLP",[1]OUT_TransportEnergyCons!$C$3:$C$1000))*1,[1]OUT_TransportEnergyCons!N$3:N$1000)</f>
        <v>0.30061650461348294</v>
      </c>
      <c r="Q1667" s="1" cm="1">
        <f t="array" ref="Q1667">SUMPRODUCT(("TPRLPELCEXT"=[1]OUT_TransportEnergyCons!$A$3:$A$1000)*1,("var_fout"=[1]OUT_TransportEnergyCons!$B$3:$B$1000)*1,ISNUMBER(SEARCH("TPRLP",[1]OUT_TransportEnergyCons!$C$3:$C$1000))*1,[1]OUT_TransportEnergyCons!O$3:O$1000)</f>
        <v>0.3129596089750703</v>
      </c>
      <c r="S1667" s="3"/>
    </row>
    <row r="1668" spans="2:19" x14ac:dyDescent="0.5">
      <c r="B1668" t="str">
        <f t="shared" si="1875"/>
        <v>SPS1</v>
      </c>
      <c r="C1668" t="str">
        <f t="shared" si="1852"/>
        <v>CH</v>
      </c>
      <c r="D1668" t="s">
        <v>1676</v>
      </c>
      <c r="E1668" t="str">
        <f t="shared" ref="E1668:E1671" si="1876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2.509461226162911E-2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2.7688369219048388E-2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2.9171983013467816E-2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3.164471830334286E-2</v>
      </c>
      <c r="J1668" s="1" cm="1">
        <f t="array" ref="J1668">SUMPRODUCT(("TFRLFELCEXT"=[1]OUT_TransportEnergyCons!$A$3:$A$1000)*1,("var_fout"=[1]OUT_TransportEnergyCons!$B$3:$B$1000)*1,ISNUMBER(SEARCH("TfRLf",[1]OUT_TransportEnergyCons!$C$3:$C$1000))*1,[1]OUT_TransportEnergyCons!H$3:H$1000)</f>
        <v>3.3098689915058863E-2</v>
      </c>
      <c r="K1668" s="1" cm="1">
        <f t="array" ref="K1668">SUMPRODUCT(("TFRLFELCEXT"=[1]OUT_TransportEnergyCons!$A$3:$A$1000)*1,("var_fout"=[1]OUT_TransportEnergyCons!$B$3:$B$1000)*1,ISNUMBER(SEARCH("TfRLf",[1]OUT_TransportEnergyCons!$C$3:$C$1000))*1,[1]OUT_TransportEnergyCons!I$3:I$1000)</f>
        <v>3.3880266956451306E-2</v>
      </c>
      <c r="L1668" s="1" cm="1">
        <f t="array" ref="L1668">SUMPRODUCT(("TFRLFELCEXT"=[1]OUT_TransportEnergyCons!$A$3:$A$1000)*1,("var_fout"=[1]OUT_TransportEnergyCons!$B$3:$B$1000)*1,ISNUMBER(SEARCH("TfRLf",[1]OUT_TransportEnergyCons!$C$3:$C$1000))*1,[1]OUT_TransportEnergyCons!J$3:J$1000)</f>
        <v>3.5151455445398397E-2</v>
      </c>
      <c r="M1668" s="1" cm="1">
        <f t="array" ref="M1668">SUMPRODUCT(("TFRLFELCEXT"=[1]OUT_TransportEnergyCons!$A$3:$A$1000)*1,("var_fout"=[1]OUT_TransportEnergyCons!$B$3:$B$1000)*1,ISNUMBER(SEARCH("TfRLf",[1]OUT_TransportEnergyCons!$C$3:$C$1000))*1,[1]OUT_TransportEnergyCons!K$3:K$1000)</f>
        <v>3.6422594066540706E-2</v>
      </c>
      <c r="N1668" s="1" cm="1">
        <f t="array" ref="N1668">SUMPRODUCT(("TFRLFELCEXT"=[1]OUT_TransportEnergyCons!$A$3:$A$1000)*1,("var_fout"=[1]OUT_TransportEnergyCons!$B$3:$B$1000)*1,ISNUMBER(SEARCH("TfRLf",[1]OUT_TransportEnergyCons!$C$3:$C$1000))*1,[1]OUT_TransportEnergyCons!L$3:L$1000)</f>
        <v>3.7000172313213599E-2</v>
      </c>
      <c r="O1668" s="1" cm="1">
        <f t="array" ref="O1668">SUMPRODUCT(("TFRLFELCEXT"=[1]OUT_TransportEnergyCons!$A$3:$A$1000)*1,("var_fout"=[1]OUT_TransportEnergyCons!$B$3:$B$1000)*1,ISNUMBER(SEARCH("TfRLf",[1]OUT_TransportEnergyCons!$C$3:$C$1000))*1,[1]OUT_TransportEnergyCons!M$3:M$1000)</f>
        <v>3.7874398222476832E-2</v>
      </c>
      <c r="P1668" s="1" cm="1">
        <f t="array" ref="P1668">SUMPRODUCT(("TFRLFELCEXT"=[1]OUT_TransportEnergyCons!$A$3:$A$1000)*1,("var_fout"=[1]OUT_TransportEnergyCons!$B$3:$B$1000)*1,ISNUMBER(SEARCH("TfRLf",[1]OUT_TransportEnergyCons!$C$3:$C$1000))*1,[1]OUT_TransportEnergyCons!N$3:N$1000)</f>
        <v>3.8123682020402144E-2</v>
      </c>
      <c r="Q1668" s="1" cm="1">
        <f t="array" ref="Q1668">SUMPRODUCT(("TFRLFELCEXT"=[1]OUT_TransportEnergyCons!$A$3:$A$1000)*1,("var_fout"=[1]OUT_TransportEnergyCons!$B$3:$B$1000)*1,ISNUMBER(SEARCH("TfRLf",[1]OUT_TransportEnergyCons!$C$3:$C$1000))*1,[1]OUT_TransportEnergyCons!O$3:O$1000)</f>
        <v>3.8616480746538381E-2</v>
      </c>
      <c r="S1668" s="3"/>
    </row>
    <row r="1669" spans="2:19" x14ac:dyDescent="0.5">
      <c r="B1669" t="str">
        <f t="shared" si="1875"/>
        <v>SPS1</v>
      </c>
      <c r="C1669" t="str">
        <f t="shared" si="185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4.4950885031848504E-6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6.8747766779139602E-6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3.2390245779084602E-4</v>
      </c>
      <c r="J1669" s="1" cm="1">
        <f t="array" ref="J1669">SUMPRODUCT(("TPSHPELCEXT"=[1]OUT_TransportEnergyCons!$A$3:$A$1000)*1,("var_fout"=[1]OUT_TransportEnergyCons!$B$3:$B$1000)*1,ISNUMBER(SEARCH("TPSHP",[1]OUT_TransportEnergyCons!$C$3:$C$1000))*1,[1]OUT_TransportEnergyCons!H$3:H$1000)</f>
        <v>0.53329700014102399</v>
      </c>
      <c r="K1669" s="1" cm="1">
        <f t="array" ref="K1669">SUMPRODUCT(("TPSHPELCEXT"=[1]OUT_TransportEnergyCons!$A$3:$A$1000)*1,("var_fout"=[1]OUT_TransportEnergyCons!$B$3:$B$1000)*1,ISNUMBER(SEARCH("TPSHP",[1]OUT_TransportEnergyCons!$C$3:$C$1000))*1,[1]OUT_TransportEnergyCons!I$3:I$1000)</f>
        <v>4.7739244694689402</v>
      </c>
      <c r="L1669" s="1" cm="1">
        <f t="array" ref="L1669">SUMPRODUCT(("TPSHPELCEXT"=[1]OUT_TransportEnergyCons!$A$3:$A$1000)*1,("var_fout"=[1]OUT_TransportEnergyCons!$B$3:$B$1000)*1,ISNUMBER(SEARCH("TPSHP",[1]OUT_TransportEnergyCons!$C$3:$C$1000))*1,[1]OUT_TransportEnergyCons!J$3:J$1000)</f>
        <v>11.3384318995264</v>
      </c>
      <c r="M1669" s="1" cm="1">
        <f t="array" ref="M1669">SUMPRODUCT(("TPSHPELCEXT"=[1]OUT_TransportEnergyCons!$A$3:$A$1000)*1,("var_fout"=[1]OUT_TransportEnergyCons!$B$3:$B$1000)*1,ISNUMBER(SEARCH("TPSHP",[1]OUT_TransportEnergyCons!$C$3:$C$1000))*1,[1]OUT_TransportEnergyCons!K$3:K$1000)</f>
        <v>14.125985694872501</v>
      </c>
      <c r="N1669" s="1" cm="1">
        <f t="array" ref="N1669">SUMPRODUCT(("TPSHPELCEXT"=[1]OUT_TransportEnergyCons!$A$3:$A$1000)*1,("var_fout"=[1]OUT_TransportEnergyCons!$B$3:$B$1000)*1,ISNUMBER(SEARCH("TPSHP",[1]OUT_TransportEnergyCons!$C$3:$C$1000))*1,[1]OUT_TransportEnergyCons!L$3:L$1000)</f>
        <v>14.1259867466764</v>
      </c>
      <c r="O1669" s="1" cm="1">
        <f t="array" ref="O1669">SUMPRODUCT(("TPSHPELCEXT"=[1]OUT_TransportEnergyCons!$A$3:$A$1000)*1,("var_fout"=[1]OUT_TransportEnergyCons!$B$3:$B$1000)*1,ISNUMBER(SEARCH("TPSHP",[1]OUT_TransportEnergyCons!$C$3:$C$1000))*1,[1]OUT_TransportEnergyCons!M$3:M$1000)</f>
        <v>14.1260289201436</v>
      </c>
      <c r="P1669" s="1" cm="1">
        <f t="array" ref="P1669">SUMPRODUCT(("TPSHPELCEXT"=[1]OUT_TransportEnergyCons!$A$3:$A$1000)*1,("var_fout"=[1]OUT_TransportEnergyCons!$B$3:$B$1000)*1,ISNUMBER(SEARCH("TPSHP",[1]OUT_TransportEnergyCons!$C$3:$C$1000))*1,[1]OUT_TransportEnergyCons!N$3:N$1000)</f>
        <v>14.1260208694311</v>
      </c>
      <c r="Q1669" s="1" cm="1">
        <f t="array" ref="Q1669">SUMPRODUCT(("TPSHPELCEXT"=[1]OUT_TransportEnergyCons!$A$3:$A$1000)*1,("var_fout"=[1]OUT_TransportEnergyCons!$B$3:$B$1000)*1,ISNUMBER(SEARCH("TPSHP",[1]OUT_TransportEnergyCons!$C$3:$C$1000))*1,[1]OUT_TransportEnergyCons!O$3:O$1000)</f>
        <v>14.1260171822027</v>
      </c>
      <c r="S1669" s="3"/>
    </row>
    <row r="1670" spans="2:19" x14ac:dyDescent="0.5">
      <c r="B1670" t="str">
        <f t="shared" si="1875"/>
        <v>SPS1</v>
      </c>
      <c r="C1670" t="str">
        <f t="shared" si="185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SUMPRODUCT(("TPRLPH2OFCL"=[1]OUT_TransportEnergyCons!$A$3:$A$1000)*1,("var_fout"=[1]OUT_TransportEnergyCons!$B$3:$B$1000)*1,ISNUMBER(SEARCH("TPRLP",[1]OUT_TransportEnergyCons!$C$3:$C$1000))*1,[1]OUT_TransportEnergyCons!H$3:H$1000)</f>
        <v>0</v>
      </c>
      <c r="K1670" s="1" cm="1">
        <f t="array" ref="K1670">SUMPRODUCT(("TPRLPH2OFCL"=[1]OUT_TransportEnergyCons!$A$3:$A$1000)*1,("var_fout"=[1]OUT_TransportEnergyCons!$B$3:$B$1000)*1,ISNUMBER(SEARCH("TPRLP",[1]OUT_TransportEnergyCons!$C$3:$C$1000))*1,[1]OUT_TransportEnergyCons!I$3:I$1000)</f>
        <v>1.7065034910896143E-6</v>
      </c>
      <c r="L1670" s="1" cm="1">
        <f t="array" ref="L1670">SUMPRODUCT(("TPRLPH2OFCL"=[1]OUT_TransportEnergyCons!$A$3:$A$1000)*1,("var_fout"=[1]OUT_TransportEnergyCons!$B$3:$B$1000)*1,ISNUMBER(SEARCH("TPRLP",[1]OUT_TransportEnergyCons!$C$3:$C$1000))*1,[1]OUT_TransportEnergyCons!J$3:J$1000)</f>
        <v>2.0997118683376958E-6</v>
      </c>
      <c r="M1670" s="1" cm="1">
        <f t="array" ref="M1670">SUMPRODUCT(("TPRLPH2OFCL"=[1]OUT_TransportEnergyCons!$A$3:$A$1000)*1,("var_fout"=[1]OUT_TransportEnergyCons!$B$3:$B$1000)*1,ISNUMBER(SEARCH("TPRLP",[1]OUT_TransportEnergyCons!$C$3:$C$1000))*1,[1]OUT_TransportEnergyCons!K$3:K$1000)</f>
        <v>1.7053017368856519E-6</v>
      </c>
      <c r="N1670" s="1" cm="1">
        <f t="array" ref="N1670">SUMPRODUCT(("TPRLPH2OFCL"=[1]OUT_TransportEnergyCons!$A$3:$A$1000)*1,("var_fout"=[1]OUT_TransportEnergyCons!$B$3:$B$1000)*1,ISNUMBER(SEARCH("TPRLP",[1]OUT_TransportEnergyCons!$C$3:$C$1000))*1,[1]OUT_TransportEnergyCons!L$3:L$1000)</f>
        <v>1.7045914716400533E-6</v>
      </c>
      <c r="O1670" s="1" cm="1">
        <f t="array" ref="O1670">SUMPRODUCT(("TPRLPH2OFCL"=[1]OUT_TransportEnergyCons!$A$3:$A$1000)*1,("var_fout"=[1]OUT_TransportEnergyCons!$B$3:$B$1000)*1,ISNUMBER(SEARCH("TPRLP",[1]OUT_TransportEnergyCons!$C$3:$C$1000))*1,[1]OUT_TransportEnergyCons!M$3:M$1000)</f>
        <v>2.0685826498425797E-6</v>
      </c>
      <c r="P1670" s="1" cm="1">
        <f t="array" ref="P1670">SUMPRODUCT(("TPRLPH2OFCL"=[1]OUT_TransportEnergyCons!$A$3:$A$1000)*1,("var_fout"=[1]OUT_TransportEnergyCons!$B$3:$B$1000)*1,ISNUMBER(SEARCH("TPRLP",[1]OUT_TransportEnergyCons!$C$3:$C$1000))*1,[1]OUT_TransportEnergyCons!N$3:N$1000)</f>
        <v>1.8210487522062056E-6</v>
      </c>
      <c r="Q1670" s="1" cm="1">
        <f t="array" ref="Q1670">SUMPRODUCT(("TPRLPH2OFCL"=[1]OUT_TransportEnergyCons!$A$3:$A$1000)*1,("var_fout"=[1]OUT_TransportEnergyCons!$B$3:$B$1000)*1,ISNUMBER(SEARCH("TPRLP",[1]OUT_TransportEnergyCons!$C$3:$C$1000))*1,[1]OUT_TransportEnergyCons!O$3:O$1000)</f>
        <v>5.1938625974190197E-6</v>
      </c>
      <c r="S1670" s="3"/>
    </row>
    <row r="1671" spans="2:19" x14ac:dyDescent="0.5">
      <c r="B1671" t="str">
        <f t="shared" si="1875"/>
        <v>SPS1</v>
      </c>
      <c r="C1671" t="str">
        <f t="shared" si="1852"/>
        <v>CH</v>
      </c>
      <c r="D1671" t="s">
        <v>1679</v>
      </c>
      <c r="E1671" t="str">
        <f t="shared" si="1876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SUMPRODUCT(("TFRLFH2OFCL"=[1]OUT_TransportEnergyCons!$A$3:$A$1000)*1,("var_fout"=[1]OUT_TransportEnergyCons!$B$3:$B$1000)*1,ISNUMBER(SEARCH("TfRLf",[1]OUT_TransportEnergyCons!$C$3:$C$1000))*1,[1]OUT_TransportEnergyCons!H$3:H$1000)</f>
        <v>0</v>
      </c>
      <c r="K1671" s="1" cm="1">
        <f t="array" ref="K1671">SUMPRODUCT(("TFRLFH2OFCL"=[1]OUT_TransportEnergyCons!$A$3:$A$1000)*1,("var_fout"=[1]OUT_TransportEnergyCons!$B$3:$B$1000)*1,ISNUMBER(SEARCH("TfRLf",[1]OUT_TransportEnergyCons!$C$3:$C$1000))*1,[1]OUT_TransportEnergyCons!I$3:I$1000)</f>
        <v>0</v>
      </c>
      <c r="L1671" s="1" cm="1">
        <f t="array" ref="L1671">SUMPRODUCT(("TFRLFH2OFCL"=[1]OUT_TransportEnergyCons!$A$3:$A$1000)*1,("var_fout"=[1]OUT_TransportEnergyCons!$B$3:$B$1000)*1,ISNUMBER(SEARCH("TfRLf",[1]OUT_TransportEnergyCons!$C$3:$C$1000))*1,[1]OUT_TransportEnergyCons!J$3:J$1000)</f>
        <v>0</v>
      </c>
      <c r="M1671" s="1" cm="1">
        <f t="array" ref="M1671">SUMPRODUCT(("TFRLFH2OFCL"=[1]OUT_TransportEnergyCons!$A$3:$A$1000)*1,("var_fout"=[1]OUT_TransportEnergyCons!$B$3:$B$1000)*1,ISNUMBER(SEARCH("TfRLf",[1]OUT_TransportEnergyCons!$C$3:$C$1000))*1,[1]OUT_TransportEnergyCons!K$3:K$1000)</f>
        <v>0</v>
      </c>
      <c r="N1671" s="1" cm="1">
        <f t="array" ref="N1671">SUMPRODUCT(("TFRLFH2OFCL"=[1]OUT_TransportEnergyCons!$A$3:$A$1000)*1,("var_fout"=[1]OUT_TransportEnergyCons!$B$3:$B$1000)*1,ISNUMBER(SEARCH("TfRLf",[1]OUT_TransportEnergyCons!$C$3:$C$1000))*1,[1]OUT_TransportEnergyCons!L$3:L$1000)</f>
        <v>0</v>
      </c>
      <c r="O1671" s="1" cm="1">
        <f t="array" ref="O1671">SUMPRODUCT(("TFRLFH2OFCL"=[1]OUT_TransportEnergyCons!$A$3:$A$1000)*1,("var_fout"=[1]OUT_TransportEnergyCons!$B$3:$B$1000)*1,ISNUMBER(SEARCH("TfRLf",[1]OUT_TransportEnergyCons!$C$3:$C$1000))*1,[1]OUT_TransportEnergyCons!M$3:M$1000)</f>
        <v>3.5890249585110285E-7</v>
      </c>
      <c r="P1671" s="1" cm="1">
        <f t="array" ref="P1671">SUMPRODUCT(("TFRLFH2OFCL"=[1]OUT_TransportEnergyCons!$A$3:$A$1000)*1,("var_fout"=[1]OUT_TransportEnergyCons!$B$3:$B$1000)*1,ISNUMBER(SEARCH("TfRLf",[1]OUT_TransportEnergyCons!$C$3:$C$1000))*1,[1]OUT_TransportEnergyCons!N$3:N$1000)</f>
        <v>3.0396871006899064E-7</v>
      </c>
      <c r="Q1671" s="1" cm="1">
        <f t="array" ref="Q1671">SUMPRODUCT(("TFRLFH2OFCL"=[1]OUT_TransportEnergyCons!$A$3:$A$1000)*1,("var_fout"=[1]OUT_TransportEnergyCons!$B$3:$B$1000)*1,ISNUMBER(SEARCH("TfRLf",[1]OUT_TransportEnergyCons!$C$3:$C$1000))*1,[1]OUT_TransportEnergyCons!O$3:O$1000)</f>
        <v>1.7413580118166482E-6</v>
      </c>
      <c r="S1671" s="3"/>
    </row>
    <row r="1672" spans="2:19" x14ac:dyDescent="0.5">
      <c r="B1672" t="str">
        <f t="shared" si="1875"/>
        <v>SPS1</v>
      </c>
      <c r="C1672" t="str">
        <f t="shared" si="185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SUMPRODUCT(("TPSHPH2OEXT"=[1]OUT_TransportEnergyCons!$A$3:$A$1000)*1,("var_fout"=[1]OUT_TransportEnergyCons!$B$3:$B$1000)*1,ISNUMBER(SEARCH("TPSHP",[1]OUT_TransportEnergyCons!$C$3:$C$1000))*1,[1]OUT_TransportEnergyCons!H$3:H$1000)</f>
        <v>2.4134134742764299E-5</v>
      </c>
      <c r="K1672" s="1" cm="1">
        <f t="array" ref="K1672">SUMPRODUCT(("TPSHPH2OEXT"=[1]OUT_TransportEnergyCons!$A$3:$A$1000)*1,("var_fout"=[1]OUT_TransportEnergyCons!$B$3:$B$1000)*1,ISNUMBER(SEARCH("TPSHP",[1]OUT_TransportEnergyCons!$C$3:$C$1000))*1,[1]OUT_TransportEnergyCons!I$3:I$1000)</f>
        <v>6.61868053659306E-3</v>
      </c>
      <c r="L1672" s="1" cm="1">
        <f t="array" ref="L1672">SUMPRODUCT(("TPSHPH2OEXT"=[1]OUT_TransportEnergyCons!$A$3:$A$1000)*1,("var_fout"=[1]OUT_TransportEnergyCons!$B$3:$B$1000)*1,ISNUMBER(SEARCH("TPSHP",[1]OUT_TransportEnergyCons!$C$3:$C$1000))*1,[1]OUT_TransportEnergyCons!J$3:J$1000)</f>
        <v>6.7121443138606204E-3</v>
      </c>
      <c r="M1672" s="1" cm="1">
        <f t="array" ref="M1672">SUMPRODUCT(("TPSHPH2OEXT"=[1]OUT_TransportEnergyCons!$A$3:$A$1000)*1,("var_fout"=[1]OUT_TransportEnergyCons!$B$3:$B$1000)*1,ISNUMBER(SEARCH("TPSHP",[1]OUT_TransportEnergyCons!$C$3:$C$1000))*1,[1]OUT_TransportEnergyCons!K$3:K$1000)</f>
        <v>6.7251847913629799E-3</v>
      </c>
      <c r="N1672" s="1" cm="1">
        <f t="array" ref="N1672">SUMPRODUCT(("TPSHPH2OEXT"=[1]OUT_TransportEnergyCons!$A$3:$A$1000)*1,("var_fout"=[1]OUT_TransportEnergyCons!$B$3:$B$1000)*1,ISNUMBER(SEARCH("TPSHP",[1]OUT_TransportEnergyCons!$C$3:$C$1000))*1,[1]OUT_TransportEnergyCons!L$3:L$1000)</f>
        <v>6.68073213119043E-3</v>
      </c>
      <c r="O1672" s="1" cm="1">
        <f t="array" ref="O1672">SUMPRODUCT(("TPSHPH2OEXT"=[1]OUT_TransportEnergyCons!$A$3:$A$1000)*1,("var_fout"=[1]OUT_TransportEnergyCons!$B$3:$B$1000)*1,ISNUMBER(SEARCH("TPSHP",[1]OUT_TransportEnergyCons!$C$3:$C$1000))*1,[1]OUT_TransportEnergyCons!M$3:M$1000)</f>
        <v>6.6711305274330798E-3</v>
      </c>
      <c r="P1672" s="1" cm="1">
        <f t="array" ref="P1672">SUMPRODUCT(("TPSHPH2OEXT"=[1]OUT_TransportEnergyCons!$A$3:$A$1000)*1,("var_fout"=[1]OUT_TransportEnergyCons!$B$3:$B$1000)*1,ISNUMBER(SEARCH("TPSHP",[1]OUT_TransportEnergyCons!$C$3:$C$1000))*1,[1]OUT_TransportEnergyCons!N$3:N$1000)</f>
        <v>6.6648839181262798E-3</v>
      </c>
      <c r="Q1672" s="1" cm="1">
        <f t="array" ref="Q1672">SUMPRODUCT(("TPSHPH2OEXT"=[1]OUT_TransportEnergyCons!$A$3:$A$1000)*1,("var_fout"=[1]OUT_TransportEnergyCons!$B$3:$B$1000)*1,ISNUMBER(SEARCH("TPSHP",[1]OUT_TransportEnergyCons!$C$3:$C$1000))*1,[1]OUT_TransportEnergyCons!O$3:O$1000)</f>
        <v>6.6657427492200503E-3</v>
      </c>
      <c r="S1672" s="3"/>
    </row>
    <row r="1673" spans="2:19" x14ac:dyDescent="0.5">
      <c r="B1673" t="str">
        <f t="shared" si="1875"/>
        <v>SPS1</v>
      </c>
      <c r="C1673" t="str">
        <f t="shared" si="185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0.72178894548137695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1.44711521233498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1.9055660244956001</v>
      </c>
      <c r="J1673" s="1" cm="1">
        <f t="array" ref="J1673">SUMPRODUCT(("TPSHPGSLEXT"=[1]OUT_TransportEnergyCons!$A$3:$A$1000)*1,("var_fout"=[1]OUT_TransportEnergyCons!$B$3:$B$1000)*1,ISNUMBER(SEARCH("TPSHP",[1]OUT_TransportEnergyCons!$C$3:$C$1000))*1,[1]OUT_TransportEnergyCons!H$3:H$1000)</f>
        <v>1.90557135523778</v>
      </c>
      <c r="K1673" s="1" cm="1">
        <f t="array" ref="K1673">SUMPRODUCT(("TPSHPGSLEXT"=[1]OUT_TransportEnergyCons!$A$3:$A$1000)*1,("var_fout"=[1]OUT_TransportEnergyCons!$B$3:$B$1000)*1,ISNUMBER(SEARCH("TPSHP",[1]OUT_TransportEnergyCons!$C$3:$C$1000))*1,[1]OUT_TransportEnergyCons!I$3:I$1000)</f>
        <v>0.97226080946941895</v>
      </c>
      <c r="L1673" s="1" cm="1">
        <f t="array" ref="L1673">SUMPRODUCT(("TPSHPGSLEXT"=[1]OUT_TransportEnergyCons!$A$3:$A$1000)*1,("var_fout"=[1]OUT_TransportEnergyCons!$B$3:$B$1000)*1,ISNUMBER(SEARCH("TPSHP",[1]OUT_TransportEnergyCons!$C$3:$C$1000))*1,[1]OUT_TransportEnergyCons!J$3:J$1000)</f>
        <v>9.6641759943470004E-2</v>
      </c>
      <c r="M1673" s="1" cm="1">
        <f t="array" ref="M1673">SUMPRODUCT(("TPSHPGSLEXT"=[1]OUT_TransportEnergyCons!$A$3:$A$1000)*1,("var_fout"=[1]OUT_TransportEnergyCons!$B$3:$B$1000)*1,ISNUMBER(SEARCH("TPSHP",[1]OUT_TransportEnergyCons!$C$3:$C$1000))*1,[1]OUT_TransportEnergyCons!K$3:K$1000)</f>
        <v>0</v>
      </c>
      <c r="N1673" s="1" cm="1">
        <f t="array" ref="N1673">SUMPRODUCT(("TPSHPGSLEXT"=[1]OUT_TransportEnergyCons!$A$3:$A$1000)*1,("var_fout"=[1]OUT_TransportEnergyCons!$B$3:$B$1000)*1,ISNUMBER(SEARCH("TPSHP",[1]OUT_TransportEnergyCons!$C$3:$C$1000))*1,[1]OUT_TransportEnergyCons!L$3:L$1000)</f>
        <v>0</v>
      </c>
      <c r="O1673" s="1" cm="1">
        <f t="array" ref="O1673">SUMPRODUCT(("TPSHPGSLEXT"=[1]OUT_TransportEnergyCons!$A$3:$A$1000)*1,("var_fout"=[1]OUT_TransportEnergyCons!$B$3:$B$1000)*1,ISNUMBER(SEARCH("TPSHP",[1]OUT_TransportEnergyCons!$C$3:$C$1000))*1,[1]OUT_TransportEnergyCons!M$3:M$1000)</f>
        <v>0</v>
      </c>
      <c r="P1673" s="1" cm="1">
        <f t="array" ref="P1673">SUMPRODUCT(("TPSHPGSLEXT"=[1]OUT_TransportEnergyCons!$A$3:$A$1000)*1,("var_fout"=[1]OUT_TransportEnergyCons!$B$3:$B$1000)*1,ISNUMBER(SEARCH("TPSHP",[1]OUT_TransportEnergyCons!$C$3:$C$1000))*1,[1]OUT_TransportEnergyCons!N$3:N$1000)</f>
        <v>0</v>
      </c>
      <c r="Q1673" s="1" cm="1">
        <f t="array" ref="Q1673">SUMPRODUCT(("TPSHPGSLEXT"=[1]OUT_TransportEnergyCons!$A$3:$A$1000)*1,("var_fout"=[1]OUT_TransportEnergyCons!$B$3:$B$1000)*1,ISNUMBER(SEARCH("TPSHP",[1]OUT_TransportEnergyCons!$C$3:$C$1000))*1,[1]OUT_TransportEnergyCons!O$3:O$1000)</f>
        <v>0</v>
      </c>
      <c r="S1673" s="3"/>
    </row>
    <row r="1674" spans="2:19" x14ac:dyDescent="0.5">
      <c r="B1674" t="str">
        <f t="shared" si="1875"/>
        <v>SPS1</v>
      </c>
      <c r="C1674" t="str">
        <f t="shared" si="185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SUMPRODUCT(("TPRLPDSLEXT"=[1]OUT_TransportEnergyCons!$A$3:$A$1000)*1,("var_fout"=[1]OUT_TransportEnergyCons!$B$3:$B$1000)*1,ISNUMBER(SEARCH("TPRLP",[1]OUT_TransportEnergyCons!$C$3:$C$1000))*1,[1]OUT_TransportEnergyCons!H$3:H$1000)</f>
        <v>0</v>
      </c>
      <c r="K1674" s="1" cm="1">
        <f t="array" ref="K1674">SUMPRODUCT(("TPRLPDSLEXT"=[1]OUT_TransportEnergyCons!$A$3:$A$1000)*1,("var_fout"=[1]OUT_TransportEnergyCons!$B$3:$B$1000)*1,ISNUMBER(SEARCH("TPRLP",[1]OUT_TransportEnergyCons!$C$3:$C$1000))*1,[1]OUT_TransportEnergyCons!I$3:I$1000)</f>
        <v>0</v>
      </c>
      <c r="L1674" s="1" cm="1">
        <f t="array" ref="L1674">SUMPRODUCT(("TPRLPDSLEXT"=[1]OUT_TransportEnergyCons!$A$3:$A$1000)*1,("var_fout"=[1]OUT_TransportEnergyCons!$B$3:$B$1000)*1,ISNUMBER(SEARCH("TPRLP",[1]OUT_TransportEnergyCons!$C$3:$C$1000))*1,[1]OUT_TransportEnergyCons!J$3:J$1000)</f>
        <v>0</v>
      </c>
      <c r="M1674" s="1" cm="1">
        <f t="array" ref="M1674">SUMPRODUCT(("TPRLPDSLEXT"=[1]OUT_TransportEnergyCons!$A$3:$A$1000)*1,("var_fout"=[1]OUT_TransportEnergyCons!$B$3:$B$1000)*1,ISNUMBER(SEARCH("TPRLP",[1]OUT_TransportEnergyCons!$C$3:$C$1000))*1,[1]OUT_TransportEnergyCons!K$3:K$1000)</f>
        <v>0</v>
      </c>
      <c r="N1674" s="1" cm="1">
        <f t="array" ref="N1674">SUMPRODUCT(("TPRLPDSLEXT"=[1]OUT_TransportEnergyCons!$A$3:$A$1000)*1,("var_fout"=[1]OUT_TransportEnergyCons!$B$3:$B$1000)*1,ISNUMBER(SEARCH("TPRLP",[1]OUT_TransportEnergyCons!$C$3:$C$1000))*1,[1]OUT_TransportEnergyCons!L$3:L$1000)</f>
        <v>0</v>
      </c>
      <c r="O1674" s="1" cm="1">
        <f t="array" ref="O1674">SUMPRODUCT(("TPRLPDSLEXT"=[1]OUT_TransportEnergyCons!$A$3:$A$1000)*1,("var_fout"=[1]OUT_TransportEnergyCons!$B$3:$B$1000)*1,ISNUMBER(SEARCH("TPRLP",[1]OUT_TransportEnergyCons!$C$3:$C$1000))*1,[1]OUT_TransportEnergyCons!M$3:M$1000)</f>
        <v>0</v>
      </c>
      <c r="P1674" s="1" cm="1">
        <f t="array" ref="P1674">SUMPRODUCT(("TPRLPDSLEXT"=[1]OUT_TransportEnergyCons!$A$3:$A$1000)*1,("var_fout"=[1]OUT_TransportEnergyCons!$B$3:$B$1000)*1,ISNUMBER(SEARCH("TPRLP",[1]OUT_TransportEnergyCons!$C$3:$C$1000))*1,[1]OUT_TransportEnergyCons!N$3:N$1000)</f>
        <v>0</v>
      </c>
      <c r="Q1674" s="1" cm="1">
        <f t="array" ref="Q1674">SUMPRODUCT(("TPRLPDSLEXT"=[1]OUT_TransportEnergyCons!$A$3:$A$1000)*1,("var_fout"=[1]OUT_TransportEnergyCons!$B$3:$B$1000)*1,ISNUMBER(SEARCH("TPRLP",[1]OUT_TransportEnergyCons!$C$3:$C$1000))*1,[1]OUT_TransportEnergyCons!O$3:O$1000)</f>
        <v>0</v>
      </c>
      <c r="S1674" s="3"/>
    </row>
    <row r="1675" spans="2:19" x14ac:dyDescent="0.5">
      <c r="B1675" t="str">
        <f t="shared" si="1875"/>
        <v>SPS1</v>
      </c>
      <c r="C1675" t="str">
        <f t="shared" si="1852"/>
        <v>CH</v>
      </c>
      <c r="D1675" t="s">
        <v>1683</v>
      </c>
      <c r="E1675" t="str">
        <f t="shared" ref="E1675" si="1877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1.6053877383708907E-3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0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0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0</v>
      </c>
      <c r="J1675" s="1" cm="1">
        <f t="array" ref="J1675">SUMPRODUCT(("TFRLFDSLEXT"=[1]OUT_TransportEnergyCons!$A$3:$A$1000)*1,("var_fout"=[1]OUT_TransportEnergyCons!$B$3:$B$1000)*1,ISNUMBER(SEARCH("TfRLf",[1]OUT_TransportEnergyCons!$C$3:$C$1000))*1,[1]OUT_TransportEnergyCons!H$3:H$1000)</f>
        <v>0</v>
      </c>
      <c r="K1675" s="1" cm="1">
        <f t="array" ref="K1675">SUMPRODUCT(("TFRLFDSLEXT"=[1]OUT_TransportEnergyCons!$A$3:$A$1000)*1,("var_fout"=[1]OUT_TransportEnergyCons!$B$3:$B$1000)*1,ISNUMBER(SEARCH("TfRLf",[1]OUT_TransportEnergyCons!$C$3:$C$1000))*1,[1]OUT_TransportEnergyCons!I$3:I$1000)</f>
        <v>0</v>
      </c>
      <c r="L1675" s="1" cm="1">
        <f t="array" ref="L1675">SUMPRODUCT(("TFRLFDSLEXT"=[1]OUT_TransportEnergyCons!$A$3:$A$1000)*1,("var_fout"=[1]OUT_TransportEnergyCons!$B$3:$B$1000)*1,ISNUMBER(SEARCH("TfRLf",[1]OUT_TransportEnergyCons!$C$3:$C$1000))*1,[1]OUT_TransportEnergyCons!J$3:J$1000)</f>
        <v>0</v>
      </c>
      <c r="M1675" s="1" cm="1">
        <f t="array" ref="M1675">SUMPRODUCT(("TFRLFDSLEXT"=[1]OUT_TransportEnergyCons!$A$3:$A$1000)*1,("var_fout"=[1]OUT_TransportEnergyCons!$B$3:$B$1000)*1,ISNUMBER(SEARCH("TfRLf",[1]OUT_TransportEnergyCons!$C$3:$C$1000))*1,[1]OUT_TransportEnergyCons!K$3:K$1000)</f>
        <v>0</v>
      </c>
      <c r="N1675" s="1" cm="1">
        <f t="array" ref="N1675">SUMPRODUCT(("TFRLFDSLEXT"=[1]OUT_TransportEnergyCons!$A$3:$A$1000)*1,("var_fout"=[1]OUT_TransportEnergyCons!$B$3:$B$1000)*1,ISNUMBER(SEARCH("TfRLf",[1]OUT_TransportEnergyCons!$C$3:$C$1000))*1,[1]OUT_TransportEnergyCons!L$3:L$1000)</f>
        <v>0</v>
      </c>
      <c r="O1675" s="1" cm="1">
        <f t="array" ref="O1675">SUMPRODUCT(("TFRLFDSLEXT"=[1]OUT_TransportEnergyCons!$A$3:$A$1000)*1,("var_fout"=[1]OUT_TransportEnergyCons!$B$3:$B$1000)*1,ISNUMBER(SEARCH("TfRLf",[1]OUT_TransportEnergyCons!$C$3:$C$1000))*1,[1]OUT_TransportEnergyCons!M$3:M$1000)</f>
        <v>0</v>
      </c>
      <c r="P1675" s="1" cm="1">
        <f t="array" ref="P1675">SUMPRODUCT(("TFRLFDSLEXT"=[1]OUT_TransportEnergyCons!$A$3:$A$1000)*1,("var_fout"=[1]OUT_TransportEnergyCons!$B$3:$B$1000)*1,ISNUMBER(SEARCH("TfRLf",[1]OUT_TransportEnergyCons!$C$3:$C$1000))*1,[1]OUT_TransportEnergyCons!N$3:N$1000)</f>
        <v>0</v>
      </c>
      <c r="Q1675" s="1" cm="1">
        <f t="array" ref="Q1675">SUMPRODUCT(("TFRLFDSLEXT"=[1]OUT_TransportEnergyCons!$A$3:$A$1000)*1,("var_fout"=[1]OUT_TransportEnergyCons!$B$3:$B$1000)*1,ISNUMBER(SEARCH("TfRLf",[1]OUT_TransportEnergyCons!$C$3:$C$1000))*1,[1]OUT_TransportEnergyCons!O$3:O$1000)</f>
        <v>1.7003032065255018E-7</v>
      </c>
      <c r="S1675" s="3"/>
    </row>
    <row r="1676" spans="2:19" x14ac:dyDescent="0.5">
      <c r="B1676" t="str">
        <f t="shared" si="1875"/>
        <v>SPS1</v>
      </c>
      <c r="C1676" t="str">
        <f t="shared" si="185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17.176524603792402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15.577838190729301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14.2457138899826</v>
      </c>
      <c r="J1676" s="1" cm="1">
        <f t="array" ref="J1676">SUMPRODUCT(("TPSHPDSLEXT"=[1]OUT_TransportEnergyCons!$A$3:$A$1000)*1,("var_fout"=[1]OUT_TransportEnergyCons!$B$3:$B$1000)*1,ISNUMBER(SEARCH("TPSHP",[1]OUT_TransportEnergyCons!$C$3:$C$1000))*1,[1]OUT_TransportEnergyCons!H$3:H$1000)</f>
        <v>13.712707378861399</v>
      </c>
      <c r="K1676" s="1" cm="1">
        <f t="array" ref="K1676">SUMPRODUCT(("TPSHPDSLEXT"=[1]OUT_TransportEnergyCons!$A$3:$A$1000)*1,("var_fout"=[1]OUT_TransportEnergyCons!$B$3:$B$1000)*1,ISNUMBER(SEARCH("TPSHP",[1]OUT_TransportEnergyCons!$C$3:$C$1000))*1,[1]OUT_TransportEnergyCons!I$3:I$1000)</f>
        <v>10.398867278228201</v>
      </c>
      <c r="L1676" s="1" cm="1">
        <f t="array" ref="L1676">SUMPRODUCT(("TPSHPDSLEXT"=[1]OUT_TransportEnergyCons!$A$3:$A$1000)*1,("var_fout"=[1]OUT_TransportEnergyCons!$B$3:$B$1000)*1,ISNUMBER(SEARCH("TPSHP",[1]OUT_TransportEnergyCons!$C$3:$C$1000))*1,[1]OUT_TransportEnergyCons!J$3:J$1000)</f>
        <v>4.7098572249058499</v>
      </c>
      <c r="M1676" s="1" cm="1">
        <f t="array" ref="M1676">SUMPRODUCT(("TPSHPDSLEXT"=[1]OUT_TransportEnergyCons!$A$3:$A$1000)*1,("var_fout"=[1]OUT_TransportEnergyCons!$B$3:$B$1000)*1,ISNUMBER(SEARCH("TPSHP",[1]OUT_TransportEnergyCons!$C$3:$C$1000))*1,[1]OUT_TransportEnergyCons!K$3:K$1000)</f>
        <v>2.0189537816122498</v>
      </c>
      <c r="N1676" s="1" cm="1">
        <f t="array" ref="N1676">SUMPRODUCT(("TPSHPDSLEXT"=[1]OUT_TransportEnergyCons!$A$3:$A$1000)*1,("var_fout"=[1]OUT_TransportEnergyCons!$B$3:$B$1000)*1,ISNUMBER(SEARCH("TPSHP",[1]OUT_TransportEnergyCons!$C$3:$C$1000))*1,[1]OUT_TransportEnergyCons!L$3:L$1000)</f>
        <v>2.0189503818585401</v>
      </c>
      <c r="O1676" s="1" cm="1">
        <f t="array" ref="O1676">SUMPRODUCT(("TPSHPDSLEXT"=[1]OUT_TransportEnergyCons!$A$3:$A$1000)*1,("var_fout"=[1]OUT_TransportEnergyCons!$B$3:$B$1000)*1,ISNUMBER(SEARCH("TPSHP",[1]OUT_TransportEnergyCons!$C$3:$C$1000))*1,[1]OUT_TransportEnergyCons!M$3:M$1000)</f>
        <v>2.0189536488702</v>
      </c>
      <c r="P1676" s="1" cm="1">
        <f t="array" ref="P1676">SUMPRODUCT(("TPSHPDSLEXT"=[1]OUT_TransportEnergyCons!$A$3:$A$1000)*1,("var_fout"=[1]OUT_TransportEnergyCons!$B$3:$B$1000)*1,ISNUMBER(SEARCH("TPSHP",[1]OUT_TransportEnergyCons!$C$3:$C$1000))*1,[1]OUT_TransportEnergyCons!N$3:N$1000)</f>
        <v>2.01895295746922</v>
      </c>
      <c r="Q1676" s="1" cm="1">
        <f t="array" ref="Q1676">SUMPRODUCT(("TPSHPDSLEXT"=[1]OUT_TransportEnergyCons!$A$3:$A$1000)*1,("var_fout"=[1]OUT_TransportEnergyCons!$B$3:$B$1000)*1,ISNUMBER(SEARCH("TPSHP",[1]OUT_TransportEnergyCons!$C$3:$C$1000))*1,[1]OUT_TransportEnergyCons!O$3:O$1000)</f>
        <v>2.0189529708787899</v>
      </c>
      <c r="S1676" s="3"/>
    </row>
    <row r="1677" spans="2:19" x14ac:dyDescent="0.5">
      <c r="B1677" s="2" t="str">
        <f t="shared" si="1875"/>
        <v>SPS1</v>
      </c>
      <c r="C1677" s="2" t="str">
        <f t="shared" si="1852"/>
        <v>CH</v>
      </c>
      <c r="D1677" s="2" t="s">
        <v>1685</v>
      </c>
      <c r="E1677" s="19" t="s">
        <v>292</v>
      </c>
      <c r="F1677" s="19" t="s">
        <v>292</v>
      </c>
      <c r="G1677" s="19" t="s">
        <v>292</v>
      </c>
      <c r="H1677" s="19" t="s">
        <v>292</v>
      </c>
      <c r="I1677" s="19" t="s">
        <v>292</v>
      </c>
      <c r="J1677" s="19" t="s">
        <v>292</v>
      </c>
      <c r="K1677" s="19" t="s">
        <v>292</v>
      </c>
      <c r="L1677" s="19" t="s">
        <v>292</v>
      </c>
      <c r="M1677" s="19" t="s">
        <v>292</v>
      </c>
      <c r="N1677" s="19" t="s">
        <v>292</v>
      </c>
      <c r="O1677" s="19" t="s">
        <v>292</v>
      </c>
      <c r="P1677" s="19" t="s">
        <v>292</v>
      </c>
      <c r="Q1677" s="19" t="s">
        <v>292</v>
      </c>
      <c r="S1677" s="3"/>
    </row>
    <row r="1678" spans="2:19" x14ac:dyDescent="0.5">
      <c r="B1678" t="str">
        <f t="shared" si="1875"/>
        <v>SPS1</v>
      </c>
      <c r="C1678" t="str">
        <f t="shared" si="1852"/>
        <v>CH</v>
      </c>
      <c r="D1678" t="s">
        <v>1686</v>
      </c>
      <c r="E1678" t="s">
        <v>1229</v>
      </c>
      <c r="F1678" s="7">
        <f t="shared" ref="F1678:K1680" si="1878">IFERROR(F1667/F1642,"-")</f>
        <v>2.5309161094553195E-2</v>
      </c>
      <c r="G1678" s="7">
        <f t="shared" si="1878"/>
        <v>2.5301857215832019E-2</v>
      </c>
      <c r="H1678" s="7">
        <f t="shared" si="1878"/>
        <v>2.5290901397750198E-2</v>
      </c>
      <c r="I1678" s="7">
        <f t="shared" si="1878"/>
        <v>2.5272641700947188E-2</v>
      </c>
      <c r="J1678" s="7">
        <f t="shared" si="1878"/>
        <v>2.5254382004144305E-2</v>
      </c>
      <c r="K1678" s="7">
        <f t="shared" si="1878"/>
        <v>2.5236122307341277E-2</v>
      </c>
      <c r="L1678" s="7">
        <f t="shared" ref="L1678:O1678" si="1879">IFERROR(L1667/L1642,"-")</f>
        <v>2.521786261053828E-2</v>
      </c>
      <c r="M1678" s="7">
        <f t="shared" si="1879"/>
        <v>2.5199602913735311E-2</v>
      </c>
      <c r="N1678" s="7">
        <f t="shared" si="1879"/>
        <v>2.5199602913735287E-2</v>
      </c>
      <c r="O1678" s="7">
        <f t="shared" si="1879"/>
        <v>2.5199602913735308E-2</v>
      </c>
      <c r="P1678" s="7">
        <f t="shared" ref="P1678:Q1680" si="1880">IFERROR(P1667/P1642,"-")</f>
        <v>2.519960291373529E-2</v>
      </c>
      <c r="Q1678" s="7">
        <f t="shared" si="1880"/>
        <v>2.5199602913735308E-2</v>
      </c>
      <c r="S1678" s="3"/>
    </row>
    <row r="1679" spans="2:19" x14ac:dyDescent="0.5">
      <c r="B1679" t="str">
        <f t="shared" si="1875"/>
        <v>SPS1</v>
      </c>
      <c r="C1679" t="str">
        <f t="shared" si="1852"/>
        <v>CH</v>
      </c>
      <c r="D1679" t="s">
        <v>1687</v>
      </c>
      <c r="E1679" t="s">
        <v>1229</v>
      </c>
      <c r="F1679" s="7">
        <f t="shared" si="1878"/>
        <v>1.6704032219401314E-2</v>
      </c>
      <c r="G1679" s="7">
        <f t="shared" si="1878"/>
        <v>1.6704032219401307E-2</v>
      </c>
      <c r="H1679" s="7">
        <f t="shared" si="1878"/>
        <v>1.6704032219401289E-2</v>
      </c>
      <c r="I1679" s="7">
        <f t="shared" si="1878"/>
        <v>1.6704032219401289E-2</v>
      </c>
      <c r="J1679" s="7">
        <f t="shared" si="1878"/>
        <v>1.670403221940131E-2</v>
      </c>
      <c r="K1679" s="7">
        <f t="shared" si="1878"/>
        <v>1.6704032219401303E-2</v>
      </c>
      <c r="L1679" s="7">
        <f t="shared" ref="L1679:O1679" si="1881">IFERROR(L1668/L1643,"-")</f>
        <v>1.6704032219401293E-2</v>
      </c>
      <c r="M1679" s="7">
        <f t="shared" si="1881"/>
        <v>1.6704032219401303E-2</v>
      </c>
      <c r="N1679" s="7">
        <f t="shared" si="1881"/>
        <v>1.670403221940131E-2</v>
      </c>
      <c r="O1679" s="7">
        <f t="shared" si="1881"/>
        <v>1.67040322194013E-2</v>
      </c>
      <c r="P1679" s="7">
        <f t="shared" si="1880"/>
        <v>1.6704032219401303E-2</v>
      </c>
      <c r="Q1679" s="7">
        <f t="shared" si="1880"/>
        <v>1.6704032219401289E-2</v>
      </c>
      <c r="S1679" s="3"/>
    </row>
    <row r="1680" spans="2:19" x14ac:dyDescent="0.5">
      <c r="B1680" t="str">
        <f t="shared" si="1875"/>
        <v>SPS1</v>
      </c>
      <c r="C1680" t="str">
        <f t="shared" si="1852"/>
        <v>CH</v>
      </c>
      <c r="D1680" t="s">
        <v>1688</v>
      </c>
      <c r="E1680" t="s">
        <v>240</v>
      </c>
      <c r="F1680" t="str">
        <f t="shared" si="1878"/>
        <v>-</v>
      </c>
      <c r="G1680">
        <f t="shared" si="1878"/>
        <v>2.4673913043478173</v>
      </c>
      <c r="H1680">
        <f t="shared" si="1878"/>
        <v>2.4673913043478346</v>
      </c>
      <c r="I1680">
        <f t="shared" si="1878"/>
        <v>2.4673913043478315</v>
      </c>
      <c r="J1680">
        <f t="shared" si="1878"/>
        <v>1.3876575310118773</v>
      </c>
      <c r="K1680">
        <f t="shared" si="1878"/>
        <v>1.8712297121063071</v>
      </c>
      <c r="L1680">
        <f t="shared" ref="L1680:O1680" si="1882">IFERROR(L1669/L1644,"-")</f>
        <v>2.1036023723487469</v>
      </c>
      <c r="M1680">
        <f t="shared" si="1882"/>
        <v>2.1547357602090194</v>
      </c>
      <c r="N1680">
        <f t="shared" si="1882"/>
        <v>2.1460592357613235</v>
      </c>
      <c r="O1680">
        <f t="shared" si="1882"/>
        <v>2.1381673029832688</v>
      </c>
      <c r="P1680">
        <f t="shared" si="1880"/>
        <v>2.1380527414157591</v>
      </c>
      <c r="Q1680">
        <f t="shared" si="1880"/>
        <v>2.1429335395416018</v>
      </c>
      <c r="S1680" s="3"/>
    </row>
    <row r="1681" spans="2:19" x14ac:dyDescent="0.5">
      <c r="B1681" t="str">
        <f t="shared" si="1875"/>
        <v>SPS1</v>
      </c>
      <c r="C1681" t="str">
        <f t="shared" si="1852"/>
        <v>CH</v>
      </c>
      <c r="D1681" t="s">
        <v>1689</v>
      </c>
      <c r="E1681" t="s">
        <v>1229</v>
      </c>
      <c r="F1681" t="str">
        <f t="shared" ref="F1681:K1683" si="1883">IFERROR(F1670/F1646,"-")</f>
        <v>-</v>
      </c>
      <c r="G1681" t="str">
        <f t="shared" si="1883"/>
        <v>-</v>
      </c>
      <c r="H1681" t="str">
        <f t="shared" si="1883"/>
        <v>-</v>
      </c>
      <c r="I1681" t="str">
        <f t="shared" si="1883"/>
        <v>-</v>
      </c>
      <c r="J1681" t="str">
        <f t="shared" si="1883"/>
        <v>-</v>
      </c>
      <c r="K1681">
        <f t="shared" si="1883"/>
        <v>1.7941883805152235E-2</v>
      </c>
      <c r="L1681">
        <f t="shared" ref="L1681:O1681" si="1884">IFERROR(L1670/L1646,"-")</f>
        <v>1.8630980592257325E-2</v>
      </c>
      <c r="M1681">
        <f t="shared" si="1884"/>
        <v>1.9320077379362401E-2</v>
      </c>
      <c r="N1681">
        <f t="shared" si="1884"/>
        <v>1.9320077379362397E-2</v>
      </c>
      <c r="O1681">
        <f t="shared" si="1884"/>
        <v>1.9320077379362411E-2</v>
      </c>
      <c r="P1681">
        <f t="shared" ref="P1681:Q1683" si="1885">IFERROR(P1670/P1646,"-")</f>
        <v>1.9320077379362408E-2</v>
      </c>
      <c r="Q1681">
        <f t="shared" si="1885"/>
        <v>1.9320077379362401E-2</v>
      </c>
      <c r="S1681" s="3"/>
    </row>
    <row r="1682" spans="2:19" x14ac:dyDescent="0.5">
      <c r="B1682" t="str">
        <f t="shared" si="1875"/>
        <v>SPS1</v>
      </c>
      <c r="C1682" t="str">
        <f t="shared" si="1852"/>
        <v>CH</v>
      </c>
      <c r="D1682" t="s">
        <v>1690</v>
      </c>
      <c r="E1682" t="s">
        <v>1229</v>
      </c>
      <c r="F1682" t="str">
        <f t="shared" si="1883"/>
        <v>-</v>
      </c>
      <c r="G1682" t="str">
        <f t="shared" si="1883"/>
        <v>-</v>
      </c>
      <c r="H1682" t="str">
        <f t="shared" si="1883"/>
        <v>-</v>
      </c>
      <c r="I1682" t="str">
        <f t="shared" si="1883"/>
        <v>-</v>
      </c>
      <c r="J1682" t="str">
        <f t="shared" si="1883"/>
        <v>-</v>
      </c>
      <c r="K1682" t="str">
        <f t="shared" si="1883"/>
        <v>-</v>
      </c>
      <c r="L1682" t="str">
        <f t="shared" ref="L1682:O1682" si="1886">IFERROR(L1671/L1647,"-")</f>
        <v>-</v>
      </c>
      <c r="M1682" t="str">
        <f t="shared" si="1886"/>
        <v>-</v>
      </c>
      <c r="N1682" t="str">
        <f t="shared" si="1886"/>
        <v>-</v>
      </c>
      <c r="O1682">
        <f t="shared" si="1886"/>
        <v>5.9340998257273623E-3</v>
      </c>
      <c r="P1682">
        <f t="shared" si="1885"/>
        <v>5.9340998257273632E-3</v>
      </c>
      <c r="Q1682">
        <f t="shared" si="1885"/>
        <v>5.934099825727358E-3</v>
      </c>
      <c r="S1682" s="3"/>
    </row>
    <row r="1683" spans="2:19" x14ac:dyDescent="0.5">
      <c r="B1683" t="str">
        <f t="shared" si="1875"/>
        <v>SPS1</v>
      </c>
      <c r="C1683" t="str">
        <f t="shared" si="1852"/>
        <v>CH</v>
      </c>
      <c r="D1683" t="s">
        <v>1691</v>
      </c>
      <c r="E1683" t="s">
        <v>240</v>
      </c>
      <c r="F1683" t="str">
        <f t="shared" si="1883"/>
        <v>-</v>
      </c>
      <c r="G1683" t="str">
        <f t="shared" si="1883"/>
        <v>-</v>
      </c>
      <c r="H1683" t="str">
        <f t="shared" si="1883"/>
        <v>-</v>
      </c>
      <c r="I1683" t="str">
        <f t="shared" si="1883"/>
        <v>-</v>
      </c>
      <c r="J1683">
        <f t="shared" si="1883"/>
        <v>1.7934782608695703</v>
      </c>
      <c r="K1683">
        <f t="shared" si="1883"/>
        <v>1.7934782608695716</v>
      </c>
      <c r="L1683">
        <f t="shared" ref="L1683:O1683" si="1887">IFERROR(L1672/L1648,"-")</f>
        <v>1.793478260869565</v>
      </c>
      <c r="M1683">
        <f t="shared" si="1887"/>
        <v>1.7934782608695772</v>
      </c>
      <c r="N1683">
        <f t="shared" si="1887"/>
        <v>1.7934782608695756</v>
      </c>
      <c r="O1683">
        <f t="shared" si="1887"/>
        <v>1.7934782608695685</v>
      </c>
      <c r="P1683">
        <f t="shared" si="1885"/>
        <v>1.7934782608695732</v>
      </c>
      <c r="Q1683">
        <f t="shared" si="1885"/>
        <v>1.7934782608695716</v>
      </c>
      <c r="S1683" s="3"/>
    </row>
    <row r="1684" spans="2:19" x14ac:dyDescent="0.5">
      <c r="B1684" t="str">
        <f t="shared" si="1875"/>
        <v>SPS1</v>
      </c>
      <c r="C1684" t="str">
        <f t="shared" si="1852"/>
        <v>CH</v>
      </c>
      <c r="D1684" t="s">
        <v>1692</v>
      </c>
      <c r="E1684" t="s">
        <v>240</v>
      </c>
      <c r="F1684" s="4">
        <f t="shared" ref="F1684:K1684" si="1888">IFERROR(F1673/F1654,"-")</f>
        <v>0.90641226905247907</v>
      </c>
      <c r="G1684" s="4">
        <f t="shared" si="1888"/>
        <v>0.90641226905247785</v>
      </c>
      <c r="H1684" s="4">
        <f t="shared" si="1888"/>
        <v>0.90641226905247996</v>
      </c>
      <c r="I1684" s="4">
        <f t="shared" si="1888"/>
        <v>0.90641226905247307</v>
      </c>
      <c r="J1684" s="4">
        <f t="shared" si="1888"/>
        <v>0.90641226905247341</v>
      </c>
      <c r="K1684" s="4">
        <f t="shared" si="1888"/>
        <v>0.9064122690524774</v>
      </c>
      <c r="L1684" s="4">
        <f t="shared" ref="L1684:O1684" si="1889">IFERROR(L1673/L1654,"-")</f>
        <v>0.9064122690524774</v>
      </c>
      <c r="M1684" s="4" t="str">
        <f t="shared" si="1889"/>
        <v>-</v>
      </c>
      <c r="N1684" s="4" t="str">
        <f t="shared" si="1889"/>
        <v>-</v>
      </c>
      <c r="O1684" s="4" t="str">
        <f t="shared" si="1889"/>
        <v>-</v>
      </c>
      <c r="P1684" s="4" t="str">
        <f>IFERROR(P1673/P1654,"-")</f>
        <v>-</v>
      </c>
      <c r="Q1684" s="4" t="str">
        <f>IFERROR(Q1673/Q1654,"-")</f>
        <v>-</v>
      </c>
      <c r="S1684" s="3"/>
    </row>
    <row r="1685" spans="2:19" x14ac:dyDescent="0.5">
      <c r="B1685" t="str">
        <f t="shared" si="1875"/>
        <v>SPS1</v>
      </c>
      <c r="C1685" t="str">
        <f t="shared" si="1852"/>
        <v>CH</v>
      </c>
      <c r="D1685" t="s">
        <v>1693</v>
      </c>
      <c r="E1685" t="s">
        <v>1229</v>
      </c>
      <c r="F1685" t="str">
        <f t="shared" ref="F1685:K1687" si="1890">IFERROR(F1674/F1660,"-")</f>
        <v>-</v>
      </c>
      <c r="G1685" t="str">
        <f t="shared" si="1890"/>
        <v>-</v>
      </c>
      <c r="H1685" t="str">
        <f t="shared" si="1890"/>
        <v>-</v>
      </c>
      <c r="I1685" t="str">
        <f t="shared" si="1890"/>
        <v>-</v>
      </c>
      <c r="J1685" t="str">
        <f t="shared" si="1890"/>
        <v>-</v>
      </c>
      <c r="K1685" t="str">
        <f t="shared" si="1890"/>
        <v>-</v>
      </c>
      <c r="L1685" t="str">
        <f t="shared" ref="L1685:O1685" si="1891">IFERROR(L1674/L1660,"-")</f>
        <v>-</v>
      </c>
      <c r="M1685" t="str">
        <f t="shared" si="1891"/>
        <v>-</v>
      </c>
      <c r="N1685" t="str">
        <f t="shared" si="1891"/>
        <v>-</v>
      </c>
      <c r="O1685" t="str">
        <f t="shared" si="1891"/>
        <v>-</v>
      </c>
      <c r="P1685" t="str">
        <f t="shared" ref="P1685:Q1687" si="1892">IFERROR(P1674/P1660,"-")</f>
        <v>-</v>
      </c>
      <c r="Q1685" t="str">
        <f t="shared" si="1892"/>
        <v>-</v>
      </c>
      <c r="S1685" s="3"/>
    </row>
    <row r="1686" spans="2:19" x14ac:dyDescent="0.5">
      <c r="B1686" t="str">
        <f t="shared" si="1875"/>
        <v>SPS1</v>
      </c>
      <c r="C1686" t="str">
        <f t="shared" si="1852"/>
        <v>CH</v>
      </c>
      <c r="D1686" t="s">
        <v>1694</v>
      </c>
      <c r="E1686" t="s">
        <v>1229</v>
      </c>
      <c r="F1686" s="1">
        <f t="shared" si="1890"/>
        <v>4.0530738867855147E-3</v>
      </c>
      <c r="G1686" s="1" t="str">
        <f t="shared" si="1890"/>
        <v>-</v>
      </c>
      <c r="H1686" t="str">
        <f t="shared" si="1890"/>
        <v>-</v>
      </c>
      <c r="I1686" t="str">
        <f t="shared" si="1890"/>
        <v>-</v>
      </c>
      <c r="J1686" t="str">
        <f t="shared" si="1890"/>
        <v>-</v>
      </c>
      <c r="K1686" t="str">
        <f t="shared" si="1890"/>
        <v>-</v>
      </c>
      <c r="L1686" t="str">
        <f t="shared" ref="L1686:O1686" si="1893">IFERROR(L1675/L1661,"-")</f>
        <v>-</v>
      </c>
      <c r="M1686" t="str">
        <f t="shared" si="1893"/>
        <v>-</v>
      </c>
      <c r="N1686" t="str">
        <f t="shared" si="1893"/>
        <v>-</v>
      </c>
      <c r="O1686" t="str">
        <f t="shared" si="1893"/>
        <v>-</v>
      </c>
      <c r="P1686" t="str">
        <f t="shared" si="1892"/>
        <v>-</v>
      </c>
      <c r="Q1686">
        <f t="shared" si="1892"/>
        <v>4.0530738867855087E-3</v>
      </c>
      <c r="S1686" s="3"/>
    </row>
    <row r="1687" spans="2:19" x14ac:dyDescent="0.5">
      <c r="B1687" t="str">
        <f t="shared" si="1875"/>
        <v>SPS1</v>
      </c>
      <c r="C1687" t="str">
        <f t="shared" si="1852"/>
        <v>CH</v>
      </c>
      <c r="D1687" t="s">
        <v>1695</v>
      </c>
      <c r="E1687" t="s">
        <v>240</v>
      </c>
      <c r="F1687" s="4">
        <f t="shared" si="1890"/>
        <v>0.98826978015125178</v>
      </c>
      <c r="G1687" s="4">
        <f t="shared" si="1890"/>
        <v>0.98826978015124789</v>
      </c>
      <c r="H1687" s="4">
        <f t="shared" si="1890"/>
        <v>0.98826978015124389</v>
      </c>
      <c r="I1687" s="4">
        <f t="shared" si="1890"/>
        <v>0.98826978015124911</v>
      </c>
      <c r="J1687" s="4">
        <f t="shared" si="1890"/>
        <v>0.98826978015125033</v>
      </c>
      <c r="K1687" s="4">
        <f t="shared" si="1890"/>
        <v>0.98826978015124933</v>
      </c>
      <c r="L1687" s="4">
        <f t="shared" ref="L1687:O1687" si="1894">IFERROR(L1676/L1662,"-")</f>
        <v>0.98826978015124645</v>
      </c>
      <c r="M1687" s="4">
        <f t="shared" si="1894"/>
        <v>0.98826978015124467</v>
      </c>
      <c r="N1687" s="4">
        <f t="shared" si="1894"/>
        <v>0.98826978015125</v>
      </c>
      <c r="O1687" s="4">
        <f t="shared" si="1894"/>
        <v>0.98826978015124789</v>
      </c>
      <c r="P1687" s="4">
        <f t="shared" si="1892"/>
        <v>0.98826978015124178</v>
      </c>
      <c r="Q1687" s="4">
        <f t="shared" si="1892"/>
        <v>0.98826978015124411</v>
      </c>
      <c r="S1687" s="3"/>
    </row>
    <row r="1688" spans="2:19" x14ac:dyDescent="0.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34.61032730041687</v>
      </c>
      <c r="G1688" s="3">
        <f t="shared" ref="G1688:K1688" si="1895">SUM(G1689:G1691,G1694:G1696,-G1701)</f>
        <v>32.356589856409478</v>
      </c>
      <c r="H1688" s="3">
        <f t="shared" si="1895"/>
        <v>30.88364159044157</v>
      </c>
      <c r="I1688" s="3">
        <f t="shared" si="1895"/>
        <v>24.79977384257144</v>
      </c>
      <c r="J1688" s="3">
        <f t="shared" si="1895"/>
        <v>17.968340013103607</v>
      </c>
      <c r="K1688" s="3">
        <f t="shared" si="1895"/>
        <v>13.013030405674275</v>
      </c>
      <c r="L1688" s="3">
        <f t="shared" ref="L1688:O1688" si="1896">SUM(L1689:L1691,L1694:L1696,-L1701)</f>
        <v>6.5659189379604248</v>
      </c>
      <c r="M1688" s="3">
        <f>SUM(M1689:M1691,M1694:M1696,-M1701)</f>
        <v>-1.1377411842463409E-2</v>
      </c>
      <c r="N1688" s="3">
        <f t="shared" si="1896"/>
        <v>-1.4073938042017684</v>
      </c>
      <c r="O1688" s="3">
        <f t="shared" si="1896"/>
        <v>-2.8034144041232243</v>
      </c>
      <c r="P1688" s="3">
        <f>SUM(P1689:P1691,P1694:P1696,-P1701)</f>
        <v>-3.636698967294417</v>
      </c>
      <c r="Q1688" s="3">
        <f>SUM(Q1689:Q1691,Q1694:Q1696,-Q1701)</f>
        <v>-4.4699844380248983</v>
      </c>
      <c r="S1688" s="3"/>
    </row>
    <row r="1689" spans="2:19" x14ac:dyDescent="0.5">
      <c r="B1689" t="str">
        <f>B1688</f>
        <v>SPS1</v>
      </c>
      <c r="C1689" t="str">
        <f t="shared" ref="C1689" si="1897">C1688</f>
        <v>CH</v>
      </c>
      <c r="D1689" t="s">
        <v>1702</v>
      </c>
      <c r="E1689" t="str">
        <f>E1688</f>
        <v>Mt/yr.</v>
      </c>
      <c r="F1689" s="1">
        <f>[1]Summary!B53+[1]Summary!B59</f>
        <v>2.6031432342154925</v>
      </c>
      <c r="G1689" s="1">
        <f>[1]Summary!C53+[1]Summary!C59</f>
        <v>2.3503905042787769</v>
      </c>
      <c r="H1689" s="1">
        <f>[1]Summary!D53+[1]Summary!D59</f>
        <v>2.3521747251926626</v>
      </c>
      <c r="I1689" s="1">
        <f>[1]Summary!E53+[1]Summary!E59</f>
        <v>2.2433237352244855</v>
      </c>
      <c r="J1689" s="1">
        <f>[1]Summary!F53+[1]Summary!F59</f>
        <v>2.2405241398479352</v>
      </c>
      <c r="K1689" s="1">
        <f>[1]Summary!G53+[1]Summary!G59</f>
        <v>1.1069027137335343</v>
      </c>
      <c r="L1689" s="1">
        <f>[1]Summary!H53+[1]Summary!H59</f>
        <v>8.8505174957349553E-2</v>
      </c>
      <c r="M1689" s="1">
        <f>[1]Summary!I53+[1]Summary!I59</f>
        <v>-0.10974447845535362</v>
      </c>
      <c r="N1689" s="1">
        <f>[1]Summary!J53+[1]Summary!J59</f>
        <v>-0.35582301386694049</v>
      </c>
      <c r="O1689" s="1">
        <f>[1]Summary!K53+[1]Summary!K59</f>
        <v>-0.38075412292087352</v>
      </c>
      <c r="P1689" s="1">
        <f>[1]Summary!L53+[1]Summary!L59</f>
        <v>-0.38575558525605125</v>
      </c>
      <c r="Q1689" s="1">
        <f>[1]Summary!M53+[1]Summary!M59</f>
        <v>-0.39044419250282436</v>
      </c>
      <c r="S1689" s="3"/>
    </row>
    <row r="1690" spans="2:19" x14ac:dyDescent="0.5">
      <c r="B1690" t="str">
        <f t="shared" ref="B1690:B1701" si="1898">B1689</f>
        <v>SPS1</v>
      </c>
      <c r="C1690" t="str">
        <f t="shared" ref="C1690:C1701" si="1899">C1689</f>
        <v>CH</v>
      </c>
      <c r="D1690" t="s">
        <v>1703</v>
      </c>
      <c r="E1690" t="str">
        <f t="shared" ref="E1690:E1701" si="1900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[1]Summary!F54+[1]Summary!F61</f>
        <v>0</v>
      </c>
      <c r="K1690" s="1">
        <f>[1]Summary!G54+[1]Summary!G61+[1]Summary!G62</f>
        <v>-1.7622237313238185E-5</v>
      </c>
      <c r="L1690" s="1">
        <f>[1]Summary!H54+[1]Summary!H61+[1]Summary!H62</f>
        <v>-2.5439872729760304E-5</v>
      </c>
      <c r="M1690" s="1">
        <f>[1]Summary!I54+[1]Summary!I61+[1]Summary!I62</f>
        <v>-0.98758718596693196</v>
      </c>
      <c r="N1690" s="1">
        <f>[1]Summary!J54+[1]Summary!J61+[1]Summary!J62</f>
        <v>-1.6051263244676264</v>
      </c>
      <c r="O1690" s="1">
        <f>[1]Summary!K54+[1]Summary!K61+[1]Summary!K62</f>
        <v>-1.5680739761765978</v>
      </c>
      <c r="P1690" s="1">
        <f>[1]Summary!L54+[1]Summary!L61+[1]Summary!L62</f>
        <v>-1.7000751902504401</v>
      </c>
      <c r="Q1690" s="1">
        <f>[1]Summary!M54+[1]Summary!M61+[1]Summary!M62</f>
        <v>-1.7700988566343727</v>
      </c>
      <c r="S1690" s="3"/>
    </row>
    <row r="1691" spans="2:19" x14ac:dyDescent="0.5">
      <c r="B1691" t="str">
        <f t="shared" si="1898"/>
        <v>SPS1</v>
      </c>
      <c r="C1691" t="str">
        <f t="shared" si="1899"/>
        <v>CH</v>
      </c>
      <c r="D1691" t="s">
        <v>1704</v>
      </c>
      <c r="E1691" t="str">
        <f t="shared" si="1900"/>
        <v>Mt/yr.</v>
      </c>
      <c r="F1691" s="1">
        <f>[1]Summary!B55+[1]Summary!B60</f>
        <v>6.4914823885088859</v>
      </c>
      <c r="G1691" s="1">
        <f>[1]Summary!C55+[1]Summary!C60</f>
        <v>6.1416998513743595</v>
      </c>
      <c r="H1691" s="1">
        <f>[1]Summary!D55+[1]Summary!D60</f>
        <v>5.6038681667051682</v>
      </c>
      <c r="I1691" s="1">
        <f>[1]Summary!E55+[1]Summary!E60</f>
        <v>4.8942936668194159</v>
      </c>
      <c r="J1691" s="1">
        <f>[1]Summary!F55+[1]Summary!F60</f>
        <v>4.0314211759247831</v>
      </c>
      <c r="K1691" s="1">
        <f>[1]Summary!G55+[1]Summary!G60</f>
        <v>3.3971040814373827</v>
      </c>
      <c r="L1691" s="1">
        <f>[1]Summary!H55+[1]Summary!H60</f>
        <v>0.75164830318652465</v>
      </c>
      <c r="M1691" s="1">
        <f>[1]Summary!I55+[1]Summary!I60</f>
        <v>9.3900605434766415E-2</v>
      </c>
      <c r="N1691" s="1">
        <f>[1]Summary!J55+[1]Summary!J60</f>
        <v>5.5734669064793962E-2</v>
      </c>
      <c r="O1691" s="1">
        <f>[1]Summary!K55+[1]Summary!K60</f>
        <v>4.9731555757651424E-2</v>
      </c>
      <c r="P1691" s="1">
        <f>[1]Summary!L55+[1]Summary!L60</f>
        <v>4.4368353072852695E-2</v>
      </c>
      <c r="Q1691" s="1">
        <f>[1]Summary!M55+[1]Summary!M60</f>
        <v>3.9476734933668212E-2</v>
      </c>
      <c r="S1691" s="3"/>
    </row>
    <row r="1692" spans="2:19" x14ac:dyDescent="0.5">
      <c r="B1692" t="str">
        <f t="shared" si="1898"/>
        <v>SPS1</v>
      </c>
      <c r="C1692" t="str">
        <f t="shared" si="1899"/>
        <v>CH</v>
      </c>
      <c r="D1692" t="s">
        <v>1714</v>
      </c>
      <c r="E1692" t="str">
        <f t="shared" si="1900"/>
        <v>Mt/yr.</v>
      </c>
      <c r="F1692" s="1">
        <f>F1691-F1693</f>
        <v>4.4021355880242456</v>
      </c>
      <c r="G1692" s="1">
        <f t="shared" ref="G1692:K1692" si="1901">G1691-G1693</f>
        <v>4.0306866815002795</v>
      </c>
      <c r="H1692" s="1">
        <f t="shared" si="1901"/>
        <v>3.5015986956439082</v>
      </c>
      <c r="I1692" s="1">
        <f t="shared" si="1901"/>
        <v>2.800636497404176</v>
      </c>
      <c r="J1692" s="1">
        <f t="shared" si="1901"/>
        <v>1.9458860857409328</v>
      </c>
      <c r="K1692" s="1">
        <f t="shared" si="1901"/>
        <v>1.3197193672028238</v>
      </c>
      <c r="L1692" s="1">
        <f t="shared" ref="L1692:O1692" si="1902">L1691-L1693</f>
        <v>-0.28364102579116524</v>
      </c>
      <c r="M1692" s="1">
        <f t="shared" si="1902"/>
        <v>-0.93797171667957335</v>
      </c>
      <c r="N1692" s="1">
        <f t="shared" si="1902"/>
        <v>-0.97613681281039599</v>
      </c>
      <c r="O1692" s="1">
        <f t="shared" si="1902"/>
        <v>-0.9821382194621584</v>
      </c>
      <c r="P1692" s="1">
        <f>P1691-P1693</f>
        <v>-0.98750137473919741</v>
      </c>
      <c r="Q1692" s="1">
        <f>Q1691-Q1693</f>
        <v>-0.9923927315965817</v>
      </c>
      <c r="S1692" s="3"/>
    </row>
    <row r="1693" spans="2:19" x14ac:dyDescent="0.5">
      <c r="B1693" t="str">
        <f t="shared" si="1898"/>
        <v>SPS1</v>
      </c>
      <c r="C1693" t="str">
        <f t="shared" si="1899"/>
        <v>CH</v>
      </c>
      <c r="D1693" t="s">
        <v>1713</v>
      </c>
      <c r="E1693" t="str">
        <f t="shared" si="1900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2.0936571694152399</v>
      </c>
      <c r="J1693" s="1" cm="1">
        <f t="array" ref="J1693">SUMPRODUCT(ISNUMBER(SEARCH("processco2",[1]OUT_CO2_emissions!$D$3:$D$1000))*1,("var_fout"=[1]OUT_CO2_emissions!$C$3:$C$1000)*1,("CO2"=[1]OUT_CO2_emissions!$B$3:$B$1000)*1,[1]OUT_CO2_emissions!I$3:I$1000)/1000</f>
        <v>2.0855350901838503</v>
      </c>
      <c r="K1693" s="1" cm="1">
        <f t="array" ref="K1693">SUMPRODUCT(ISNUMBER(SEARCH("processco2",[1]OUT_CO2_emissions!$D$3:$D$1000))*1,("var_fout"=[1]OUT_CO2_emissions!$C$3:$C$1000)*1,("CO2"=[1]OUT_CO2_emissions!$B$3:$B$1000)*1,[1]OUT_CO2_emissions!J$3:J$1000)/1000</f>
        <v>2.0773847142345589</v>
      </c>
      <c r="L1693" s="1" cm="1">
        <f t="array" ref="L1693">SUMPRODUCT(ISNUMBER(SEARCH("processco2",[1]OUT_CO2_emissions!$D$3:$D$1000))*1,("var_fout"=[1]OUT_CO2_emissions!$C$3:$C$1000)*1,("CO2"=[1]OUT_CO2_emissions!$B$3:$B$1000)*1,[1]OUT_CO2_emissions!K$3:K$1000)/1000</f>
        <v>1.0352893289776899</v>
      </c>
      <c r="M1693" s="1" cm="1">
        <f t="array" ref="M1693">SUMPRODUCT(ISNUMBER(SEARCH("processco2",[1]OUT_CO2_emissions!$D$3:$D$1000))*1,("var_fout"=[1]OUT_CO2_emissions!$C$3:$C$1000)*1,("CO2"=[1]OUT_CO2_emissions!$B$3:$B$1000)*1,[1]OUT_CO2_emissions!L$3:L$1000)/1000</f>
        <v>1.0318723221143398</v>
      </c>
      <c r="N1693" s="1" cm="1">
        <f t="array" ref="N1693">SUMPRODUCT(ISNUMBER(SEARCH("processco2",[1]OUT_CO2_emissions!$D$3:$D$1000))*1,("var_fout"=[1]OUT_CO2_emissions!$C$3:$C$1000)*1,("CO2"=[1]OUT_CO2_emissions!$B$3:$B$1000)*1,[1]OUT_CO2_emissions!M$3:M$1000)/1000</f>
        <v>1.03187148187519</v>
      </c>
      <c r="O1693" s="1" cm="1">
        <f t="array" ref="O1693">SUMPRODUCT(ISNUMBER(SEARCH("processco2",[1]OUT_CO2_emissions!$D$3:$D$1000))*1,("var_fout"=[1]OUT_CO2_emissions!$C$3:$C$1000)*1,("CO2"=[1]OUT_CO2_emissions!$B$3:$B$1000)*1,[1]OUT_CO2_emissions!N$3:N$1000)/1000</f>
        <v>1.0318697752198098</v>
      </c>
      <c r="P1693" s="1" cm="1">
        <f t="array" ref="P1693">SUMPRODUCT(ISNUMBER(SEARCH("processco2",[1]OUT_CO2_emissions!$D$3:$D$1000))*1,("var_fout"=[1]OUT_CO2_emissions!$C$3:$C$1000)*1,("CO2"=[1]OUT_CO2_emissions!$B$3:$B$1000)*1,[1]OUT_CO2_emissions!O$3:O$1000)/1000</f>
        <v>1.0318697278120501</v>
      </c>
      <c r="Q1693" s="1" cm="1">
        <f t="array" ref="Q1693">SUMPRODUCT(ISNUMBER(SEARCH("processco2",[1]OUT_CO2_emissions!$D$3:$D$1000))*1,("var_fout"=[1]OUT_CO2_emissions!$C$3:$C$1000)*1,("CO2"=[1]OUT_CO2_emissions!$B$3:$B$1000)*1,[1]OUT_CO2_emissions!P$3:P$1000)/1000</f>
        <v>1.0318694665302499</v>
      </c>
      <c r="S1693" s="3"/>
    </row>
    <row r="1694" spans="2:19" x14ac:dyDescent="0.5">
      <c r="B1694" t="str">
        <f t="shared" si="1898"/>
        <v>SPS1</v>
      </c>
      <c r="C1694" t="str">
        <f t="shared" si="1899"/>
        <v>CH</v>
      </c>
      <c r="D1694" t="s">
        <v>1705</v>
      </c>
      <c r="E1694" t="str">
        <f t="shared" si="1900"/>
        <v>Mt/yr.</v>
      </c>
      <c r="F1694" s="1">
        <f>[1]Summary!B56</f>
        <v>3.7895592709653303</v>
      </c>
      <c r="G1694" s="1">
        <f>[1]Summary!C56</f>
        <v>3.4161650782678197</v>
      </c>
      <c r="H1694" s="1">
        <f>[1]Summary!D56</f>
        <v>3.4979031799652605</v>
      </c>
      <c r="I1694" s="1">
        <f>[1]Summary!E56</f>
        <v>3.1719886214917397</v>
      </c>
      <c r="J1694" s="1">
        <f>[1]Summary!F56</f>
        <v>2.69456943105039</v>
      </c>
      <c r="K1694" s="1">
        <f>[1]Summary!G56</f>
        <v>2.1598785780460279</v>
      </c>
      <c r="L1694" s="1">
        <f>[1]Summary!H56</f>
        <v>1.693313175276834</v>
      </c>
      <c r="M1694" s="1">
        <f>[1]Summary!I56</f>
        <v>0.224954078539149</v>
      </c>
      <c r="N1694" s="1">
        <f>[1]Summary!J56</f>
        <v>0.26879124993895998</v>
      </c>
      <c r="O1694" s="1">
        <f>[1]Summary!K56</f>
        <v>0.1631318225253407</v>
      </c>
      <c r="P1694" s="1">
        <f>[1]Summary!L56</f>
        <v>0.12979630778374582</v>
      </c>
      <c r="Q1694" s="1">
        <f>[1]Summary!M56</f>
        <v>0.11945503405291238</v>
      </c>
      <c r="S1694" s="3"/>
    </row>
    <row r="1695" spans="2:19" x14ac:dyDescent="0.5">
      <c r="B1695" t="str">
        <f t="shared" si="1898"/>
        <v>SPS1</v>
      </c>
      <c r="C1695" t="str">
        <f t="shared" si="1899"/>
        <v>CH</v>
      </c>
      <c r="D1695" t="s">
        <v>1706</v>
      </c>
      <c r="E1695" t="str">
        <f t="shared" si="1900"/>
        <v>Mt/yr.</v>
      </c>
      <c r="F1695" s="1">
        <f>[1]Summary!B57</f>
        <v>7.1741575336836911</v>
      </c>
      <c r="G1695" s="1">
        <f>[1]Summary!C57</f>
        <v>6.5876295631128867</v>
      </c>
      <c r="H1695" s="1">
        <f>[1]Summary!D57</f>
        <v>6.5261064528385822</v>
      </c>
      <c r="I1695" s="1">
        <f>[1]Summary!E57</f>
        <v>6.0995239817499973</v>
      </c>
      <c r="J1695" s="1">
        <f>[1]Summary!F57</f>
        <v>4.5353034356549928</v>
      </c>
      <c r="K1695" s="1">
        <f>[1]Summary!G57</f>
        <v>3.6738670539187059</v>
      </c>
      <c r="L1695" s="1">
        <f>[1]Summary!H57</f>
        <v>2.8880424856794962</v>
      </c>
      <c r="M1695" s="1">
        <f>[1]Summary!I57</f>
        <v>0.83960487718514498</v>
      </c>
      <c r="N1695" s="1">
        <f>[1]Summary!J57</f>
        <v>0.42086305660472578</v>
      </c>
      <c r="O1695" s="1">
        <f>[1]Summary!K57</f>
        <v>0.33189068286429074</v>
      </c>
      <c r="P1695" s="1">
        <f>[1]Summary!L57</f>
        <v>0.33162169126165658</v>
      </c>
      <c r="Q1695" s="1">
        <f>[1]Summary!M57</f>
        <v>0.27425353418487602</v>
      </c>
      <c r="S1695" s="3"/>
    </row>
    <row r="1696" spans="2:19" x14ac:dyDescent="0.5">
      <c r="B1696" t="str">
        <f t="shared" si="1898"/>
        <v>SPS1</v>
      </c>
      <c r="C1696" t="str">
        <f t="shared" si="1899"/>
        <v>CH</v>
      </c>
      <c r="D1696" t="s">
        <v>1707</v>
      </c>
      <c r="E1696" t="str">
        <f t="shared" si="1900"/>
        <v>Mt/yr.</v>
      </c>
      <c r="F1696" s="1">
        <f>[1]Summary!B58</f>
        <v>14.551984873043466</v>
      </c>
      <c r="G1696" s="1">
        <f>[1]Summary!C58</f>
        <v>13.860704859375636</v>
      </c>
      <c r="H1696" s="1">
        <f>[1]Summary!D58</f>
        <v>12.903589065739899</v>
      </c>
      <c r="I1696" s="1">
        <f>[1]Summary!E58</f>
        <v>8.3906438372858059</v>
      </c>
      <c r="J1696" s="1">
        <f>[1]Summary!F58</f>
        <v>4.4665218306255072</v>
      </c>
      <c r="K1696" s="1">
        <f>[1]Summary!G58</f>
        <v>2.6752975438438358</v>
      </c>
      <c r="L1696" s="1">
        <f>[1]Summary!H58</f>
        <v>1.1444383779092342</v>
      </c>
      <c r="M1696" s="1">
        <f>[1]Summary!I58</f>
        <v>2.3644601042471073E-2</v>
      </c>
      <c r="N1696" s="1">
        <f>[1]Summary!J58</f>
        <v>2.2441937452047041E-2</v>
      </c>
      <c r="O1696" s="1">
        <f>[1]Summary!K58</f>
        <v>1.928505956500521E-2</v>
      </c>
      <c r="P1696" s="1">
        <f>[1]Summary!L58</f>
        <v>1.7700421107293224E-2</v>
      </c>
      <c r="Q1696" s="1">
        <f>[1]Summary!M58</f>
        <v>1.4281611197019374E-2</v>
      </c>
      <c r="S1696" s="3"/>
    </row>
    <row r="1697" spans="2:19" x14ac:dyDescent="0.5">
      <c r="B1697" t="str">
        <f t="shared" si="1898"/>
        <v>SPS1</v>
      </c>
      <c r="C1697" t="str">
        <f t="shared" si="1899"/>
        <v>CH</v>
      </c>
      <c r="D1697" t="s">
        <v>1708</v>
      </c>
      <c r="E1697" t="str">
        <f t="shared" si="1900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-[1]Summary!F59</f>
        <v>0</v>
      </c>
      <c r="K1697" s="1">
        <f>-[1]Summary!G59</f>
        <v>1.1964253911886855</v>
      </c>
      <c r="L1697" s="1">
        <f>-[1]Summary!H59</f>
        <v>2.2405480760705285</v>
      </c>
      <c r="M1697" s="1">
        <f>-[1]Summary!I59</f>
        <v>2.4271388017137707</v>
      </c>
      <c r="N1697" s="1">
        <f>-[1]Summary!J59</f>
        <v>2.6733764047671191</v>
      </c>
      <c r="O1697" s="1">
        <f>-[1]Summary!K59</f>
        <v>2.6983219810634083</v>
      </c>
      <c r="P1697" s="1">
        <f>-[1]Summary!L59</f>
        <v>2.7032453921756492</v>
      </c>
      <c r="Q1697" s="1">
        <f>-[1]Summary!M59</f>
        <v>2.7080320029169362</v>
      </c>
      <c r="S1697" s="3"/>
    </row>
    <row r="1698" spans="2:19" x14ac:dyDescent="0.5">
      <c r="B1698" t="str">
        <f t="shared" si="1898"/>
        <v>SPS1</v>
      </c>
      <c r="C1698" t="str">
        <f t="shared" si="1899"/>
        <v>CH</v>
      </c>
      <c r="D1698" t="s">
        <v>1709</v>
      </c>
      <c r="E1698" t="str">
        <f t="shared" si="1900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-[1]Summary!F60</f>
        <v>0</v>
      </c>
      <c r="K1698" s="1">
        <f>-[1]Summary!G60</f>
        <v>0.63744492203298964</v>
      </c>
      <c r="L1698" s="1">
        <f>-[1]Summary!H60</f>
        <v>2.8827745016475972</v>
      </c>
      <c r="M1698" s="1">
        <f>-[1]Summary!I60</f>
        <v>3.0108336385561878</v>
      </c>
      <c r="N1698" s="1">
        <f>-[1]Summary!J60</f>
        <v>2.9946866552247147</v>
      </c>
      <c r="O1698" s="1">
        <f>-[1]Summary!K60</f>
        <v>3.0006287318436851</v>
      </c>
      <c r="P1698" s="1">
        <f>-[1]Summary!L60</f>
        <v>3.0059880386039275</v>
      </c>
      <c r="Q1698" s="1">
        <f>-[1]Summary!M60</f>
        <v>3.0108682370451754</v>
      </c>
      <c r="S1698" s="3"/>
    </row>
    <row r="1699" spans="2:19" x14ac:dyDescent="0.5">
      <c r="B1699" t="str">
        <f t="shared" si="1898"/>
        <v>SPS1</v>
      </c>
      <c r="C1699" t="str">
        <f t="shared" si="1899"/>
        <v>CH</v>
      </c>
      <c r="D1699" t="s">
        <v>1710</v>
      </c>
      <c r="E1699" t="str">
        <f t="shared" si="1900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-[1]Summary!F61</f>
        <v>0</v>
      </c>
      <c r="K1699" s="1">
        <f>-[1]Summary!G61</f>
        <v>0</v>
      </c>
      <c r="L1699" s="1">
        <f>-[1]Summary!H61</f>
        <v>0</v>
      </c>
      <c r="M1699" s="1">
        <f>-[1]Summary!I61</f>
        <v>0.38318032601154073</v>
      </c>
      <c r="N1699" s="1">
        <f>-[1]Summary!J61</f>
        <v>0.96368012181800256</v>
      </c>
      <c r="O1699" s="1">
        <f>-[1]Summary!K61</f>
        <v>0.96367170820127324</v>
      </c>
      <c r="P1699" s="1">
        <f>-[1]Summary!L61</f>
        <v>1.0584235915404614</v>
      </c>
      <c r="Q1699" s="1">
        <f>-[1]Summary!M61</f>
        <v>1.0621665058006993</v>
      </c>
      <c r="S1699" s="3"/>
    </row>
    <row r="1700" spans="2:19" x14ac:dyDescent="0.5">
      <c r="B1700" t="str">
        <f t="shared" si="1898"/>
        <v>SPS1</v>
      </c>
      <c r="C1700" t="str">
        <f t="shared" si="1899"/>
        <v>CH</v>
      </c>
      <c r="D1700" t="s">
        <v>1711</v>
      </c>
      <c r="E1700" t="str">
        <f t="shared" si="1900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-[1]Summary!F62</f>
        <v>0</v>
      </c>
      <c r="K1700" s="1">
        <f>-[1]Summary!G62</f>
        <v>1.7622237313238185E-5</v>
      </c>
      <c r="L1700" s="1">
        <f>-[1]Summary!H62</f>
        <v>2.5439872729760304E-5</v>
      </c>
      <c r="M1700" s="1">
        <f>-[1]Summary!I62</f>
        <v>0.60440685995539123</v>
      </c>
      <c r="N1700" s="1">
        <f>-[1]Summary!J62</f>
        <v>0.64144620264962371</v>
      </c>
      <c r="O1700" s="1">
        <f>-[1]Summary!K62</f>
        <v>0.60440226797532459</v>
      </c>
      <c r="P1700" s="1">
        <f>-[1]Summary!L62</f>
        <v>0.64165159870997868</v>
      </c>
      <c r="Q1700" s="1">
        <f>-[1]Summary!M62</f>
        <v>0.70793235083367334</v>
      </c>
      <c r="S1700" s="3"/>
    </row>
    <row r="1701" spans="2:19" x14ac:dyDescent="0.5">
      <c r="B1701" t="str">
        <f t="shared" si="1898"/>
        <v>SPS1</v>
      </c>
      <c r="C1701" t="str">
        <f t="shared" si="1899"/>
        <v>CH</v>
      </c>
      <c r="D1701" t="s">
        <v>1712</v>
      </c>
      <c r="E1701" t="str">
        <f t="shared" si="1900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-[1]Summary!F63</f>
        <v>0</v>
      </c>
      <c r="K1701" s="1">
        <f>-[1]Summary!G63</f>
        <v>1.943067898589038E-6</v>
      </c>
      <c r="L1701" s="1">
        <f>-[1]Summary!H63</f>
        <v>3.1391762835147085E-6</v>
      </c>
      <c r="M1701" s="1">
        <f>-[1]Summary!I63</f>
        <v>9.6149909621709245E-2</v>
      </c>
      <c r="N1701" s="1">
        <f>-[1]Summary!J63</f>
        <v>0.21427537892772824</v>
      </c>
      <c r="O1701" s="1">
        <f>-[1]Summary!K63</f>
        <v>1.4186254257380408</v>
      </c>
      <c r="P1701" s="1">
        <f>-[1]Summary!L63</f>
        <v>2.0743549650134741</v>
      </c>
      <c r="Q1701" s="1">
        <f>-[1]Summary!M63</f>
        <v>2.7569083032561768</v>
      </c>
      <c r="S1701" s="3"/>
    </row>
    <row r="1702" spans="2:19" x14ac:dyDescent="0.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903">SUM(G1703:G1705)</f>
        <v>0</v>
      </c>
      <c r="H1702" s="3">
        <f t="shared" si="1903"/>
        <v>0</v>
      </c>
      <c r="I1702" s="3">
        <f t="shared" si="1903"/>
        <v>0</v>
      </c>
      <c r="J1702" s="3">
        <f t="shared" si="1903"/>
        <v>1.8338813583408782</v>
      </c>
      <c r="K1702" s="3">
        <f t="shared" si="1903"/>
        <v>1.8338813583408782</v>
      </c>
      <c r="L1702" s="3">
        <f t="shared" ref="L1702:O1702" si="1904">SUM(L1703:L1705)</f>
        <v>5.1233413128204015</v>
      </c>
      <c r="M1702" s="3">
        <f t="shared" si="1904"/>
        <v>0</v>
      </c>
      <c r="N1702" s="3">
        <f t="shared" si="1904"/>
        <v>0</v>
      </c>
      <c r="O1702" s="3">
        <f t="shared" si="1904"/>
        <v>0</v>
      </c>
      <c r="P1702" s="3">
        <f>SUM(P1703:P1705)</f>
        <v>0</v>
      </c>
      <c r="Q1702" s="3">
        <f>SUM(Q1703:Q1705)</f>
        <v>0</v>
      </c>
      <c r="S1702" s="3"/>
    </row>
    <row r="1703" spans="2:19" x14ac:dyDescent="0.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[1]Summary!B$77</f>
        <v>0.83333092443225398</v>
      </c>
      <c r="K1703" s="1">
        <f>[1]Summary!B$77</f>
        <v>0.83333092443225398</v>
      </c>
      <c r="L1703" s="1">
        <f>[1]Summary!C$77</f>
        <v>0.33104387477326719</v>
      </c>
      <c r="M1703" s="1">
        <f>[1]Summary!D$77</f>
        <v>0</v>
      </c>
      <c r="N1703" s="1">
        <f>[1]Summary!E$77</f>
        <v>0</v>
      </c>
      <c r="O1703" s="1">
        <f>[1]Summary!F$77</f>
        <v>0</v>
      </c>
      <c r="P1703" s="1">
        <f>[1]Summary!G$77</f>
        <v>0</v>
      </c>
      <c r="Q1703" s="1">
        <f>[1]Summary!H$77</f>
        <v>0</v>
      </c>
      <c r="S1703" s="3"/>
    </row>
    <row r="1704" spans="2:19" x14ac:dyDescent="0.5">
      <c r="B1704" t="str">
        <f t="shared" ref="B1704:B1705" si="1905">B1703</f>
        <v>SPS1</v>
      </c>
      <c r="C1704" t="str">
        <f t="shared" ref="C1704:C1705" si="1906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[1]Summary!B$78</f>
        <v>1.1802587583166175E-2</v>
      </c>
      <c r="K1704" s="1">
        <f>[1]Summary!B$78</f>
        <v>1.1802587583166175E-2</v>
      </c>
      <c r="L1704" s="1">
        <f>[1]Summary!C$78</f>
        <v>8.2898671109135E-3</v>
      </c>
      <c r="M1704" s="1">
        <f>[1]Summary!D$78</f>
        <v>0</v>
      </c>
      <c r="N1704" s="1">
        <f>[1]Summary!E$78</f>
        <v>0</v>
      </c>
      <c r="O1704" s="1">
        <f>[1]Summary!F$78</f>
        <v>0</v>
      </c>
      <c r="P1704" s="1">
        <f>[1]Summary!G$78</f>
        <v>0</v>
      </c>
      <c r="Q1704" s="1">
        <f>[1]Summary!H$78</f>
        <v>0</v>
      </c>
      <c r="S1704" s="3"/>
    </row>
    <row r="1705" spans="2:19" x14ac:dyDescent="0.5">
      <c r="B1705" t="str">
        <f t="shared" si="1905"/>
        <v>SPS1</v>
      </c>
      <c r="C1705" t="str">
        <f t="shared" si="1906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[1]Summary!B$79</f>
        <v>0.98874784632545809</v>
      </c>
      <c r="K1705" s="1">
        <f>[1]Summary!B$79</f>
        <v>0.98874784632545809</v>
      </c>
      <c r="L1705" s="1">
        <f>[1]Summary!C$79</f>
        <v>4.7840075709362209</v>
      </c>
      <c r="M1705" s="1">
        <f>[1]Summary!D$79</f>
        <v>0</v>
      </c>
      <c r="N1705" s="1">
        <f>[1]Summary!E$79</f>
        <v>0</v>
      </c>
      <c r="O1705" s="1">
        <f>[1]Summary!F$79</f>
        <v>0</v>
      </c>
      <c r="P1705" s="1">
        <f>[1]Summary!G$79</f>
        <v>0</v>
      </c>
      <c r="Q1705" s="1">
        <f>[1]Summary!H$79</f>
        <v>0</v>
      </c>
      <c r="S1705" s="3"/>
    </row>
    <row r="1706" spans="2:19" x14ac:dyDescent="0.5">
      <c r="B1706" s="2" t="str">
        <f t="shared" ref="B1706:C1711" si="1907">B1705</f>
        <v>SPS1</v>
      </c>
      <c r="C1706" s="2" t="str">
        <f t="shared" si="1907"/>
        <v>CH</v>
      </c>
      <c r="D1706" s="2" t="s">
        <v>1720</v>
      </c>
      <c r="E1706" s="19" t="s">
        <v>292</v>
      </c>
      <c r="F1706" s="19" t="s">
        <v>292</v>
      </c>
      <c r="G1706" s="19" t="s">
        <v>292</v>
      </c>
      <c r="H1706" s="19" t="s">
        <v>292</v>
      </c>
      <c r="I1706" s="19" t="s">
        <v>292</v>
      </c>
      <c r="J1706" s="19" t="s">
        <v>292</v>
      </c>
      <c r="K1706" s="19" t="s">
        <v>292</v>
      </c>
      <c r="L1706" s="19" t="s">
        <v>292</v>
      </c>
      <c r="M1706" s="19" t="s">
        <v>292</v>
      </c>
      <c r="N1706" s="19" t="s">
        <v>292</v>
      </c>
      <c r="O1706" s="19" t="s">
        <v>292</v>
      </c>
      <c r="P1706" s="19" t="s">
        <v>292</v>
      </c>
      <c r="Q1706" s="19" t="s">
        <v>292</v>
      </c>
      <c r="S1706" s="3"/>
    </row>
    <row r="1707" spans="2:19" x14ac:dyDescent="0.5">
      <c r="B1707" t="str">
        <f t="shared" si="1907"/>
        <v>SPS1</v>
      </c>
      <c r="C1707" t="str">
        <f t="shared" si="1907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908">SUM(G1708:G1709)</f>
        <v>0</v>
      </c>
      <c r="H1707" s="1">
        <f t="shared" si="1908"/>
        <v>0</v>
      </c>
      <c r="I1707" s="1">
        <f t="shared" si="1908"/>
        <v>0</v>
      </c>
      <c r="J1707" s="1">
        <f t="shared" si="1908"/>
        <v>0</v>
      </c>
      <c r="K1707" s="1">
        <f t="shared" si="1908"/>
        <v>1.5614196333055184E-5</v>
      </c>
      <c r="L1707" s="1">
        <f t="shared" ref="L1707:O1707" si="1909">SUM(L1708:L1709)</f>
        <v>2.4045489942816008E-5</v>
      </c>
      <c r="M1707" s="1">
        <f t="shared" si="1909"/>
        <v>0.70033387449215845</v>
      </c>
      <c r="N1707" s="1">
        <f t="shared" si="1909"/>
        <v>1.5607326821537537</v>
      </c>
      <c r="O1707" s="1">
        <f t="shared" si="1909"/>
        <v>10.332942014912597</v>
      </c>
      <c r="P1707" s="1">
        <f>SUM(P1708:P1709)</f>
        <v>15.109125483690752</v>
      </c>
      <c r="Q1707" s="1">
        <f>SUM(Q1708:Q1709)</f>
        <v>20.080687347864799</v>
      </c>
      <c r="S1707" s="3"/>
    </row>
    <row r="1708" spans="2:19" x14ac:dyDescent="0.5">
      <c r="B1708" t="str">
        <f t="shared" si="1907"/>
        <v>SPS1</v>
      </c>
      <c r="C1708" t="str">
        <f t="shared" si="1907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SUMPRODUCT(("SUP_DAC"=[1]OUT_SyntheticFuels!$C$1:$C$1000)*1,("Var_Fin"=[1]OUT_SyntheticFuels!$B$1:$B$1000)*1,ISNUMBER(SEARCH("ELC",[1]OUT_SyntheticFuels!$A$1:$A$1000))*1,[1]OUT_SyntheticFuels!I$1:I$1000)</f>
        <v>0</v>
      </c>
      <c r="K1708" s="1" cm="1">
        <f t="array" ref="K1708">SUMPRODUCT(("SUP_DAC"=[1]OUT_SyntheticFuels!$C$1:$C$1000)*1,("Var_Fin"=[1]OUT_SyntheticFuels!$B$1:$B$1000)*1,ISNUMBER(SEARCH("ELC",[1]OUT_SyntheticFuels!$A$1:$A$1000))*1,[1]OUT_SyntheticFuels!J$1:J$1000)</f>
        <v>2.6943874860434677E-6</v>
      </c>
      <c r="L1708" s="1" cm="1">
        <f t="array" ref="L1708">SUMPRODUCT(("SUP_DAC"=[1]OUT_SyntheticFuels!$C$1:$C$1000)*1,("Var_Fin"=[1]OUT_SyntheticFuels!$B$1:$B$1000)*1,ISNUMBER(SEARCH("ELC",[1]OUT_SyntheticFuels!$A$1:$A$1000))*1,[1]OUT_SyntheticFuels!K$1:K$1000)</f>
        <v>3.6048207655693908E-6</v>
      </c>
      <c r="M1708" s="1" cm="1">
        <f t="array" ref="M1708">SUMPRODUCT(("SUP_DAC"=[1]OUT_SyntheticFuels!$C$1:$C$1000)*1,("Var_Fin"=[1]OUT_SyntheticFuels!$B$1:$B$1000)*1,ISNUMBER(SEARCH("ELC",[1]OUT_SyntheticFuels!$A$1:$A$1000))*1,[1]OUT_SyntheticFuels!L$1:L$1000)</f>
        <v>8.7496417755755437E-2</v>
      </c>
      <c r="N1708" s="1" cm="1">
        <f t="array" ref="N1708">SUMPRODUCT(("SUP_DAC"=[1]OUT_SyntheticFuels!$C$1:$C$1000)*1,("Var_Fin"=[1]OUT_SyntheticFuels!$B$1:$B$1000)*1,ISNUMBER(SEARCH("ELC",[1]OUT_SyntheticFuels!$A$1:$A$1000))*1,[1]OUT_SyntheticFuels!M$1:M$1000)</f>
        <v>0.19499059482423273</v>
      </c>
      <c r="O1708" s="1" cm="1">
        <f t="array" ref="O1708">SUMPRODUCT(("SUP_DAC"=[1]OUT_SyntheticFuels!$C$1:$C$1000)*1,("Var_Fin"=[1]OUT_SyntheticFuels!$B$1:$B$1000)*1,ISNUMBER(SEARCH("ELC",[1]OUT_SyntheticFuels!$A$1:$A$1000))*1,[1]OUT_SyntheticFuels!N$1:N$1000)</f>
        <v>1.2909491374216155</v>
      </c>
      <c r="P1708" s="1" cm="1">
        <f t="array" ref="P1708">SUMPRODUCT(("SUP_DAC"=[1]OUT_SyntheticFuels!$C$1:$C$1000)*1,("Var_Fin"=[1]OUT_SyntheticFuels!$B$1:$B$1000)*1,ISNUMBER(SEARCH("ELC",[1]OUT_SyntheticFuels!$A$1:$A$1000))*1,[1]OUT_SyntheticFuels!O$1:O$1000)</f>
        <v>1.8876630181622605</v>
      </c>
      <c r="Q1708" s="1" cm="1">
        <f t="array" ref="Q1708">SUMPRODUCT(("SUP_DAC"=[1]OUT_SyntheticFuels!$C$1:$C$1000)*1,("Var_Fin"=[1]OUT_SyntheticFuels!$B$1:$B$1000)*1,ISNUMBER(SEARCH("ELC",[1]OUT_SyntheticFuels!$A$1:$A$1000))*1,[1]OUT_SyntheticFuels!P$1:P$1000)</f>
        <v>2.5087865559631211</v>
      </c>
      <c r="S1708" s="3"/>
    </row>
    <row r="1709" spans="2:19" x14ac:dyDescent="0.5">
      <c r="B1709" t="str">
        <f t="shared" si="1907"/>
        <v>SPS1</v>
      </c>
      <c r="C1709" t="str">
        <f t="shared" si="1907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SUMPRODUCT(("SUP_DAC"=[1]OUT_SyntheticFuels!$C$1:$C$1000)*1,("Var_Fin"=[1]OUT_SyntheticFuels!$B$1:$B$1000)*1,ISNUMBER(SEARCH("HEAT",[1]OUT_SyntheticFuels!$A$1:$A$1000))*1,[1]OUT_SyntheticFuels!I$1:I$1000)</f>
        <v>0</v>
      </c>
      <c r="K1709" s="1" cm="1">
        <f t="array" ref="K1709">SUMPRODUCT(("SUP_DAC"=[1]OUT_SyntheticFuels!$C$1:$C$1000)*1,("Var_Fin"=[1]OUT_SyntheticFuels!$B$1:$B$1000)*1,ISNUMBER(SEARCH("HEAT",[1]OUT_SyntheticFuels!$A$1:$A$1000))*1,[1]OUT_SyntheticFuels!J$1:J$1000)</f>
        <v>1.2919808847011715E-5</v>
      </c>
      <c r="L1709" s="1" cm="1">
        <f t="array" ref="L1709">SUMPRODUCT(("SUP_DAC"=[1]OUT_SyntheticFuels!$C$1:$C$1000)*1,("Var_Fin"=[1]OUT_SyntheticFuels!$B$1:$B$1000)*1,ISNUMBER(SEARCH("HEAT",[1]OUT_SyntheticFuels!$A$1:$A$1000))*1,[1]OUT_SyntheticFuels!K$1:K$1000)</f>
        <v>2.0440669177246615E-5</v>
      </c>
      <c r="M1709" s="1" cm="1">
        <f t="array" ref="M1709">SUMPRODUCT(("SUP_DAC"=[1]OUT_SyntheticFuels!$C$1:$C$1000)*1,("Var_Fin"=[1]OUT_SyntheticFuels!$B$1:$B$1000)*1,ISNUMBER(SEARCH("HEAT",[1]OUT_SyntheticFuels!$A$1:$A$1000))*1,[1]OUT_SyntheticFuels!L$1:L$1000)</f>
        <v>0.612837456736403</v>
      </c>
      <c r="N1709" s="1" cm="1">
        <f t="array" ref="N1709">SUMPRODUCT(("SUP_DAC"=[1]OUT_SyntheticFuels!$C$1:$C$1000)*1,("Var_Fin"=[1]OUT_SyntheticFuels!$B$1:$B$1000)*1,ISNUMBER(SEARCH("HEAT",[1]OUT_SyntheticFuels!$A$1:$A$1000))*1,[1]OUT_SyntheticFuels!M$1:M$1000)</f>
        <v>1.365742087329521</v>
      </c>
      <c r="O1709" s="1" cm="1">
        <f t="array" ref="O1709">SUMPRODUCT(("SUP_DAC"=[1]OUT_SyntheticFuels!$C$1:$C$1000)*1,("Var_Fin"=[1]OUT_SyntheticFuels!$B$1:$B$1000)*1,ISNUMBER(SEARCH("HEAT",[1]OUT_SyntheticFuels!$A$1:$A$1000))*1,[1]OUT_SyntheticFuels!N$1:N$1000)</f>
        <v>9.0419928774909817</v>
      </c>
      <c r="P1709" s="1" cm="1">
        <f t="array" ref="P1709">SUMPRODUCT(("SUP_DAC"=[1]OUT_SyntheticFuels!$C$1:$C$1000)*1,("Var_Fin"=[1]OUT_SyntheticFuels!$B$1:$B$1000)*1,ISNUMBER(SEARCH("HEAT",[1]OUT_SyntheticFuels!$A$1:$A$1000))*1,[1]OUT_SyntheticFuels!O$1:O$1000)</f>
        <v>13.221462465528491</v>
      </c>
      <c r="Q1709" s="1" cm="1">
        <f t="array" ref="Q1709">SUMPRODUCT(("SUP_DAC"=[1]OUT_SyntheticFuels!$C$1:$C$1000)*1,("Var_Fin"=[1]OUT_SyntheticFuels!$B$1:$B$1000)*1,ISNUMBER(SEARCH("HEAT",[1]OUT_SyntheticFuels!$A$1:$A$1000))*1,[1]OUT_SyntheticFuels!P$1:P$1000)</f>
        <v>17.57190079190168</v>
      </c>
      <c r="S1709" s="3"/>
    </row>
    <row r="1710" spans="2:19" x14ac:dyDescent="0.5">
      <c r="B1710" t="str">
        <f t="shared" si="1907"/>
        <v>SPS1</v>
      </c>
      <c r="C1710" t="str">
        <f t="shared" si="1907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910">G1701</f>
        <v>0</v>
      </c>
      <c r="H1710" s="1">
        <f t="shared" si="1910"/>
        <v>0</v>
      </c>
      <c r="I1710" s="1">
        <f t="shared" si="1910"/>
        <v>0</v>
      </c>
      <c r="J1710" s="1">
        <f t="shared" si="1910"/>
        <v>0</v>
      </c>
      <c r="K1710" s="1">
        <f t="shared" si="1910"/>
        <v>1.943067898589038E-6</v>
      </c>
      <c r="L1710" s="1">
        <f t="shared" ref="L1710:O1710" si="1911">L1701</f>
        <v>3.1391762835147085E-6</v>
      </c>
      <c r="M1710" s="1">
        <f t="shared" si="1911"/>
        <v>9.6149909621709245E-2</v>
      </c>
      <c r="N1710" s="1">
        <f t="shared" si="1911"/>
        <v>0.21427537892772824</v>
      </c>
      <c r="O1710" s="1">
        <f t="shared" si="1911"/>
        <v>1.4186254257380408</v>
      </c>
      <c r="P1710" s="1">
        <f>P1701</f>
        <v>2.0743549650134741</v>
      </c>
      <c r="Q1710" s="1">
        <f>Q1701</f>
        <v>2.7569083032561768</v>
      </c>
      <c r="S1710" s="3"/>
    </row>
    <row r="1711" spans="2:19" x14ac:dyDescent="0.5">
      <c r="B1711" s="2" t="str">
        <f t="shared" si="1907"/>
        <v>SPS1</v>
      </c>
      <c r="C1711" s="2" t="str">
        <f t="shared" si="1907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962.39915867883451</v>
      </c>
      <c r="G1711" s="3">
        <f t="shared" ref="G1711:K1711" si="1912">SUM(G1712:G1713,G1730,G1739:G1740,G1741,G1742,G1747,G1750,,G1755:G1758,G1751)</f>
        <v>960.23060113645147</v>
      </c>
      <c r="H1711" s="3">
        <f t="shared" si="1912"/>
        <v>924.41083069627496</v>
      </c>
      <c r="I1711" s="3">
        <f t="shared" si="1912"/>
        <v>880.43009598078163</v>
      </c>
      <c r="J1711" s="3">
        <f t="shared" si="1912"/>
        <v>827.47799047321973</v>
      </c>
      <c r="K1711" s="3">
        <f t="shared" si="1912"/>
        <v>763.57240437407609</v>
      </c>
      <c r="L1711" s="3">
        <f t="shared" ref="L1711:O1711" si="1913">SUM(L1712:L1713,L1730,L1739:L1740,L1741,L1742,L1747,L1750,,L1755:L1758,L1751)</f>
        <v>712.23738905700554</v>
      </c>
      <c r="M1711" s="3">
        <f t="shared" si="1913"/>
        <v>728.43962143337524</v>
      </c>
      <c r="N1711" s="3">
        <f t="shared" si="1913"/>
        <v>727.91379927017465</v>
      </c>
      <c r="O1711" s="3">
        <f t="shared" si="1913"/>
        <v>740.52602254521753</v>
      </c>
      <c r="P1711" s="3">
        <f>SUM(P1712:P1713,P1730,P1739:P1740,P1741,P1742,P1747,P1750,,P1755:P1758,P1751)</f>
        <v>747.25649944169015</v>
      </c>
      <c r="Q1711" s="3">
        <f>SUM(Q1712:Q1713,Q1730,Q1739:Q1740,Q1741,Q1742,Q1747,Q1750,,Q1755:Q1758,Q1751)</f>
        <v>748.43029096376119</v>
      </c>
      <c r="S1711" s="3"/>
    </row>
    <row r="1712" spans="2:19" x14ac:dyDescent="0.5">
      <c r="B1712" t="str">
        <f>B1711</f>
        <v>SPS1</v>
      </c>
      <c r="C1712" t="str">
        <f t="shared" ref="C1712" si="1914">C1711</f>
        <v>CH</v>
      </c>
      <c r="D1712" t="s">
        <v>1738</v>
      </c>
      <c r="E1712" t="str">
        <f>E1711</f>
        <v>PJ/yr.</v>
      </c>
      <c r="F1712" s="1">
        <f t="shared" ref="F1712:K1722" si="1915">F21</f>
        <v>3.6600027171533558</v>
      </c>
      <c r="G1712" s="1">
        <f t="shared" si="1915"/>
        <v>3.5647171154280226</v>
      </c>
      <c r="H1712" s="1">
        <f t="shared" si="1915"/>
        <v>0.420083163939035</v>
      </c>
      <c r="I1712" s="1">
        <f t="shared" si="1915"/>
        <v>4.5313440419409172E-4</v>
      </c>
      <c r="J1712" s="1">
        <f t="shared" si="1915"/>
        <v>1.9458345971381776E-4</v>
      </c>
      <c r="K1712" s="1">
        <f t="shared" si="1915"/>
        <v>4.4756187060252667E-4</v>
      </c>
      <c r="L1712" s="1">
        <f t="shared" ref="L1712:O1712" si="1916">L21</f>
        <v>2.4833471305746454E-4</v>
      </c>
      <c r="M1712" s="1">
        <f t="shared" si="1916"/>
        <v>1.3539546899122407E-4</v>
      </c>
      <c r="N1712" s="1">
        <f t="shared" si="1916"/>
        <v>1.7459226397307631E-4</v>
      </c>
      <c r="O1712" s="1">
        <f t="shared" si="1916"/>
        <v>1.0812452154167788E-4</v>
      </c>
      <c r="P1712" s="1">
        <f t="shared" ref="P1712:Q1722" si="1917">P21</f>
        <v>1.2081901141235386E-4</v>
      </c>
      <c r="Q1712" s="1">
        <f t="shared" si="1917"/>
        <v>5.439723489651046E-5</v>
      </c>
      <c r="S1712" s="3"/>
    </row>
    <row r="1713" spans="2:19" x14ac:dyDescent="0.5">
      <c r="B1713" t="str">
        <f t="shared" ref="B1713:B1765" si="1918">B1712</f>
        <v>SPS1</v>
      </c>
      <c r="C1713" t="str">
        <f t="shared" ref="C1713:C1765" si="1919">C1712</f>
        <v>CH</v>
      </c>
      <c r="D1713" t="s">
        <v>1739</v>
      </c>
      <c r="E1713" t="str">
        <f t="shared" ref="E1713:E1741" si="1920">E1712</f>
        <v>PJ/yr.</v>
      </c>
      <c r="F1713" s="1">
        <f t="shared" si="1915"/>
        <v>310.63218365029053</v>
      </c>
      <c r="G1713" s="1">
        <f t="shared" si="1915"/>
        <v>286.95905649305058</v>
      </c>
      <c r="H1713" s="1">
        <f t="shared" si="1915"/>
        <v>270.27639749668123</v>
      </c>
      <c r="I1713" s="1">
        <f t="shared" si="1915"/>
        <v>196.23370222735963</v>
      </c>
      <c r="J1713" s="1">
        <f t="shared" si="1915"/>
        <v>125.90033586853475</v>
      </c>
      <c r="K1713" s="1">
        <f t="shared" si="1915"/>
        <v>102.82455829019884</v>
      </c>
      <c r="L1713" s="1">
        <f t="shared" ref="L1713:O1713" si="1921">L22</f>
        <v>108.8034804556481</v>
      </c>
      <c r="M1713" s="1">
        <f t="shared" si="1921"/>
        <v>111.42061844038035</v>
      </c>
      <c r="N1713" s="1">
        <f t="shared" si="1921"/>
        <v>109.25925819622024</v>
      </c>
      <c r="O1713" s="1">
        <f t="shared" si="1921"/>
        <v>107.55588246942081</v>
      </c>
      <c r="P1713" s="1">
        <f t="shared" si="1917"/>
        <v>107.04788296783742</v>
      </c>
      <c r="Q1713" s="1">
        <f t="shared" si="1917"/>
        <v>103.4234473141136</v>
      </c>
      <c r="S1713" s="3"/>
    </row>
    <row r="1714" spans="2:19" x14ac:dyDescent="0.5">
      <c r="B1714" t="str">
        <f t="shared" si="1918"/>
        <v>SPS1</v>
      </c>
      <c r="C1714" t="str">
        <f t="shared" si="1919"/>
        <v>CH</v>
      </c>
      <c r="D1714" t="s">
        <v>1740</v>
      </c>
      <c r="E1714" t="str">
        <f t="shared" si="1920"/>
        <v>PJ/yr.</v>
      </c>
      <c r="F1714" s="1">
        <f t="shared" si="1915"/>
        <v>303.91510701817833</v>
      </c>
      <c r="G1714" s="1">
        <f t="shared" si="1915"/>
        <v>280.1824287218206</v>
      </c>
      <c r="H1714" s="1">
        <f t="shared" si="1915"/>
        <v>261.854098806038</v>
      </c>
      <c r="I1714" s="1">
        <f t="shared" si="1915"/>
        <v>183.57574852285421</v>
      </c>
      <c r="J1714" s="1">
        <f t="shared" si="1915"/>
        <v>101.59426431625297</v>
      </c>
      <c r="K1714" s="1">
        <f t="shared" si="1915"/>
        <v>58.931496393993896</v>
      </c>
      <c r="L1714" s="1">
        <f t="shared" ref="L1714:O1714" si="1922">L23</f>
        <v>30.207105174071835</v>
      </c>
      <c r="M1714" s="1">
        <f t="shared" si="1922"/>
        <v>0</v>
      </c>
      <c r="N1714" s="1">
        <f t="shared" si="1922"/>
        <v>0.24074332796163417</v>
      </c>
      <c r="O1714" s="1">
        <f t="shared" si="1922"/>
        <v>0.20838013720186357</v>
      </c>
      <c r="P1714" s="1">
        <f t="shared" si="1917"/>
        <v>0.14350937001925518</v>
      </c>
      <c r="Q1714" s="1">
        <f t="shared" si="1917"/>
        <v>0.11360553153882696</v>
      </c>
      <c r="S1714" s="3"/>
    </row>
    <row r="1715" spans="2:19" x14ac:dyDescent="0.5">
      <c r="B1715" t="str">
        <f t="shared" si="1918"/>
        <v>SPS1</v>
      </c>
      <c r="C1715" t="str">
        <f t="shared" si="1919"/>
        <v>CH</v>
      </c>
      <c r="D1715" t="s">
        <v>1741</v>
      </c>
      <c r="E1715" t="str">
        <f t="shared" si="1920"/>
        <v>PJ/yr.</v>
      </c>
      <c r="F1715" s="1">
        <f t="shared" si="1915"/>
        <v>101.72618890835437</v>
      </c>
      <c r="G1715" s="1">
        <f t="shared" si="1915"/>
        <v>88.407900275226879</v>
      </c>
      <c r="H1715" s="1">
        <f t="shared" si="1915"/>
        <v>85.060353182815732</v>
      </c>
      <c r="I1715" s="1">
        <f t="shared" si="1915"/>
        <v>69.425375331099971</v>
      </c>
      <c r="J1715" s="1">
        <f t="shared" si="1915"/>
        <v>40.792476439785531</v>
      </c>
      <c r="K1715" s="1">
        <f t="shared" si="1915"/>
        <v>22.646639215851042</v>
      </c>
      <c r="L1715" s="1">
        <f t="shared" ref="L1715:O1715" si="1923">L24</f>
        <v>14.715863039502915</v>
      </c>
      <c r="M1715" s="1">
        <f t="shared" si="1923"/>
        <v>0</v>
      </c>
      <c r="N1715" s="1">
        <f t="shared" si="1923"/>
        <v>3.4103460429854055E-3</v>
      </c>
      <c r="O1715" s="1">
        <f t="shared" si="1923"/>
        <v>4.1413415083224802E-3</v>
      </c>
      <c r="P1715" s="1">
        <f t="shared" si="1917"/>
        <v>2.519798143590872E-3</v>
      </c>
      <c r="Q1715" s="1">
        <f t="shared" si="1917"/>
        <v>4.8732739969425754E-3</v>
      </c>
      <c r="S1715" s="3"/>
    </row>
    <row r="1716" spans="2:19" x14ac:dyDescent="0.5">
      <c r="B1716" t="str">
        <f t="shared" si="1918"/>
        <v>SPS1</v>
      </c>
      <c r="C1716" t="str">
        <f t="shared" si="1919"/>
        <v>CH</v>
      </c>
      <c r="D1716" t="s">
        <v>1742</v>
      </c>
      <c r="E1716" t="str">
        <f t="shared" si="1920"/>
        <v>PJ/yr.</v>
      </c>
      <c r="F1716" s="1">
        <f t="shared" si="1915"/>
        <v>2.7763697185763672</v>
      </c>
      <c r="G1716" s="1">
        <f t="shared" si="1915"/>
        <v>2.5696996007109654</v>
      </c>
      <c r="H1716" s="1">
        <f t="shared" si="1915"/>
        <v>9.5651128817138904E-4</v>
      </c>
      <c r="I1716" s="1">
        <f t="shared" si="1915"/>
        <v>1.3485608168338178E-4</v>
      </c>
      <c r="J1716" s="1">
        <f t="shared" si="1915"/>
        <v>8.6247789699631428E-5</v>
      </c>
      <c r="K1716" s="1">
        <f t="shared" si="1915"/>
        <v>5.6610958923620884E-4</v>
      </c>
      <c r="L1716" s="1">
        <f t="shared" ref="L1716:O1716" si="1924">L25</f>
        <v>3.469003049755275E-4</v>
      </c>
      <c r="M1716" s="1">
        <f t="shared" si="1924"/>
        <v>0</v>
      </c>
      <c r="N1716" s="1">
        <f t="shared" si="1924"/>
        <v>0</v>
      </c>
      <c r="O1716" s="1">
        <f t="shared" si="1924"/>
        <v>0</v>
      </c>
      <c r="P1716" s="1">
        <f t="shared" si="1917"/>
        <v>0</v>
      </c>
      <c r="Q1716" s="1">
        <f t="shared" si="1917"/>
        <v>0</v>
      </c>
      <c r="S1716" s="3"/>
    </row>
    <row r="1717" spans="2:19" x14ac:dyDescent="0.5">
      <c r="B1717" t="str">
        <f t="shared" si="1918"/>
        <v>SPS1</v>
      </c>
      <c r="C1717" t="str">
        <f t="shared" si="1919"/>
        <v>CH</v>
      </c>
      <c r="D1717" t="s">
        <v>1743</v>
      </c>
      <c r="E1717" t="str">
        <f t="shared" si="1920"/>
        <v>PJ/yr.</v>
      </c>
      <c r="F1717" s="1">
        <f t="shared" si="1915"/>
        <v>118.55623694111289</v>
      </c>
      <c r="G1717" s="1">
        <f t="shared" si="1915"/>
        <v>111.84348601871493</v>
      </c>
      <c r="H1717" s="1">
        <f t="shared" si="1915"/>
        <v>95.774516670285593</v>
      </c>
      <c r="I1717" s="1">
        <f t="shared" si="1915"/>
        <v>63.189772133587162</v>
      </c>
      <c r="J1717" s="1">
        <f t="shared" si="1915"/>
        <v>36.66726466022839</v>
      </c>
      <c r="K1717" s="1">
        <f t="shared" si="1915"/>
        <v>24.221482490402536</v>
      </c>
      <c r="L1717" s="1">
        <f t="shared" ref="L1717:O1717" si="1925">L26</f>
        <v>10.52084609400768</v>
      </c>
      <c r="M1717" s="1">
        <f t="shared" si="1925"/>
        <v>0</v>
      </c>
      <c r="N1717" s="1">
        <f t="shared" si="1925"/>
        <v>7.1954838511752907E-5</v>
      </c>
      <c r="O1717" s="1">
        <f t="shared" si="1925"/>
        <v>1.0843007333143511E-4</v>
      </c>
      <c r="P1717" s="1">
        <f t="shared" si="1917"/>
        <v>9.6454033921572686E-5</v>
      </c>
      <c r="Q1717" s="1">
        <f t="shared" si="1917"/>
        <v>1.5285381251715755E-4</v>
      </c>
      <c r="S1717" s="3"/>
    </row>
    <row r="1718" spans="2:19" x14ac:dyDescent="0.5">
      <c r="B1718" t="str">
        <f t="shared" si="1918"/>
        <v>SPS1</v>
      </c>
      <c r="C1718" t="str">
        <f t="shared" si="1919"/>
        <v>CH</v>
      </c>
      <c r="D1718" t="s">
        <v>1744</v>
      </c>
      <c r="E1718" t="str">
        <f t="shared" si="1920"/>
        <v>PJ/yr.</v>
      </c>
      <c r="F1718" s="1">
        <f t="shared" si="1915"/>
        <v>79.747270143165935</v>
      </c>
      <c r="G1718" s="1">
        <f t="shared" si="1915"/>
        <v>75.956133978407706</v>
      </c>
      <c r="H1718" s="1">
        <f t="shared" si="1915"/>
        <v>79.1697486066778</v>
      </c>
      <c r="I1718" s="1">
        <f t="shared" si="1915"/>
        <v>48.388233258729166</v>
      </c>
      <c r="J1718" s="1">
        <f t="shared" si="1915"/>
        <v>21.764786610094884</v>
      </c>
      <c r="K1718" s="1">
        <f t="shared" si="1915"/>
        <v>9.9108173613557131</v>
      </c>
      <c r="L1718" s="1">
        <f t="shared" ref="L1718:O1718" si="1926">L27</f>
        <v>3.0391602049200692</v>
      </c>
      <c r="M1718" s="1">
        <f t="shared" si="1926"/>
        <v>0</v>
      </c>
      <c r="N1718" s="1">
        <f t="shared" si="1926"/>
        <v>0.23719815962397739</v>
      </c>
      <c r="O1718" s="1">
        <f t="shared" si="1926"/>
        <v>0.20403382774516096</v>
      </c>
      <c r="P1718" s="1">
        <f t="shared" si="1917"/>
        <v>0.14080503807552044</v>
      </c>
      <c r="Q1718" s="1">
        <f t="shared" si="1917"/>
        <v>0.10843843011617524</v>
      </c>
      <c r="S1718" s="3"/>
    </row>
    <row r="1719" spans="2:19" x14ac:dyDescent="0.5">
      <c r="B1719" t="str">
        <f t="shared" si="1918"/>
        <v>SPS1</v>
      </c>
      <c r="C1719" t="str">
        <f t="shared" si="1919"/>
        <v>CH</v>
      </c>
      <c r="D1719" t="s">
        <v>1745</v>
      </c>
      <c r="E1719" t="str">
        <f t="shared" si="1920"/>
        <v>PJ/yr.</v>
      </c>
      <c r="F1719" s="1">
        <f t="shared" si="1915"/>
        <v>1.1090413069687741</v>
      </c>
      <c r="G1719" s="1">
        <f t="shared" si="1915"/>
        <v>1.4052088487601344</v>
      </c>
      <c r="H1719" s="1">
        <f t="shared" si="1915"/>
        <v>1.8485238349707345</v>
      </c>
      <c r="I1719" s="1">
        <f t="shared" si="1915"/>
        <v>2.5722329433562381</v>
      </c>
      <c r="J1719" s="1">
        <f t="shared" si="1915"/>
        <v>2.3696503583544599</v>
      </c>
      <c r="K1719" s="1">
        <f t="shared" si="1915"/>
        <v>2.1519912167953663</v>
      </c>
      <c r="L1719" s="1">
        <f t="shared" ref="L1719:O1719" si="1927">L28</f>
        <v>1.9308889353361962</v>
      </c>
      <c r="M1719" s="1">
        <f t="shared" si="1927"/>
        <v>0</v>
      </c>
      <c r="N1719" s="1">
        <f t="shared" si="1927"/>
        <v>6.2867456159622858E-5</v>
      </c>
      <c r="O1719" s="1">
        <f t="shared" si="1927"/>
        <v>9.6537875048712459E-5</v>
      </c>
      <c r="P1719" s="1">
        <f t="shared" si="1917"/>
        <v>8.8079766222308266E-5</v>
      </c>
      <c r="Q1719" s="1">
        <f t="shared" si="1917"/>
        <v>1.4097361319199427E-4</v>
      </c>
      <c r="S1719" s="3"/>
    </row>
    <row r="1720" spans="2:19" x14ac:dyDescent="0.5">
      <c r="B1720" t="str">
        <f t="shared" si="1918"/>
        <v>SPS1</v>
      </c>
      <c r="C1720" t="str">
        <f t="shared" si="1919"/>
        <v>CH</v>
      </c>
      <c r="D1720" t="s">
        <v>1746</v>
      </c>
      <c r="E1720" t="str">
        <f t="shared" si="1920"/>
        <v>PJ/yr.</v>
      </c>
      <c r="F1720" s="1">
        <f t="shared" si="1915"/>
        <v>6.7170766321121986</v>
      </c>
      <c r="G1720" s="1">
        <f t="shared" si="1915"/>
        <v>6.7766277712299594</v>
      </c>
      <c r="H1720" s="1">
        <f t="shared" si="1915"/>
        <v>8.4222986906432542</v>
      </c>
      <c r="I1720" s="1">
        <f t="shared" si="1915"/>
        <v>12.657953704505417</v>
      </c>
      <c r="J1720" s="1">
        <f t="shared" si="1915"/>
        <v>24.306071552281775</v>
      </c>
      <c r="K1720" s="1">
        <f t="shared" si="1915"/>
        <v>43.893061896204934</v>
      </c>
      <c r="L1720" s="1">
        <f t="shared" ref="L1720:O1720" si="1928">L29</f>
        <v>78.596375281576272</v>
      </c>
      <c r="M1720" s="1">
        <f t="shared" si="1928"/>
        <v>111.42061844038035</v>
      </c>
      <c r="N1720" s="1">
        <f t="shared" si="1928"/>
        <v>109.01851486825861</v>
      </c>
      <c r="O1720" s="1">
        <f t="shared" si="1928"/>
        <v>107.34750233221895</v>
      </c>
      <c r="P1720" s="1">
        <f t="shared" si="1917"/>
        <v>106.90437359781816</v>
      </c>
      <c r="Q1720" s="1">
        <f t="shared" si="1917"/>
        <v>103.30984178257478</v>
      </c>
      <c r="S1720" s="3"/>
    </row>
    <row r="1721" spans="2:19" x14ac:dyDescent="0.5">
      <c r="B1721" t="str">
        <f t="shared" si="1918"/>
        <v>SPS1</v>
      </c>
      <c r="C1721" t="str">
        <f t="shared" si="1919"/>
        <v>CH</v>
      </c>
      <c r="D1721" t="s">
        <v>1747</v>
      </c>
      <c r="E1721" t="str">
        <f t="shared" si="1920"/>
        <v>PJ/yr.</v>
      </c>
      <c r="F1721" s="1">
        <f t="shared" si="1915"/>
        <v>2.2825869504206526</v>
      </c>
      <c r="G1721" s="1">
        <f t="shared" si="1915"/>
        <v>2.3780065235291246</v>
      </c>
      <c r="H1721" s="1">
        <f t="shared" si="1915"/>
        <v>4.0211572587048403</v>
      </c>
      <c r="I1721" s="1">
        <f t="shared" si="1915"/>
        <v>4.539143851500536</v>
      </c>
      <c r="J1721" s="1">
        <f t="shared" si="1915"/>
        <v>4.4639390210607459</v>
      </c>
      <c r="K1721" s="1">
        <f t="shared" si="1915"/>
        <v>4.4630559458893941</v>
      </c>
      <c r="L1721" s="1">
        <f t="shared" ref="L1721:O1721" si="1929">L30</f>
        <v>5.3780055063461418</v>
      </c>
      <c r="M1721" s="1">
        <f t="shared" si="1929"/>
        <v>14.065165093376905</v>
      </c>
      <c r="N1721" s="1">
        <f t="shared" si="1929"/>
        <v>11.934751218092913</v>
      </c>
      <c r="O1721" s="1">
        <f t="shared" si="1929"/>
        <v>9.6134020318277607</v>
      </c>
      <c r="P1721" s="1">
        <f t="shared" si="1917"/>
        <v>7.7248005846945631</v>
      </c>
      <c r="Q1721" s="1">
        <f t="shared" si="1917"/>
        <v>2.8156685735366835</v>
      </c>
      <c r="S1721" s="3"/>
    </row>
    <row r="1722" spans="2:19" x14ac:dyDescent="0.5">
      <c r="B1722" t="str">
        <f t="shared" si="1918"/>
        <v>SPS1</v>
      </c>
      <c r="C1722" t="str">
        <f t="shared" si="1919"/>
        <v>CH</v>
      </c>
      <c r="D1722" t="s">
        <v>1748</v>
      </c>
      <c r="E1722" t="str">
        <f t="shared" si="1920"/>
        <v>PJ/yr.</v>
      </c>
      <c r="F1722" s="1">
        <f t="shared" si="1915"/>
        <v>4.4341501764852902</v>
      </c>
      <c r="G1722" s="1">
        <f t="shared" si="1915"/>
        <v>4.3986150509514648</v>
      </c>
      <c r="H1722" s="1">
        <f t="shared" si="1915"/>
        <v>4.4007122582828719</v>
      </c>
      <c r="I1722" s="1">
        <f t="shared" si="1915"/>
        <v>2.8028210647303418</v>
      </c>
      <c r="J1722" s="1">
        <f t="shared" si="1915"/>
        <v>1.329586983424039</v>
      </c>
      <c r="K1722" s="1">
        <f t="shared" si="1915"/>
        <v>0.58318468156248027</v>
      </c>
      <c r="L1722" s="1">
        <f t="shared" ref="L1722:O1722" si="1930">L31</f>
        <v>4.5562319989739004</v>
      </c>
      <c r="M1722" s="1">
        <f t="shared" si="1930"/>
        <v>1.8114727970429347</v>
      </c>
      <c r="N1722" s="1">
        <f t="shared" si="1930"/>
        <v>1.7209245769463317</v>
      </c>
      <c r="O1722" s="1">
        <f t="shared" si="1930"/>
        <v>1.4772210618038544</v>
      </c>
      <c r="P1722" s="1">
        <f t="shared" si="1917"/>
        <v>1.355612009213786</v>
      </c>
      <c r="Q1722" s="1">
        <f t="shared" si="1917"/>
        <v>1.0906764453351792</v>
      </c>
      <c r="S1722" s="3"/>
    </row>
    <row r="1723" spans="2:19" x14ac:dyDescent="0.5">
      <c r="B1723" t="str">
        <f t="shared" si="1918"/>
        <v>SPS1</v>
      </c>
      <c r="C1723" t="str">
        <f t="shared" si="1919"/>
        <v>CH</v>
      </c>
      <c r="D1723" t="s">
        <v>1749</v>
      </c>
      <c r="E1723" t="str">
        <f t="shared" si="1920"/>
        <v>PJ/yr.</v>
      </c>
      <c r="F1723" s="1">
        <f t="shared" ref="F1723:K1725" si="1931">F33</f>
        <v>6.7170766321121986</v>
      </c>
      <c r="G1723" s="1">
        <f t="shared" si="1931"/>
        <v>6.7766277712299594</v>
      </c>
      <c r="H1723" s="1">
        <f t="shared" si="1931"/>
        <v>8.4222986906432542</v>
      </c>
      <c r="I1723" s="1">
        <f t="shared" si="1931"/>
        <v>12.657953704505417</v>
      </c>
      <c r="J1723" s="1">
        <f t="shared" si="1931"/>
        <v>11.109514792759324</v>
      </c>
      <c r="K1723" s="1">
        <f t="shared" si="1931"/>
        <v>23.558786175248862</v>
      </c>
      <c r="L1723" s="1">
        <f t="shared" ref="L1723:O1723" si="1932">L33</f>
        <v>47.786677378536467</v>
      </c>
      <c r="M1723" s="1">
        <f t="shared" si="1932"/>
        <v>75.851616079645311</v>
      </c>
      <c r="N1723" s="1">
        <f t="shared" si="1932"/>
        <v>109.01851486825861</v>
      </c>
      <c r="O1723" s="1">
        <f t="shared" si="1932"/>
        <v>106.63460364359213</v>
      </c>
      <c r="P1723" s="1">
        <f t="shared" ref="P1723:Q1725" si="1933">P33</f>
        <v>105.33729183249568</v>
      </c>
      <c r="Q1723" s="1">
        <f t="shared" si="1933"/>
        <v>101.73030602278168</v>
      </c>
      <c r="S1723" s="3"/>
    </row>
    <row r="1724" spans="2:19" x14ac:dyDescent="0.5">
      <c r="B1724" t="str">
        <f t="shared" si="1918"/>
        <v>SPS1</v>
      </c>
      <c r="C1724" t="str">
        <f t="shared" si="1919"/>
        <v>CH</v>
      </c>
      <c r="D1724" t="s">
        <v>1750</v>
      </c>
      <c r="E1724" t="str">
        <f t="shared" si="1920"/>
        <v>PJ/yr.</v>
      </c>
      <c r="F1724" s="1">
        <f t="shared" si="1931"/>
        <v>2.2825869504206526</v>
      </c>
      <c r="G1724" s="1">
        <f t="shared" si="1931"/>
        <v>2.3780065235291246</v>
      </c>
      <c r="H1724" s="1">
        <f t="shared" si="1931"/>
        <v>4.0211572587048403</v>
      </c>
      <c r="I1724" s="1">
        <f t="shared" si="1931"/>
        <v>4.539143851500536</v>
      </c>
      <c r="J1724" s="1">
        <f t="shared" si="1931"/>
        <v>4.4639390210607459</v>
      </c>
      <c r="K1724" s="1">
        <f t="shared" si="1931"/>
        <v>4.4630559458893941</v>
      </c>
      <c r="L1724" s="1">
        <f t="shared" ref="L1724:O1724" si="1934">L34</f>
        <v>4.539143851500536</v>
      </c>
      <c r="M1724" s="1">
        <f t="shared" si="1934"/>
        <v>5.3780055063461418</v>
      </c>
      <c r="N1724" s="1">
        <f t="shared" si="1934"/>
        <v>11.934751218092913</v>
      </c>
      <c r="O1724" s="1">
        <f t="shared" si="1934"/>
        <v>9.6134020318277607</v>
      </c>
      <c r="P1724" s="1">
        <f t="shared" si="1933"/>
        <v>7.7248005846945631</v>
      </c>
      <c r="Q1724" s="1">
        <f t="shared" si="1933"/>
        <v>2.8156685735366835</v>
      </c>
      <c r="S1724" s="3"/>
    </row>
    <row r="1725" spans="2:19" x14ac:dyDescent="0.5">
      <c r="B1725" t="str">
        <f t="shared" si="1918"/>
        <v>SPS1</v>
      </c>
      <c r="C1725" t="str">
        <f t="shared" si="1919"/>
        <v>CH</v>
      </c>
      <c r="D1725" t="s">
        <v>1751</v>
      </c>
      <c r="E1725" t="str">
        <f t="shared" si="1920"/>
        <v>PJ/yr.</v>
      </c>
      <c r="F1725" s="1">
        <f t="shared" si="1931"/>
        <v>4.4341501764852902</v>
      </c>
      <c r="G1725" s="1">
        <f t="shared" si="1931"/>
        <v>4.3986150509514648</v>
      </c>
      <c r="H1725" s="1">
        <f t="shared" si="1931"/>
        <v>4.4007122582828719</v>
      </c>
      <c r="I1725" s="1">
        <f t="shared" si="1931"/>
        <v>2.8028210647303418</v>
      </c>
      <c r="J1725" s="1">
        <f t="shared" si="1931"/>
        <v>1.329586983424039</v>
      </c>
      <c r="K1725" s="1">
        <f t="shared" si="1931"/>
        <v>0.58318468156248027</v>
      </c>
      <c r="L1725" s="1">
        <f t="shared" ref="L1725:O1725" si="1935">L35</f>
        <v>4.4007122582828719</v>
      </c>
      <c r="M1725" s="1">
        <f t="shared" si="1935"/>
        <v>1.8114727970429347</v>
      </c>
      <c r="N1725" s="1">
        <f t="shared" si="1935"/>
        <v>1.7209245769463317</v>
      </c>
      <c r="O1725" s="1">
        <f t="shared" si="1935"/>
        <v>1.4772210618038544</v>
      </c>
      <c r="P1725" s="1">
        <f t="shared" si="1933"/>
        <v>1.355612009213786</v>
      </c>
      <c r="Q1725" s="1">
        <f t="shared" si="1933"/>
        <v>1.0906764453351792</v>
      </c>
      <c r="S1725" s="3"/>
    </row>
    <row r="1726" spans="2:19" x14ac:dyDescent="0.5">
      <c r="B1726" t="str">
        <f t="shared" si="1918"/>
        <v>SPS1</v>
      </c>
      <c r="C1726" t="str">
        <f t="shared" si="1919"/>
        <v>CH</v>
      </c>
      <c r="D1726" t="s">
        <v>1752</v>
      </c>
      <c r="E1726" t="str">
        <f t="shared" si="1920"/>
        <v>PJ/yr.</v>
      </c>
      <c r="F1726" s="1">
        <f t="shared" ref="F1726:K1739" si="1936">F37</f>
        <v>0</v>
      </c>
      <c r="G1726" s="1">
        <f t="shared" si="1936"/>
        <v>0</v>
      </c>
      <c r="H1726" s="1">
        <f t="shared" si="1936"/>
        <v>0</v>
      </c>
      <c r="I1726" s="1">
        <f t="shared" si="1936"/>
        <v>0</v>
      </c>
      <c r="J1726" s="1">
        <f t="shared" si="1936"/>
        <v>13.196556759522451</v>
      </c>
      <c r="K1726" s="1">
        <f t="shared" si="1936"/>
        <v>20.334275720956072</v>
      </c>
      <c r="L1726" s="1">
        <f t="shared" ref="L1726:O1726" si="1937">L37</f>
        <v>30.809697903039805</v>
      </c>
      <c r="M1726" s="1">
        <f t="shared" si="1937"/>
        <v>35.569002360735041</v>
      </c>
      <c r="N1726" s="1">
        <f t="shared" si="1937"/>
        <v>0</v>
      </c>
      <c r="O1726" s="1">
        <f t="shared" si="1937"/>
        <v>0.71289868862682226</v>
      </c>
      <c r="P1726" s="1">
        <f t="shared" ref="P1726:Q1739" si="1938">P37</f>
        <v>1.5670817653224844</v>
      </c>
      <c r="Q1726" s="1">
        <f t="shared" si="1938"/>
        <v>1.579535759793103</v>
      </c>
      <c r="S1726" s="3"/>
    </row>
    <row r="1727" spans="2:19" x14ac:dyDescent="0.5">
      <c r="B1727" t="str">
        <f t="shared" si="1918"/>
        <v>SPS1</v>
      </c>
      <c r="C1727" t="str">
        <f t="shared" si="1919"/>
        <v>CH</v>
      </c>
      <c r="D1727" t="s">
        <v>1753</v>
      </c>
      <c r="E1727" t="str">
        <f t="shared" si="1920"/>
        <v>PJ/yr.</v>
      </c>
      <c r="F1727" s="1">
        <f t="shared" si="1936"/>
        <v>0</v>
      </c>
      <c r="G1727" s="1">
        <f t="shared" si="1936"/>
        <v>0</v>
      </c>
      <c r="H1727" s="1">
        <f t="shared" si="1936"/>
        <v>0</v>
      </c>
      <c r="I1727" s="1">
        <f t="shared" si="1936"/>
        <v>0</v>
      </c>
      <c r="J1727" s="1">
        <f t="shared" si="1936"/>
        <v>0</v>
      </c>
      <c r="K1727" s="1">
        <f t="shared" si="1936"/>
        <v>0</v>
      </c>
      <c r="L1727" s="1">
        <f t="shared" ref="L1727:O1727" si="1939">L38</f>
        <v>0.83886165484560582</v>
      </c>
      <c r="M1727" s="1">
        <f t="shared" si="1939"/>
        <v>8.687159587030763</v>
      </c>
      <c r="N1727" s="1">
        <f t="shared" si="1939"/>
        <v>0</v>
      </c>
      <c r="O1727" s="1">
        <f t="shared" si="1939"/>
        <v>0</v>
      </c>
      <c r="P1727" s="1">
        <f t="shared" si="1938"/>
        <v>0</v>
      </c>
      <c r="Q1727" s="1">
        <f t="shared" si="1938"/>
        <v>0</v>
      </c>
      <c r="S1727" s="3"/>
    </row>
    <row r="1728" spans="2:19" x14ac:dyDescent="0.5">
      <c r="B1728" t="str">
        <f t="shared" si="1918"/>
        <v>SPS1</v>
      </c>
      <c r="C1728" t="str">
        <f t="shared" si="1919"/>
        <v>CH</v>
      </c>
      <c r="D1728" t="s">
        <v>1754</v>
      </c>
      <c r="E1728" t="str">
        <f t="shared" si="1920"/>
        <v>PJ/yr.</v>
      </c>
      <c r="F1728" s="1">
        <f t="shared" si="1936"/>
        <v>0</v>
      </c>
      <c r="G1728" s="1">
        <f t="shared" si="1936"/>
        <v>0</v>
      </c>
      <c r="H1728" s="1">
        <f t="shared" si="1936"/>
        <v>0</v>
      </c>
      <c r="I1728" s="1">
        <f t="shared" si="1936"/>
        <v>0</v>
      </c>
      <c r="J1728" s="1">
        <f t="shared" si="1936"/>
        <v>0</v>
      </c>
      <c r="K1728" s="1">
        <f t="shared" si="1936"/>
        <v>0</v>
      </c>
      <c r="L1728" s="1">
        <f t="shared" ref="L1728:O1728" si="1940">L39</f>
        <v>0.15551974069102847</v>
      </c>
      <c r="M1728" s="1">
        <f t="shared" si="1940"/>
        <v>0</v>
      </c>
      <c r="N1728" s="1">
        <f t="shared" si="1940"/>
        <v>0</v>
      </c>
      <c r="O1728" s="1">
        <f t="shared" si="1940"/>
        <v>0</v>
      </c>
      <c r="P1728" s="1">
        <f t="shared" si="1938"/>
        <v>0</v>
      </c>
      <c r="Q1728" s="1">
        <f t="shared" si="1938"/>
        <v>0</v>
      </c>
      <c r="S1728" s="3"/>
    </row>
    <row r="1729" spans="2:19" x14ac:dyDescent="0.5">
      <c r="B1729" t="str">
        <f t="shared" si="1918"/>
        <v>SPS1</v>
      </c>
      <c r="C1729" t="str">
        <f t="shared" si="1919"/>
        <v>CH</v>
      </c>
      <c r="D1729" t="s">
        <v>1755</v>
      </c>
      <c r="E1729" t="str">
        <f t="shared" si="1920"/>
        <v>PJ/yr.</v>
      </c>
      <c r="F1729" s="1">
        <f t="shared" si="1936"/>
        <v>0</v>
      </c>
      <c r="G1729" s="1">
        <f t="shared" si="1936"/>
        <v>0</v>
      </c>
      <c r="H1729" s="1">
        <f t="shared" si="1936"/>
        <v>0</v>
      </c>
      <c r="I1729" s="1">
        <f t="shared" si="1936"/>
        <v>0</v>
      </c>
      <c r="J1729" s="1">
        <f t="shared" si="1936"/>
        <v>13.196556759522451</v>
      </c>
      <c r="K1729" s="1">
        <f t="shared" si="1936"/>
        <v>20.334275720956072</v>
      </c>
      <c r="L1729" s="1">
        <f t="shared" ref="L1729:O1729" si="1941">L40</f>
        <v>29.815316507503169</v>
      </c>
      <c r="M1729" s="1">
        <f t="shared" si="1941"/>
        <v>26.881842773704278</v>
      </c>
      <c r="N1729" s="1">
        <f t="shared" si="1941"/>
        <v>0</v>
      </c>
      <c r="O1729" s="1">
        <f t="shared" si="1941"/>
        <v>0.71289868862682226</v>
      </c>
      <c r="P1729" s="1">
        <f t="shared" si="1938"/>
        <v>1.5670817653224844</v>
      </c>
      <c r="Q1729" s="1">
        <f t="shared" si="1938"/>
        <v>1.579535759793103</v>
      </c>
      <c r="S1729" s="3"/>
    </row>
    <row r="1730" spans="2:19" x14ac:dyDescent="0.5">
      <c r="B1730" t="str">
        <f t="shared" si="1918"/>
        <v>SPS1</v>
      </c>
      <c r="C1730" t="str">
        <f t="shared" si="1919"/>
        <v>CH</v>
      </c>
      <c r="D1730" t="s">
        <v>1756</v>
      </c>
      <c r="E1730" t="str">
        <f t="shared" si="1920"/>
        <v>PJ/yr.</v>
      </c>
      <c r="F1730" s="1">
        <f t="shared" si="1936"/>
        <v>116.98283025509825</v>
      </c>
      <c r="G1730" s="1">
        <f t="shared" si="1936"/>
        <v>107.2365005379245</v>
      </c>
      <c r="H1730" s="1">
        <f t="shared" si="1936"/>
        <v>112.67849960064441</v>
      </c>
      <c r="I1730" s="1">
        <f t="shared" si="1936"/>
        <v>109.82374572626647</v>
      </c>
      <c r="J1730" s="1">
        <f t="shared" si="1936"/>
        <v>97.575561287449318</v>
      </c>
      <c r="K1730" s="1">
        <f t="shared" si="1936"/>
        <v>99.776273094689913</v>
      </c>
      <c r="L1730" s="1">
        <f t="shared" ref="L1730:O1730" si="1942">L41</f>
        <v>84.459310157538937</v>
      </c>
      <c r="M1730" s="1">
        <f t="shared" si="1942"/>
        <v>36.452234755195306</v>
      </c>
      <c r="N1730" s="1">
        <f t="shared" si="1942"/>
        <v>34.869987644091566</v>
      </c>
      <c r="O1730" s="1">
        <f t="shared" si="1942"/>
        <v>38.443306074488774</v>
      </c>
      <c r="P1730" s="1">
        <f t="shared" si="1938"/>
        <v>41.967170141266934</v>
      </c>
      <c r="Q1730" s="1">
        <f t="shared" si="1938"/>
        <v>46.115425366432916</v>
      </c>
      <c r="S1730" s="3"/>
    </row>
    <row r="1731" spans="2:19" x14ac:dyDescent="0.5">
      <c r="B1731" t="str">
        <f t="shared" si="1918"/>
        <v>SPS1</v>
      </c>
      <c r="C1731" t="str">
        <f t="shared" si="1919"/>
        <v>CH</v>
      </c>
      <c r="D1731" t="s">
        <v>1757</v>
      </c>
      <c r="E1731" t="str">
        <f t="shared" si="1920"/>
        <v>PJ/yr.</v>
      </c>
      <c r="F1731" s="1">
        <f t="shared" si="1936"/>
        <v>116.98283025509825</v>
      </c>
      <c r="G1731" s="1">
        <f t="shared" si="1936"/>
        <v>106.72000034322977</v>
      </c>
      <c r="H1731" s="1">
        <f t="shared" si="1936"/>
        <v>111.51135816485316</v>
      </c>
      <c r="I1731" s="1">
        <f t="shared" si="1936"/>
        <v>105.45676820397665</v>
      </c>
      <c r="J1731" s="1">
        <f t="shared" si="1936"/>
        <v>91.645312561395443</v>
      </c>
      <c r="K1731" s="1">
        <f t="shared" si="1936"/>
        <v>91.548077743505132</v>
      </c>
      <c r="L1731" s="1">
        <f t="shared" ref="L1731:O1731" si="1943">L42</f>
        <v>72.854951586853261</v>
      </c>
      <c r="M1731" s="1">
        <f t="shared" si="1943"/>
        <v>19.88737261025555</v>
      </c>
      <c r="N1731" s="1">
        <f t="shared" si="1943"/>
        <v>11.016403531595468</v>
      </c>
      <c r="O1731" s="1">
        <f t="shared" si="1943"/>
        <v>3.8806645632420635</v>
      </c>
      <c r="P1731" s="1">
        <f t="shared" si="1938"/>
        <v>1.1610930787460163</v>
      </c>
      <c r="Q1731" s="1">
        <f t="shared" si="1938"/>
        <v>6.3828622129667133E-3</v>
      </c>
      <c r="S1731" s="3"/>
    </row>
    <row r="1732" spans="2:19" x14ac:dyDescent="0.5">
      <c r="B1732" t="str">
        <f t="shared" si="1918"/>
        <v>SPS1</v>
      </c>
      <c r="C1732" t="str">
        <f t="shared" si="1919"/>
        <v>CH</v>
      </c>
      <c r="D1732" t="s">
        <v>1758</v>
      </c>
      <c r="E1732" t="str">
        <f t="shared" si="1920"/>
        <v>PJ/yr.</v>
      </c>
      <c r="F1732" s="1">
        <f t="shared" si="1936"/>
        <v>116.98283025509825</v>
      </c>
      <c r="G1732" s="1">
        <f t="shared" si="1936"/>
        <v>106.72000034322977</v>
      </c>
      <c r="H1732" s="1">
        <f t="shared" si="1936"/>
        <v>111.51135816485316</v>
      </c>
      <c r="I1732" s="1">
        <f t="shared" si="1936"/>
        <v>105.45663214707338</v>
      </c>
      <c r="J1732" s="1">
        <f t="shared" si="1936"/>
        <v>91.644693387730726</v>
      </c>
      <c r="K1732" s="1">
        <f t="shared" si="1936"/>
        <v>91.547711198501602</v>
      </c>
      <c r="L1732" s="1">
        <f t="shared" ref="L1732:O1732" si="1944">L43</f>
        <v>72.854696668125669</v>
      </c>
      <c r="M1732" s="1">
        <f t="shared" si="1944"/>
        <v>19.8870934484309</v>
      </c>
      <c r="N1732" s="1">
        <f t="shared" si="1944"/>
        <v>11.016206029658798</v>
      </c>
      <c r="O1732" s="1">
        <f t="shared" si="1944"/>
        <v>3.8801205399778986</v>
      </c>
      <c r="P1732" s="1">
        <f t="shared" si="1938"/>
        <v>1.1600448483512669</v>
      </c>
      <c r="Q1732" s="1">
        <f t="shared" si="1938"/>
        <v>4.4952698962205731E-3</v>
      </c>
      <c r="S1732" s="3"/>
    </row>
    <row r="1733" spans="2:19" x14ac:dyDescent="0.5">
      <c r="B1733" t="str">
        <f t="shared" si="1918"/>
        <v>SPS1</v>
      </c>
      <c r="C1733" t="str">
        <f t="shared" si="1919"/>
        <v>CH</v>
      </c>
      <c r="D1733" t="s">
        <v>1759</v>
      </c>
      <c r="E1733" t="str">
        <f t="shared" si="1920"/>
        <v>PJ/yr.</v>
      </c>
      <c r="F1733" s="1">
        <f t="shared" si="1936"/>
        <v>0</v>
      </c>
      <c r="G1733" s="1">
        <f t="shared" si="1936"/>
        <v>0</v>
      </c>
      <c r="H1733" s="1">
        <f t="shared" si="1936"/>
        <v>0</v>
      </c>
      <c r="I1733" s="1">
        <f t="shared" si="1936"/>
        <v>1.3605690327024965E-4</v>
      </c>
      <c r="J1733" s="1">
        <f t="shared" si="1936"/>
        <v>6.1917366471307786E-4</v>
      </c>
      <c r="K1733" s="1">
        <f t="shared" si="1936"/>
        <v>3.6654500352449929E-4</v>
      </c>
      <c r="L1733" s="1">
        <f t="shared" ref="L1733:O1733" si="1945">L44</f>
        <v>2.5491872758614327E-4</v>
      </c>
      <c r="M1733" s="1">
        <f t="shared" si="1945"/>
        <v>2.7916182465029124E-4</v>
      </c>
      <c r="N1733" s="1">
        <f t="shared" si="1945"/>
        <v>1.9750193667085618E-4</v>
      </c>
      <c r="O1733" s="1">
        <f t="shared" si="1945"/>
        <v>5.4402326416510844E-4</v>
      </c>
      <c r="P1733" s="1">
        <f t="shared" si="1938"/>
        <v>1.0482303947493454E-3</v>
      </c>
      <c r="Q1733" s="1">
        <f t="shared" si="1938"/>
        <v>1.8875923167461402E-3</v>
      </c>
      <c r="S1733" s="3"/>
    </row>
    <row r="1734" spans="2:19" x14ac:dyDescent="0.5">
      <c r="B1734" t="str">
        <f t="shared" si="1918"/>
        <v>SPS1</v>
      </c>
      <c r="C1734" t="str">
        <f t="shared" si="1919"/>
        <v>CH</v>
      </c>
      <c r="D1734" t="s">
        <v>1760</v>
      </c>
      <c r="E1734" t="str">
        <f t="shared" si="1920"/>
        <v>PJ/yr.</v>
      </c>
      <c r="F1734" s="1">
        <f t="shared" si="1936"/>
        <v>0</v>
      </c>
      <c r="G1734" s="1">
        <f t="shared" si="1936"/>
        <v>0.51650019469473041</v>
      </c>
      <c r="H1734" s="1">
        <f t="shared" si="1936"/>
        <v>1.167141435791258</v>
      </c>
      <c r="I1734" s="1">
        <f t="shared" si="1936"/>
        <v>4.3669775222898171</v>
      </c>
      <c r="J1734" s="1">
        <f t="shared" si="1936"/>
        <v>5.9302487260538701</v>
      </c>
      <c r="K1734" s="1">
        <f t="shared" si="1936"/>
        <v>8.2281953511847767</v>
      </c>
      <c r="L1734" s="1">
        <f t="shared" ref="L1734:O1734" si="1946">L45</f>
        <v>11.604358570685671</v>
      </c>
      <c r="M1734" s="1">
        <f t="shared" si="1946"/>
        <v>16.564862144939752</v>
      </c>
      <c r="N1734" s="1">
        <f t="shared" si="1946"/>
        <v>23.853584112496094</v>
      </c>
      <c r="O1734" s="1">
        <f t="shared" si="1946"/>
        <v>34.56264151124671</v>
      </c>
      <c r="P1734" s="1">
        <f t="shared" si="1938"/>
        <v>40.80607706252092</v>
      </c>
      <c r="Q1734" s="1">
        <f t="shared" si="1938"/>
        <v>46.10904250421995</v>
      </c>
      <c r="S1734" s="3"/>
    </row>
    <row r="1735" spans="2:19" x14ac:dyDescent="0.5">
      <c r="B1735" t="str">
        <f t="shared" si="1918"/>
        <v>SPS1</v>
      </c>
      <c r="C1735" t="str">
        <f t="shared" si="1919"/>
        <v>CH</v>
      </c>
      <c r="D1735" t="s">
        <v>1761</v>
      </c>
      <c r="E1735" t="str">
        <f t="shared" si="1920"/>
        <v>PJ/yr.</v>
      </c>
      <c r="F1735" s="1">
        <f t="shared" si="1936"/>
        <v>0</v>
      </c>
      <c r="G1735" s="1">
        <f t="shared" si="1936"/>
        <v>0.51650019469473041</v>
      </c>
      <c r="H1735" s="1">
        <f t="shared" si="1936"/>
        <v>1.167141435791258</v>
      </c>
      <c r="I1735" s="1">
        <f t="shared" si="1936"/>
        <v>4.3669775222898171</v>
      </c>
      <c r="J1735" s="1">
        <f t="shared" si="1936"/>
        <v>4.3669775222898171</v>
      </c>
      <c r="K1735" s="1">
        <f t="shared" si="1936"/>
        <v>5.9302487260538701</v>
      </c>
      <c r="L1735" s="1">
        <f t="shared" ref="L1735:O1735" si="1947">L46</f>
        <v>8.2281953511847767</v>
      </c>
      <c r="M1735" s="1">
        <f t="shared" si="1947"/>
        <v>11.604358570685671</v>
      </c>
      <c r="N1735" s="1">
        <f t="shared" si="1947"/>
        <v>16.564862144939752</v>
      </c>
      <c r="O1735" s="1">
        <f t="shared" si="1947"/>
        <v>23.853584112496094</v>
      </c>
      <c r="P1735" s="1">
        <f t="shared" si="1938"/>
        <v>34.56264151124671</v>
      </c>
      <c r="Q1735" s="1">
        <f t="shared" si="1938"/>
        <v>40.80607706252092</v>
      </c>
      <c r="S1735" s="3"/>
    </row>
    <row r="1736" spans="2:19" x14ac:dyDescent="0.5">
      <c r="B1736" t="str">
        <f t="shared" si="1918"/>
        <v>SPS1</v>
      </c>
      <c r="C1736" t="str">
        <f t="shared" si="1919"/>
        <v>CH</v>
      </c>
      <c r="D1736" t="s">
        <v>1762</v>
      </c>
      <c r="E1736" t="str">
        <f t="shared" si="1920"/>
        <v>PJ/yr.</v>
      </c>
      <c r="F1736" s="1">
        <f t="shared" si="1936"/>
        <v>0</v>
      </c>
      <c r="G1736" s="1">
        <f t="shared" si="1936"/>
        <v>0.51650019469473041</v>
      </c>
      <c r="H1736" s="1">
        <f t="shared" si="1936"/>
        <v>1.167141435791258</v>
      </c>
      <c r="I1736" s="1">
        <f t="shared" si="1936"/>
        <v>4.3669775222898171</v>
      </c>
      <c r="J1736" s="1">
        <f t="shared" si="1936"/>
        <v>4.3669775222898171</v>
      </c>
      <c r="K1736" s="1">
        <f t="shared" si="1936"/>
        <v>5.9302487260538701</v>
      </c>
      <c r="L1736" s="1">
        <f t="shared" ref="L1736:O1736" si="1948">L47</f>
        <v>8.2281953511847767</v>
      </c>
      <c r="M1736" s="1">
        <f t="shared" si="1948"/>
        <v>11.604358570685671</v>
      </c>
      <c r="N1736" s="1">
        <f t="shared" si="1948"/>
        <v>16.564862144939752</v>
      </c>
      <c r="O1736" s="1">
        <f t="shared" si="1948"/>
        <v>23.853584112496094</v>
      </c>
      <c r="P1736" s="1">
        <f t="shared" si="1938"/>
        <v>34.56264151124671</v>
      </c>
      <c r="Q1736" s="1">
        <f t="shared" si="1938"/>
        <v>40.80607706252092</v>
      </c>
      <c r="S1736" s="3"/>
    </row>
    <row r="1737" spans="2:19" x14ac:dyDescent="0.5">
      <c r="B1737" t="str">
        <f t="shared" si="1918"/>
        <v>SPS1</v>
      </c>
      <c r="C1737" t="str">
        <f t="shared" si="1919"/>
        <v>CH</v>
      </c>
      <c r="D1737" t="s">
        <v>1763</v>
      </c>
      <c r="E1737" t="str">
        <f t="shared" si="1920"/>
        <v>PJ/yr.</v>
      </c>
      <c r="F1737" s="1">
        <f t="shared" si="1936"/>
        <v>0</v>
      </c>
      <c r="G1737" s="1">
        <f t="shared" si="1936"/>
        <v>0</v>
      </c>
      <c r="H1737" s="1">
        <f t="shared" si="1936"/>
        <v>0</v>
      </c>
      <c r="I1737" s="1">
        <f t="shared" si="1936"/>
        <v>0</v>
      </c>
      <c r="J1737" s="1">
        <f t="shared" si="1936"/>
        <v>1.563271203764053</v>
      </c>
      <c r="K1737" s="1">
        <f t="shared" si="1936"/>
        <v>2.2979466251309066</v>
      </c>
      <c r="L1737" s="1">
        <f t="shared" ref="L1737:O1737" si="1949">L48</f>
        <v>3.3761632195008939</v>
      </c>
      <c r="M1737" s="1">
        <f t="shared" si="1949"/>
        <v>4.9605035742540817</v>
      </c>
      <c r="N1737" s="1">
        <f t="shared" si="1949"/>
        <v>7.2887219675563415</v>
      </c>
      <c r="O1737" s="1">
        <f t="shared" si="1949"/>
        <v>10.709057398750616</v>
      </c>
      <c r="P1737" s="1">
        <f t="shared" si="1938"/>
        <v>6.2434355512742101</v>
      </c>
      <c r="Q1737" s="1">
        <f t="shared" si="1938"/>
        <v>5.3029654416990297</v>
      </c>
      <c r="S1737" s="3"/>
    </row>
    <row r="1738" spans="2:19" x14ac:dyDescent="0.5">
      <c r="B1738" t="str">
        <f t="shared" si="1918"/>
        <v>SPS1</v>
      </c>
      <c r="C1738" t="str">
        <f t="shared" si="1919"/>
        <v>CH</v>
      </c>
      <c r="D1738" t="s">
        <v>1764</v>
      </c>
      <c r="E1738" t="str">
        <f t="shared" si="1920"/>
        <v>PJ/yr.</v>
      </c>
      <c r="F1738" s="1">
        <f t="shared" si="1936"/>
        <v>0</v>
      </c>
      <c r="G1738" s="1">
        <f t="shared" si="1936"/>
        <v>0</v>
      </c>
      <c r="H1738" s="1">
        <f t="shared" si="1936"/>
        <v>0</v>
      </c>
      <c r="I1738" s="1">
        <f t="shared" si="1936"/>
        <v>0</v>
      </c>
      <c r="J1738" s="1">
        <f t="shared" si="1936"/>
        <v>1.563271203764053</v>
      </c>
      <c r="K1738" s="1">
        <f t="shared" si="1936"/>
        <v>2.2979466251309066</v>
      </c>
      <c r="L1738" s="1">
        <f t="shared" ref="L1738:O1738" si="1950">L49</f>
        <v>3.3761632195008939</v>
      </c>
      <c r="M1738" s="1">
        <f t="shared" si="1950"/>
        <v>4.9605035742540817</v>
      </c>
      <c r="N1738" s="1">
        <f t="shared" si="1950"/>
        <v>7.2887219675563415</v>
      </c>
      <c r="O1738" s="1">
        <f t="shared" si="1950"/>
        <v>10.709057398750616</v>
      </c>
      <c r="P1738" s="1">
        <f t="shared" si="1938"/>
        <v>6.2434355512742101</v>
      </c>
      <c r="Q1738" s="1">
        <f t="shared" si="1938"/>
        <v>5.3029654416990297</v>
      </c>
      <c r="S1738" s="3"/>
    </row>
    <row r="1739" spans="2:19" x14ac:dyDescent="0.5">
      <c r="B1739" t="str">
        <f t="shared" si="1918"/>
        <v>SPS1</v>
      </c>
      <c r="C1739" t="str">
        <f t="shared" si="1919"/>
        <v>CH</v>
      </c>
      <c r="D1739" t="s">
        <v>1765</v>
      </c>
      <c r="E1739" t="str">
        <f t="shared" si="1920"/>
        <v>PJ/yr.</v>
      </c>
      <c r="F1739" s="1">
        <f t="shared" si="1936"/>
        <v>250.94817837501941</v>
      </c>
      <c r="G1739" s="1">
        <f t="shared" si="1936"/>
        <v>254.39254324048167</v>
      </c>
      <c r="H1739" s="1">
        <f t="shared" si="1936"/>
        <v>224.18692539895818</v>
      </c>
      <c r="I1739" s="1">
        <f t="shared" si="1936"/>
        <v>221.53743910497542</v>
      </c>
      <c r="J1739" s="1">
        <f t="shared" si="1936"/>
        <v>189.73915367036079</v>
      </c>
      <c r="K1739" s="1">
        <f t="shared" si="1936"/>
        <v>100.03575043037419</v>
      </c>
      <c r="L1739" s="1">
        <f t="shared" ref="L1739:O1739" si="1951">L50</f>
        <v>0</v>
      </c>
      <c r="M1739" s="1">
        <f t="shared" si="1951"/>
        <v>0</v>
      </c>
      <c r="N1739" s="1">
        <f t="shared" si="1951"/>
        <v>0</v>
      </c>
      <c r="O1739" s="1">
        <f t="shared" si="1951"/>
        <v>0</v>
      </c>
      <c r="P1739" s="1">
        <f t="shared" si="1938"/>
        <v>0</v>
      </c>
      <c r="Q1739" s="1">
        <f t="shared" si="1938"/>
        <v>0</v>
      </c>
      <c r="S1739" s="3"/>
    </row>
    <row r="1740" spans="2:19" x14ac:dyDescent="0.5">
      <c r="B1740" t="str">
        <f t="shared" si="1918"/>
        <v>SPS1</v>
      </c>
      <c r="C1740" t="str">
        <f t="shared" si="1919"/>
        <v>CH</v>
      </c>
      <c r="D1740" t="s">
        <v>1766</v>
      </c>
      <c r="E1740" t="str">
        <f t="shared" si="1920"/>
        <v>PJ/yr.</v>
      </c>
      <c r="F1740" s="1">
        <f>-F58+F51</f>
        <v>-20.010000689925036</v>
      </c>
      <c r="G1740" s="1">
        <f t="shared" ref="G1740:K1740" si="1952">-G58+G51</f>
        <v>14.673535769368918</v>
      </c>
      <c r="H1740" s="1">
        <f t="shared" si="1952"/>
        <v>-13.978751916826077</v>
      </c>
      <c r="I1740" s="1">
        <f t="shared" si="1952"/>
        <v>-24.529715369092827</v>
      </c>
      <c r="J1740" s="1">
        <f t="shared" si="1952"/>
        <v>-9.4592618785754112</v>
      </c>
      <c r="K1740" s="1">
        <f t="shared" si="1952"/>
        <v>17.804647303865259</v>
      </c>
      <c r="L1740" s="1">
        <f t="shared" ref="L1740:O1740" si="1953">-L58+L51</f>
        <v>43.579727030265303</v>
      </c>
      <c r="M1740" s="1">
        <f t="shared" si="1953"/>
        <v>53.110347102252589</v>
      </c>
      <c r="N1740" s="1">
        <f t="shared" si="1953"/>
        <v>50.294655180218811</v>
      </c>
      <c r="O1740" s="1">
        <f t="shared" si="1953"/>
        <v>56.587465516207679</v>
      </c>
      <c r="P1740" s="1">
        <f>-P58+P51</f>
        <v>56.631575686425968</v>
      </c>
      <c r="Q1740" s="1">
        <f>-Q58+Q51</f>
        <v>51.87277540052736</v>
      </c>
      <c r="S1740" s="3"/>
    </row>
    <row r="1741" spans="2:19" x14ac:dyDescent="0.5">
      <c r="B1741" t="str">
        <f t="shared" si="1918"/>
        <v>SPS1</v>
      </c>
      <c r="C1741" t="str">
        <f t="shared" si="1919"/>
        <v>CH</v>
      </c>
      <c r="D1741" t="s">
        <v>1767</v>
      </c>
      <c r="E1741" t="str">
        <f t="shared" si="1920"/>
        <v>PJ/yr.</v>
      </c>
      <c r="F1741" s="1">
        <f t="shared" ref="F1741:K1741" si="1954">F56</f>
        <v>0</v>
      </c>
      <c r="G1741" s="1">
        <f t="shared" si="1954"/>
        <v>0</v>
      </c>
      <c r="H1741" s="1">
        <f t="shared" si="1954"/>
        <v>0</v>
      </c>
      <c r="I1741" s="1">
        <f t="shared" si="1954"/>
        <v>0</v>
      </c>
      <c r="J1741" s="1">
        <f t="shared" si="1954"/>
        <v>0</v>
      </c>
      <c r="K1741" s="1">
        <f t="shared" si="1954"/>
        <v>6.100730703788078</v>
      </c>
      <c r="L1741" s="1">
        <f t="shared" ref="L1741:O1741" si="1955">L56</f>
        <v>8.2900267172746407</v>
      </c>
      <c r="M1741" s="1">
        <f t="shared" si="1955"/>
        <v>12.022692455690525</v>
      </c>
      <c r="N1741" s="1">
        <f t="shared" si="1955"/>
        <v>9.6741155505917558</v>
      </c>
      <c r="O1741" s="1">
        <f t="shared" si="1955"/>
        <v>8.3073203725475295</v>
      </c>
      <c r="P1741" s="1">
        <f>P56</f>
        <v>6.8061969703253675</v>
      </c>
      <c r="Q1741" s="1">
        <f>Q56</f>
        <v>6.6822233684149666</v>
      </c>
      <c r="S1741" s="3"/>
    </row>
    <row r="1742" spans="2:19" x14ac:dyDescent="0.5">
      <c r="B1742" t="str">
        <f t="shared" si="1918"/>
        <v>SPS1</v>
      </c>
      <c r="C1742" t="str">
        <f t="shared" si="1919"/>
        <v>CH</v>
      </c>
      <c r="D1742" t="s">
        <v>1769</v>
      </c>
      <c r="E1742" t="str">
        <f t="shared" ref="E1742:K1751" si="1956">E3</f>
        <v>PJ/yr.</v>
      </c>
      <c r="F1742" s="1">
        <f t="shared" si="1956"/>
        <v>44.972430150203706</v>
      </c>
      <c r="G1742" s="1">
        <f t="shared" si="1956"/>
        <v>48.190468340232798</v>
      </c>
      <c r="H1742" s="1">
        <f t="shared" si="1956"/>
        <v>48.190468799695324</v>
      </c>
      <c r="I1742" s="1">
        <f t="shared" si="1956"/>
        <v>48.190468692460705</v>
      </c>
      <c r="J1742" s="1">
        <f t="shared" si="1956"/>
        <v>48.190473444580988</v>
      </c>
      <c r="K1742" s="1">
        <f t="shared" si="1956"/>
        <v>48.190475370863595</v>
      </c>
      <c r="L1742" s="1">
        <f t="shared" ref="L1742:O1742" si="1957">L3</f>
        <v>48.955937459682929</v>
      </c>
      <c r="M1742" s="1">
        <f t="shared" si="1957"/>
        <v>62.702713938561189</v>
      </c>
      <c r="N1742" s="1">
        <f t="shared" si="1957"/>
        <v>62.76148116992384</v>
      </c>
      <c r="O1742" s="1">
        <f t="shared" si="1957"/>
        <v>62.820247634934823</v>
      </c>
      <c r="P1742" s="1">
        <f t="shared" ref="P1742:Q1758" si="1958">P3</f>
        <v>62.879015561420111</v>
      </c>
      <c r="Q1742" s="1">
        <f t="shared" si="1958"/>
        <v>62.879081853382687</v>
      </c>
      <c r="S1742" s="3"/>
    </row>
    <row r="1743" spans="2:19" x14ac:dyDescent="0.5">
      <c r="B1743" t="str">
        <f t="shared" si="1918"/>
        <v>SPS1</v>
      </c>
      <c r="C1743" t="str">
        <f t="shared" si="1919"/>
        <v>CH</v>
      </c>
      <c r="D1743" t="s">
        <v>1770</v>
      </c>
      <c r="E1743" t="str">
        <f t="shared" si="1956"/>
        <v>PJ/yr.</v>
      </c>
      <c r="F1743" s="1">
        <f t="shared" si="1956"/>
        <v>11.111877032987927</v>
      </c>
      <c r="G1743" s="1">
        <f t="shared" si="1956"/>
        <v>11.952883351202921</v>
      </c>
      <c r="H1743" s="1">
        <f t="shared" si="1956"/>
        <v>13.214393450880591</v>
      </c>
      <c r="I1743" s="1">
        <f t="shared" si="1956"/>
        <v>15.316910482239747</v>
      </c>
      <c r="J1743" s="1">
        <f t="shared" si="1956"/>
        <v>15.849140052807389</v>
      </c>
      <c r="K1743" s="1">
        <f t="shared" si="1956"/>
        <v>16.266397183381031</v>
      </c>
      <c r="L1743" s="1">
        <f t="shared" ref="L1743:O1743" si="1959">L4</f>
        <v>16.611696422807853</v>
      </c>
      <c r="M1743" s="1">
        <f t="shared" si="1959"/>
        <v>16.956995017641336</v>
      </c>
      <c r="N1743" s="1">
        <f t="shared" si="1959"/>
        <v>17.015762407958409</v>
      </c>
      <c r="O1743" s="1">
        <f t="shared" si="1959"/>
        <v>17.074529588978937</v>
      </c>
      <c r="P1743" s="1">
        <f t="shared" si="1958"/>
        <v>17.133297138987189</v>
      </c>
      <c r="Q1743" s="1">
        <f t="shared" si="1958"/>
        <v>17.192064517942612</v>
      </c>
      <c r="S1743" s="3"/>
    </row>
    <row r="1744" spans="2:19" x14ac:dyDescent="0.5">
      <c r="B1744" t="str">
        <f t="shared" si="1918"/>
        <v>SPS1</v>
      </c>
      <c r="C1744" t="str">
        <f t="shared" si="1919"/>
        <v>CH</v>
      </c>
      <c r="D1744" t="s">
        <v>1771</v>
      </c>
      <c r="E1744" t="str">
        <f t="shared" si="1956"/>
        <v>PJ/yr.</v>
      </c>
      <c r="F1744" s="1">
        <f t="shared" si="1956"/>
        <v>7.5116700612773393</v>
      </c>
      <c r="G1744" s="1">
        <f t="shared" si="1956"/>
        <v>7.5431410951356481</v>
      </c>
      <c r="H1744" s="1">
        <f t="shared" si="1956"/>
        <v>7.5903482623027339</v>
      </c>
      <c r="I1744" s="1">
        <f t="shared" si="1956"/>
        <v>7.6690270797249029</v>
      </c>
      <c r="J1744" s="1">
        <f t="shared" si="1956"/>
        <v>7.6690270949890209</v>
      </c>
      <c r="K1744" s="1">
        <f t="shared" si="1956"/>
        <v>7.669027306527946</v>
      </c>
      <c r="L1744" s="1">
        <f t="shared" ref="L1744:O1744" si="1960">L5</f>
        <v>7.6690270117133625</v>
      </c>
      <c r="M1744" s="1">
        <f t="shared" si="1960"/>
        <v>7.669027661793395</v>
      </c>
      <c r="N1744" s="1">
        <f t="shared" si="1960"/>
        <v>7.6690275271258788</v>
      </c>
      <c r="O1744" s="1">
        <f t="shared" si="1960"/>
        <v>7.669027365466067</v>
      </c>
      <c r="P1744" s="1">
        <f t="shared" si="1958"/>
        <v>7.6690274840187067</v>
      </c>
      <c r="Q1744" s="1">
        <f t="shared" si="1958"/>
        <v>7.6690274245014693</v>
      </c>
      <c r="S1744" s="3"/>
    </row>
    <row r="1745" spans="2:19" x14ac:dyDescent="0.5">
      <c r="B1745" t="str">
        <f t="shared" si="1918"/>
        <v>SPS1</v>
      </c>
      <c r="C1745" t="str">
        <f t="shared" si="1919"/>
        <v>CH</v>
      </c>
      <c r="D1745" t="s">
        <v>1772</v>
      </c>
      <c r="E1745" t="str">
        <f t="shared" si="1956"/>
        <v>PJ/yr.</v>
      </c>
      <c r="F1745" s="1">
        <f t="shared" si="1956"/>
        <v>3.1682438450748145</v>
      </c>
      <c r="G1745" s="1">
        <f t="shared" si="1956"/>
        <v>3.4956715997428764</v>
      </c>
      <c r="H1745" s="1">
        <f t="shared" si="1956"/>
        <v>3.9868143915569592</v>
      </c>
      <c r="I1745" s="1">
        <f t="shared" si="1956"/>
        <v>4.8053861827720157</v>
      </c>
      <c r="J1745" s="1">
        <f t="shared" si="1956"/>
        <v>4.8053858729452159</v>
      </c>
      <c r="K1745" s="1">
        <f t="shared" si="1956"/>
        <v>4.805386077033508</v>
      </c>
      <c r="L1745" s="1">
        <f t="shared" ref="L1745:O1745" si="1961">L6</f>
        <v>4.8053862809074159</v>
      </c>
      <c r="M1745" s="1">
        <f t="shared" si="1961"/>
        <v>4.8053869927758068</v>
      </c>
      <c r="N1745" s="1">
        <f t="shared" si="1961"/>
        <v>4.8053864773041486</v>
      </c>
      <c r="O1745" s="1">
        <f t="shared" si="1961"/>
        <v>4.8053866866634056</v>
      </c>
      <c r="P1745" s="1">
        <f t="shared" si="1958"/>
        <v>4.8053863630643141</v>
      </c>
      <c r="Q1745" s="1">
        <f t="shared" si="1958"/>
        <v>4.8053865802763482</v>
      </c>
      <c r="S1745" s="3"/>
    </row>
    <row r="1746" spans="2:19" x14ac:dyDescent="0.5">
      <c r="B1746" t="str">
        <f t="shared" si="1918"/>
        <v>SPS1</v>
      </c>
      <c r="C1746" t="str">
        <f t="shared" si="1919"/>
        <v>CH</v>
      </c>
      <c r="D1746" t="s">
        <v>1773</v>
      </c>
      <c r="E1746" t="str">
        <f t="shared" si="1956"/>
        <v>PJ/yr.</v>
      </c>
      <c r="F1746" s="1">
        <f t="shared" si="1956"/>
        <v>23.180639210863621</v>
      </c>
      <c r="G1746" s="1">
        <f t="shared" si="1956"/>
        <v>25.198772294151354</v>
      </c>
      <c r="H1746" s="1">
        <f t="shared" si="1956"/>
        <v>23.39891269495504</v>
      </c>
      <c r="I1746" s="1">
        <f t="shared" si="1956"/>
        <v>20.399144947724039</v>
      </c>
      <c r="J1746" s="1">
        <f t="shared" si="1956"/>
        <v>19.866920423839364</v>
      </c>
      <c r="K1746" s="1">
        <f t="shared" si="1956"/>
        <v>19.449664803921113</v>
      </c>
      <c r="L1746" s="1">
        <f t="shared" ref="L1746:O1746" si="1962">L7</f>
        <v>19.869827744254302</v>
      </c>
      <c r="M1746" s="1">
        <f t="shared" si="1962"/>
        <v>33.271304266350647</v>
      </c>
      <c r="N1746" s="1">
        <f t="shared" si="1962"/>
        <v>33.271304757535404</v>
      </c>
      <c r="O1746" s="1">
        <f t="shared" si="1962"/>
        <v>33.271303993826415</v>
      </c>
      <c r="P1746" s="1">
        <f t="shared" si="1958"/>
        <v>33.271304575349902</v>
      </c>
      <c r="Q1746" s="1">
        <f t="shared" si="1958"/>
        <v>33.212603330662255</v>
      </c>
      <c r="S1746" s="3"/>
    </row>
    <row r="1747" spans="2:19" x14ac:dyDescent="0.5">
      <c r="B1747" t="str">
        <f t="shared" si="1918"/>
        <v>SPS1</v>
      </c>
      <c r="C1747" t="str">
        <f t="shared" si="1919"/>
        <v>CH</v>
      </c>
      <c r="D1747" t="s">
        <v>1774</v>
      </c>
      <c r="E1747" t="str">
        <f t="shared" si="1956"/>
        <v>PJ/yr.</v>
      </c>
      <c r="F1747" s="1">
        <f t="shared" si="1956"/>
        <v>70.031496805412786</v>
      </c>
      <c r="G1747" s="1">
        <f t="shared" si="1956"/>
        <v>70.222529493027196</v>
      </c>
      <c r="H1747" s="1">
        <f t="shared" si="1956"/>
        <v>69.829612014060672</v>
      </c>
      <c r="I1747" s="1">
        <f t="shared" si="1956"/>
        <v>69.380114034114001</v>
      </c>
      <c r="J1747" s="1">
        <f t="shared" si="1956"/>
        <v>69.277736093407725</v>
      </c>
      <c r="K1747" s="1">
        <f t="shared" si="1956"/>
        <v>69.499612453489931</v>
      </c>
      <c r="L1747" s="1">
        <f t="shared" ref="L1747:O1747" si="1963">L8</f>
        <v>75.925871004608155</v>
      </c>
      <c r="M1747" s="1">
        <f t="shared" si="1963"/>
        <v>77.503830460523346</v>
      </c>
      <c r="N1747" s="1">
        <f t="shared" si="1963"/>
        <v>78.298967778958385</v>
      </c>
      <c r="O1747" s="1">
        <f t="shared" si="1963"/>
        <v>78.586018620180937</v>
      </c>
      <c r="P1747" s="1">
        <f t="shared" si="1958"/>
        <v>78.873064283887999</v>
      </c>
      <c r="Q1747" s="1">
        <f t="shared" si="1958"/>
        <v>79.16010195137936</v>
      </c>
      <c r="S1747" s="3"/>
    </row>
    <row r="1748" spans="2:19" x14ac:dyDescent="0.5">
      <c r="B1748" t="str">
        <f t="shared" si="1918"/>
        <v>SPS1</v>
      </c>
      <c r="C1748" t="str">
        <f t="shared" si="1919"/>
        <v>CH</v>
      </c>
      <c r="D1748" t="s">
        <v>1775</v>
      </c>
      <c r="E1748" t="str">
        <f t="shared" si="1956"/>
        <v>PJ/yr.</v>
      </c>
      <c r="F1748" s="1">
        <f t="shared" si="1956"/>
        <v>35.931063946332678</v>
      </c>
      <c r="G1748" s="1">
        <f t="shared" si="1956"/>
        <v>35.882383470465989</v>
      </c>
      <c r="H1748" s="1">
        <f t="shared" si="1956"/>
        <v>35.489464783050352</v>
      </c>
      <c r="I1748" s="1">
        <f t="shared" si="1956"/>
        <v>35.0399641978399</v>
      </c>
      <c r="J1748" s="1">
        <f t="shared" si="1956"/>
        <v>34.937583932185426</v>
      </c>
      <c r="K1748" s="1">
        <f t="shared" si="1956"/>
        <v>35.15945488753237</v>
      </c>
      <c r="L1748" s="1">
        <f t="shared" ref="L1748:O1748" si="1964">L9</f>
        <v>35.381326485695013</v>
      </c>
      <c r="M1748" s="1">
        <f t="shared" si="1964"/>
        <v>35.603181710197049</v>
      </c>
      <c r="N1748" s="1">
        <f t="shared" si="1964"/>
        <v>35.603176964620744</v>
      </c>
      <c r="O1748" s="1">
        <f t="shared" si="1964"/>
        <v>35.603177393766998</v>
      </c>
      <c r="P1748" s="1">
        <f t="shared" si="1958"/>
        <v>35.603176732623403</v>
      </c>
      <c r="Q1748" s="1">
        <f t="shared" si="1958"/>
        <v>35.603178844762773</v>
      </c>
      <c r="S1748" s="3"/>
    </row>
    <row r="1749" spans="2:19" x14ac:dyDescent="0.5">
      <c r="B1749" t="str">
        <f t="shared" si="1918"/>
        <v>SPS1</v>
      </c>
      <c r="C1749" t="str">
        <f t="shared" si="1919"/>
        <v>CH</v>
      </c>
      <c r="D1749" t="s">
        <v>1776</v>
      </c>
      <c r="E1749" t="str">
        <f t="shared" si="1956"/>
        <v>PJ/yr.</v>
      </c>
      <c r="F1749" s="1">
        <f t="shared" si="1956"/>
        <v>34.100432859080108</v>
      </c>
      <c r="G1749" s="1">
        <f t="shared" si="1956"/>
        <v>34.340146022561207</v>
      </c>
      <c r="H1749" s="1">
        <f t="shared" si="1956"/>
        <v>34.340147231010327</v>
      </c>
      <c r="I1749" s="1">
        <f t="shared" si="1956"/>
        <v>34.340149836274101</v>
      </c>
      <c r="J1749" s="1">
        <f t="shared" si="1956"/>
        <v>34.340152161222306</v>
      </c>
      <c r="K1749" s="1">
        <f t="shared" si="1956"/>
        <v>34.340157565957561</v>
      </c>
      <c r="L1749" s="1">
        <f t="shared" ref="L1749:O1749" si="1965">L10</f>
        <v>40.544544518913149</v>
      </c>
      <c r="M1749" s="1">
        <f t="shared" si="1965"/>
        <v>41.900648750326305</v>
      </c>
      <c r="N1749" s="1">
        <f t="shared" si="1965"/>
        <v>42.695790814337641</v>
      </c>
      <c r="O1749" s="1">
        <f t="shared" si="1965"/>
        <v>42.982841226413939</v>
      </c>
      <c r="P1749" s="1">
        <f t="shared" si="1958"/>
        <v>43.269887551264596</v>
      </c>
      <c r="Q1749" s="1">
        <f t="shared" si="1958"/>
        <v>43.556923106616587</v>
      </c>
      <c r="S1749" s="3"/>
    </row>
    <row r="1750" spans="2:19" x14ac:dyDescent="0.5">
      <c r="B1750" t="str">
        <f t="shared" si="1918"/>
        <v>SPS1</v>
      </c>
      <c r="C1750" t="str">
        <f t="shared" si="1919"/>
        <v>CH</v>
      </c>
      <c r="D1750" t="s">
        <v>1777</v>
      </c>
      <c r="E1750" t="str">
        <f t="shared" si="1956"/>
        <v>PJ/yr.</v>
      </c>
      <c r="F1750" s="1">
        <f t="shared" si="1956"/>
        <v>3.7980812744427261</v>
      </c>
      <c r="G1750" s="1">
        <f t="shared" si="1956"/>
        <v>10.104624498381034</v>
      </c>
      <c r="H1750" s="1">
        <f t="shared" si="1956"/>
        <v>12.540343482730803</v>
      </c>
      <c r="I1750" s="1">
        <f t="shared" si="1956"/>
        <v>12.540426352787197</v>
      </c>
      <c r="J1750" s="1">
        <f t="shared" si="1956"/>
        <v>12.540427040899422</v>
      </c>
      <c r="K1750" s="1">
        <f t="shared" si="1956"/>
        <v>12.541358602022685</v>
      </c>
      <c r="L1750" s="1">
        <f t="shared" ref="L1750:O1750" si="1966">L11</f>
        <v>12.544035058279368</v>
      </c>
      <c r="M1750" s="1">
        <f t="shared" si="1966"/>
        <v>18.811868762304609</v>
      </c>
      <c r="N1750" s="1">
        <f t="shared" si="1966"/>
        <v>18.811870497092496</v>
      </c>
      <c r="O1750" s="1">
        <f t="shared" si="1966"/>
        <v>18.811915777362938</v>
      </c>
      <c r="P1750" s="1">
        <f t="shared" si="1958"/>
        <v>18.811920036107505</v>
      </c>
      <c r="Q1750" s="1">
        <f t="shared" si="1958"/>
        <v>18.812258139220642</v>
      </c>
      <c r="S1750" s="3"/>
    </row>
    <row r="1751" spans="2:19" x14ac:dyDescent="0.5">
      <c r="B1751" t="str">
        <f t="shared" si="1918"/>
        <v>SPS1</v>
      </c>
      <c r="C1751" t="str">
        <f t="shared" si="1919"/>
        <v>CH</v>
      </c>
      <c r="D1751" t="s">
        <v>1778</v>
      </c>
      <c r="E1751" t="str">
        <f t="shared" si="1956"/>
        <v>PJ/yr.</v>
      </c>
      <c r="F1751" s="1">
        <f t="shared" si="1956"/>
        <v>149.43048217680149</v>
      </c>
      <c r="G1751" s="1">
        <f t="shared" si="1956"/>
        <v>125.60467105526772</v>
      </c>
      <c r="H1751" s="1">
        <f t="shared" si="1956"/>
        <v>140.92857834063167</v>
      </c>
      <c r="I1751" s="1">
        <f t="shared" si="1956"/>
        <v>151.14219067521708</v>
      </c>
      <c r="J1751" s="1">
        <f t="shared" si="1956"/>
        <v>151.52031834656964</v>
      </c>
      <c r="K1751" s="1">
        <f t="shared" si="1956"/>
        <v>151.60430582580517</v>
      </c>
      <c r="L1751" s="1">
        <f t="shared" ref="L1751:O1751" si="1967">L12</f>
        <v>151.90474981202351</v>
      </c>
      <c r="M1751" s="1">
        <f t="shared" si="1967"/>
        <v>152.03914992341686</v>
      </c>
      <c r="N1751" s="1">
        <f t="shared" si="1967"/>
        <v>152.10056665268445</v>
      </c>
      <c r="O1751" s="1">
        <f t="shared" si="1967"/>
        <v>152.1571558959526</v>
      </c>
      <c r="P1751" s="1">
        <f t="shared" si="1958"/>
        <v>152.22704092726948</v>
      </c>
      <c r="Q1751" s="1">
        <f t="shared" si="1958"/>
        <v>152.28654890645248</v>
      </c>
      <c r="S1751" s="3"/>
    </row>
    <row r="1752" spans="2:19" x14ac:dyDescent="0.5">
      <c r="B1752" t="str">
        <f t="shared" si="1918"/>
        <v>SPS1</v>
      </c>
      <c r="C1752" t="str">
        <f t="shared" si="1919"/>
        <v>CH</v>
      </c>
      <c r="D1752" t="s">
        <v>1779</v>
      </c>
      <c r="E1752" t="str">
        <f t="shared" ref="E1752:K1758" si="1968">E13</f>
        <v>PJ/yr.</v>
      </c>
      <c r="F1752" s="1">
        <f t="shared" si="1968"/>
        <v>66.745680071503884</v>
      </c>
      <c r="G1752" s="1">
        <f t="shared" si="1968"/>
        <v>49.798799722391109</v>
      </c>
      <c r="H1752" s="1">
        <f t="shared" si="1968"/>
        <v>68.759993668574865</v>
      </c>
      <c r="I1752" s="1">
        <f t="shared" si="1968"/>
        <v>70.434312649408767</v>
      </c>
      <c r="J1752" s="1">
        <f t="shared" si="1968"/>
        <v>71.412657219040256</v>
      </c>
      <c r="K1752" s="1">
        <f t="shared" si="1968"/>
        <v>72.497173234813303</v>
      </c>
      <c r="L1752" s="1">
        <f t="shared" ref="L1752:O1752" si="1969">L13</f>
        <v>73.751259760003663</v>
      </c>
      <c r="M1752" s="1">
        <f t="shared" si="1969"/>
        <v>74.836026536032151</v>
      </c>
      <c r="N1752" s="1">
        <f t="shared" si="1969"/>
        <v>74.836040651777509</v>
      </c>
      <c r="O1752" s="1">
        <f t="shared" si="1969"/>
        <v>74.836026015869976</v>
      </c>
      <c r="P1752" s="1">
        <f t="shared" si="1958"/>
        <v>74.836035221176147</v>
      </c>
      <c r="Q1752" s="1">
        <f t="shared" si="1958"/>
        <v>74.83604224785708</v>
      </c>
      <c r="S1752" s="3"/>
    </row>
    <row r="1753" spans="2:19" x14ac:dyDescent="0.5">
      <c r="B1753" t="str">
        <f t="shared" si="1918"/>
        <v>SPS1</v>
      </c>
      <c r="C1753" t="str">
        <f t="shared" si="1919"/>
        <v>CH</v>
      </c>
      <c r="D1753" t="s">
        <v>1780</v>
      </c>
      <c r="E1753" t="str">
        <f t="shared" si="1968"/>
        <v>PJ/yr.</v>
      </c>
      <c r="F1753" s="1">
        <f t="shared" si="1968"/>
        <v>66.632400649744582</v>
      </c>
      <c r="G1753" s="1">
        <f t="shared" si="1968"/>
        <v>55.764000107013885</v>
      </c>
      <c r="H1753" s="1">
        <f t="shared" si="1968"/>
        <v>65.54974368884578</v>
      </c>
      <c r="I1753" s="1">
        <f t="shared" si="1968"/>
        <v>64.713757043043117</v>
      </c>
      <c r="J1753" s="1">
        <f t="shared" si="1968"/>
        <v>63.735421098953111</v>
      </c>
      <c r="K1753" s="1">
        <f t="shared" si="1968"/>
        <v>62.650907534077902</v>
      </c>
      <c r="L1753" s="1">
        <f t="shared" ref="L1753:O1753" si="1970">L14</f>
        <v>61.565868386089662</v>
      </c>
      <c r="M1753" s="1">
        <f t="shared" si="1970"/>
        <v>60.481145119729575</v>
      </c>
      <c r="N1753" s="1">
        <f t="shared" si="1970"/>
        <v>60.481130963801938</v>
      </c>
      <c r="O1753" s="1">
        <f t="shared" si="1970"/>
        <v>60.481146817568373</v>
      </c>
      <c r="P1753" s="1">
        <f t="shared" si="1958"/>
        <v>60.481137947601312</v>
      </c>
      <c r="Q1753" s="1">
        <f t="shared" si="1958"/>
        <v>60.481134043620003</v>
      </c>
      <c r="S1753" s="3"/>
    </row>
    <row r="1754" spans="2:19" x14ac:dyDescent="0.5">
      <c r="B1754" t="str">
        <f t="shared" si="1918"/>
        <v>SPS1</v>
      </c>
      <c r="C1754" t="str">
        <f t="shared" si="1919"/>
        <v>CH</v>
      </c>
      <c r="D1754" t="s">
        <v>1781</v>
      </c>
      <c r="E1754" t="str">
        <f t="shared" si="1968"/>
        <v>PJ/yr.</v>
      </c>
      <c r="F1754" s="1">
        <f t="shared" si="1968"/>
        <v>16.052401455553035</v>
      </c>
      <c r="G1754" s="1">
        <f t="shared" si="1968"/>
        <v>20.041871225862714</v>
      </c>
      <c r="H1754" s="1">
        <f t="shared" si="1968"/>
        <v>6.6188409832110073</v>
      </c>
      <c r="I1754" s="1">
        <f t="shared" si="1968"/>
        <v>15.994120982765203</v>
      </c>
      <c r="J1754" s="1">
        <f t="shared" si="1968"/>
        <v>16.372240028576268</v>
      </c>
      <c r="K1754" s="1">
        <f t="shared" si="1968"/>
        <v>16.456225056913965</v>
      </c>
      <c r="L1754" s="1">
        <f t="shared" ref="L1754:O1754" si="1971">L15</f>
        <v>16.5876216659302</v>
      </c>
      <c r="M1754" s="1">
        <f t="shared" si="1971"/>
        <v>16.721978267655103</v>
      </c>
      <c r="N1754" s="1">
        <f t="shared" si="1971"/>
        <v>16.783395037105006</v>
      </c>
      <c r="O1754" s="1">
        <f t="shared" si="1971"/>
        <v>16.839983062514253</v>
      </c>
      <c r="P1754" s="1">
        <f t="shared" si="1958"/>
        <v>16.90986775849203</v>
      </c>
      <c r="Q1754" s="1">
        <f t="shared" si="1958"/>
        <v>16.96937261497537</v>
      </c>
      <c r="S1754" s="3"/>
    </row>
    <row r="1755" spans="2:19" x14ac:dyDescent="0.5">
      <c r="B1755" t="str">
        <f t="shared" si="1918"/>
        <v>SPS1</v>
      </c>
      <c r="C1755" t="str">
        <f t="shared" si="1919"/>
        <v>CH</v>
      </c>
      <c r="D1755" t="s">
        <v>1782</v>
      </c>
      <c r="E1755" t="str">
        <f t="shared" si="1968"/>
        <v>PJ/yr.</v>
      </c>
      <c r="F1755" s="1">
        <f t="shared" si="1968"/>
        <v>12.556450311827792</v>
      </c>
      <c r="G1755" s="1">
        <f t="shared" si="1968"/>
        <v>16.522145936972041</v>
      </c>
      <c r="H1755" s="1">
        <f t="shared" si="1968"/>
        <v>32.462319986097476</v>
      </c>
      <c r="I1755" s="1">
        <f t="shared" si="1968"/>
        <v>57.941087051048818</v>
      </c>
      <c r="J1755" s="1">
        <f t="shared" si="1968"/>
        <v>85.233799938040846</v>
      </c>
      <c r="K1755" s="1">
        <f t="shared" si="1968"/>
        <v>92.631594539280698</v>
      </c>
      <c r="L1755" s="1">
        <f t="shared" ref="L1755:O1755" si="1972">L16</f>
        <v>101.61338208596649</v>
      </c>
      <c r="M1755" s="1">
        <f t="shared" si="1972"/>
        <v>114.97255921601088</v>
      </c>
      <c r="N1755" s="1">
        <f t="shared" si="1972"/>
        <v>119.39994024909466</v>
      </c>
      <c r="O1755" s="1">
        <f t="shared" si="1972"/>
        <v>123.46076825218954</v>
      </c>
      <c r="P1755" s="1">
        <f t="shared" si="1958"/>
        <v>128.43189276879724</v>
      </c>
      <c r="Q1755" s="1">
        <f t="shared" si="1958"/>
        <v>131.94525426856183</v>
      </c>
      <c r="S1755" s="3"/>
    </row>
    <row r="1756" spans="2:19" x14ac:dyDescent="0.5">
      <c r="B1756" t="str">
        <f t="shared" si="1918"/>
        <v>SPS1</v>
      </c>
      <c r="C1756" t="str">
        <f t="shared" si="1919"/>
        <v>CH</v>
      </c>
      <c r="D1756" t="s">
        <v>1783</v>
      </c>
      <c r="E1756" t="str">
        <f t="shared" si="1968"/>
        <v>PJ/yr.</v>
      </c>
      <c r="F1756" s="1">
        <f t="shared" si="1968"/>
        <v>0.52400503629566642</v>
      </c>
      <c r="G1756" s="1">
        <f t="shared" si="1968"/>
        <v>0.5452925406600283</v>
      </c>
      <c r="H1756" s="1">
        <f t="shared" si="1968"/>
        <v>0.50316516128039523</v>
      </c>
      <c r="I1756" s="1">
        <f t="shared" si="1968"/>
        <v>2.0502622416415006</v>
      </c>
      <c r="J1756" s="1">
        <f t="shared" si="1968"/>
        <v>2.6087335248677408</v>
      </c>
      <c r="K1756" s="1">
        <f t="shared" si="1968"/>
        <v>2.6087339150526816</v>
      </c>
      <c r="L1756" s="1">
        <f t="shared" ref="L1756:O1756" si="1973">L17</f>
        <v>3.0263007536665523</v>
      </c>
      <c r="M1756" s="1">
        <f t="shared" si="1973"/>
        <v>3.0263397680952497</v>
      </c>
      <c r="N1756" s="1">
        <f t="shared" si="1973"/>
        <v>3.0263384095284827</v>
      </c>
      <c r="O1756" s="1">
        <f t="shared" si="1973"/>
        <v>3.0264243265213495</v>
      </c>
      <c r="P1756" s="1">
        <f t="shared" si="1958"/>
        <v>3.0268227976903677</v>
      </c>
      <c r="Q1756" s="1">
        <f t="shared" si="1958"/>
        <v>3.0270673812866451</v>
      </c>
      <c r="S1756" s="3"/>
    </row>
    <row r="1757" spans="2:19" x14ac:dyDescent="0.5">
      <c r="B1757" t="str">
        <f t="shared" si="1918"/>
        <v>SPS1</v>
      </c>
      <c r="C1757" t="str">
        <f t="shared" si="1919"/>
        <v>CH</v>
      </c>
      <c r="D1757" t="s">
        <v>1784</v>
      </c>
      <c r="E1757" t="str">
        <f t="shared" si="1968"/>
        <v>PJ/yr.</v>
      </c>
      <c r="F1757" s="1">
        <f t="shared" si="1968"/>
        <v>18.873018616213741</v>
      </c>
      <c r="G1757" s="1">
        <f t="shared" si="1968"/>
        <v>22.214516115657155</v>
      </c>
      <c r="H1757" s="1">
        <f t="shared" si="1968"/>
        <v>26.373189168381845</v>
      </c>
      <c r="I1757" s="1">
        <f t="shared" si="1968"/>
        <v>36.119922109599393</v>
      </c>
      <c r="J1757" s="1">
        <f t="shared" si="1968"/>
        <v>54.350518553624191</v>
      </c>
      <c r="K1757" s="1">
        <f t="shared" si="1968"/>
        <v>59.953767757458081</v>
      </c>
      <c r="L1757" s="1">
        <f t="shared" ref="L1757:O1757" si="1974">L18</f>
        <v>73.078598777406995</v>
      </c>
      <c r="M1757" s="1">
        <f t="shared" si="1974"/>
        <v>86.320789810882303</v>
      </c>
      <c r="N1757" s="1">
        <f t="shared" si="1974"/>
        <v>89.416443349505954</v>
      </c>
      <c r="O1757" s="1">
        <f t="shared" si="1974"/>
        <v>90.769409480888967</v>
      </c>
      <c r="P1757" s="1">
        <f t="shared" si="1958"/>
        <v>90.553796481650295</v>
      </c>
      <c r="Q1757" s="1">
        <f t="shared" si="1958"/>
        <v>92.22605261675379</v>
      </c>
      <c r="S1757" s="3"/>
    </row>
    <row r="1758" spans="2:19" x14ac:dyDescent="0.5">
      <c r="B1758" t="str">
        <f t="shared" si="1918"/>
        <v>SPS1</v>
      </c>
      <c r="C1758" t="str">
        <f t="shared" si="1919"/>
        <v>CH</v>
      </c>
      <c r="D1758" t="s">
        <v>1785</v>
      </c>
      <c r="E1758" t="str">
        <f t="shared" si="1968"/>
        <v>PJ/yr.</v>
      </c>
      <c r="F1758" s="1">
        <f t="shared" si="1968"/>
        <v>0</v>
      </c>
      <c r="G1758" s="1">
        <f t="shared" si="1968"/>
        <v>0</v>
      </c>
      <c r="H1758" s="1">
        <f t="shared" si="1968"/>
        <v>0</v>
      </c>
      <c r="I1758" s="1">
        <f t="shared" si="1968"/>
        <v>0</v>
      </c>
      <c r="J1758" s="1">
        <f t="shared" si="1968"/>
        <v>0</v>
      </c>
      <c r="K1758" s="1">
        <f t="shared" si="1968"/>
        <v>1.4852531621137782E-4</v>
      </c>
      <c r="L1758" s="1">
        <f t="shared" ref="L1758:O1758" si="1975">L19</f>
        <v>5.5721409931531324E-2</v>
      </c>
      <c r="M1758" s="1">
        <f t="shared" si="1975"/>
        <v>5.6341404593064401E-2</v>
      </c>
      <c r="N1758" s="1">
        <f t="shared" si="1975"/>
        <v>0</v>
      </c>
      <c r="O1758" s="1">
        <f t="shared" si="1975"/>
        <v>0</v>
      </c>
      <c r="P1758" s="1">
        <f t="shared" si="1958"/>
        <v>0</v>
      </c>
      <c r="Q1758" s="1">
        <f t="shared" si="1958"/>
        <v>0</v>
      </c>
      <c r="S1758" s="3"/>
    </row>
    <row r="1759" spans="2:19" x14ac:dyDescent="0.5">
      <c r="B1759" s="9" t="str">
        <f t="shared" si="1918"/>
        <v>SPS1</v>
      </c>
      <c r="C1759" s="2" t="str">
        <f t="shared" si="1919"/>
        <v>CH</v>
      </c>
      <c r="D1759" s="2" t="s">
        <v>1788</v>
      </c>
      <c r="E1759" s="2" t="s">
        <v>1857</v>
      </c>
      <c r="F1759" s="3">
        <f t="shared" ref="F1759:K1759" si="1976">SUM(F1760,F1762,F1766,F1770,F1786,F1793,F1801,F1803,F1811,F1815,F1809)</f>
        <v>22.324939094460603</v>
      </c>
      <c r="G1759" s="3">
        <f t="shared" si="1976"/>
        <v>24.385129850865983</v>
      </c>
      <c r="H1759" s="3">
        <f t="shared" si="1976"/>
        <v>28.806639355258973</v>
      </c>
      <c r="I1759" s="3">
        <f t="shared" si="1976"/>
        <v>34.204205943973278</v>
      </c>
      <c r="J1759" s="3">
        <f t="shared" si="1976"/>
        <v>40.895001204213671</v>
      </c>
      <c r="K1759" s="3">
        <f t="shared" si="1976"/>
        <v>41.968308131221576</v>
      </c>
      <c r="L1759" s="3">
        <f t="shared" ref="L1759:O1759" si="1977">SUM(L1760,L1762,L1766,L1770,L1786,L1793,L1801,L1803,L1811,L1815,L1809)</f>
        <v>43.538733895269992</v>
      </c>
      <c r="M1759" s="3">
        <f t="shared" si="1977"/>
        <v>46.124117995009009</v>
      </c>
      <c r="N1759" s="3">
        <f t="shared" si="1977"/>
        <v>47.436303161422394</v>
      </c>
      <c r="O1759" s="3">
        <f t="shared" si="1977"/>
        <v>48.732470026049711</v>
      </c>
      <c r="P1759" s="3">
        <f>SUM(P1760,P1762,P1766,P1770,P1786,P1793,P1801,P1803,P1811,P1815,P1809)</f>
        <v>50.143442947950646</v>
      </c>
      <c r="Q1759" s="3">
        <f>SUM(Q1760,Q1762,Q1766,Q1770,Q1786,Q1793,Q1801,Q1803,Q1811,Q1815,Q1809)</f>
        <v>51.444006969415518</v>
      </c>
      <c r="S1759" s="3"/>
    </row>
    <row r="1760" spans="2:19" x14ac:dyDescent="0.5">
      <c r="B1760" s="5" t="str">
        <f t="shared" si="1918"/>
        <v>SPS1</v>
      </c>
      <c r="C1760" s="5" t="str">
        <f t="shared" si="1919"/>
        <v>CH</v>
      </c>
      <c r="D1760" t="s">
        <v>1790</v>
      </c>
      <c r="E1760" t="str">
        <f>E1759</f>
        <v>GWe/yr.</v>
      </c>
      <c r="F1760" s="1">
        <f>+F1761</f>
        <v>3.0935587219222112</v>
      </c>
      <c r="G1760" s="1">
        <f t="shared" ref="G1760:O1760" si="1978">+G1761</f>
        <v>3.0935586238935744</v>
      </c>
      <c r="H1760" s="1">
        <f t="shared" si="1978"/>
        <v>2.8346941880308449</v>
      </c>
      <c r="I1760" s="1">
        <f t="shared" si="1978"/>
        <v>2.7577517594821237</v>
      </c>
      <c r="J1760" s="1">
        <f t="shared" si="1978"/>
        <v>2.3634341605962454</v>
      </c>
      <c r="K1760" s="1">
        <f t="shared" si="1978"/>
        <v>1.3535311191749628</v>
      </c>
      <c r="L1760" s="1">
        <f t="shared" si="1978"/>
        <v>0.120558721922211</v>
      </c>
      <c r="M1760" s="1">
        <f t="shared" si="1978"/>
        <v>0.120558721922211</v>
      </c>
      <c r="N1760" s="1">
        <f t="shared" si="1978"/>
        <v>8.85558611937695E-2</v>
      </c>
      <c r="O1760" s="1">
        <f t="shared" si="1978"/>
        <v>0</v>
      </c>
      <c r="P1760" s="1">
        <f>+P1761</f>
        <v>0</v>
      </c>
      <c r="Q1760" s="1">
        <f>+Q1761</f>
        <v>0</v>
      </c>
      <c r="S1760" s="3"/>
    </row>
    <row r="1761" spans="2:19" x14ac:dyDescent="0.5">
      <c r="B1761" s="5" t="str">
        <f t="shared" si="1918"/>
        <v>SPS1</v>
      </c>
      <c r="C1761" s="5" t="str">
        <f t="shared" si="1919"/>
        <v>CH</v>
      </c>
      <c r="D1761" t="s">
        <v>1791</v>
      </c>
      <c r="E1761" t="str">
        <f t="shared" ref="E1761:E1822" si="1979">E1760</f>
        <v>GWe/yr.</v>
      </c>
      <c r="F1761" s="1">
        <f>'[1]Electricity and CHPs_CAP'!B$14</f>
        <v>3.0935587219222112</v>
      </c>
      <c r="G1761" s="1">
        <f>'[1]Electricity and CHPs_CAP'!C$14</f>
        <v>3.0935586238935744</v>
      </c>
      <c r="H1761" s="1">
        <f>'[1]Electricity and CHPs_CAP'!D$14</f>
        <v>2.8346941880308449</v>
      </c>
      <c r="I1761" s="1">
        <f>'[1]Electricity and CHPs_CAP'!E$14</f>
        <v>2.7577517594821237</v>
      </c>
      <c r="J1761" s="1">
        <f>'[1]Electricity and CHPs_CAP'!F$14</f>
        <v>2.3634341605962454</v>
      </c>
      <c r="K1761" s="1">
        <f>'[1]Electricity and CHPs_CAP'!G$14</f>
        <v>1.3535311191749628</v>
      </c>
      <c r="L1761" s="1">
        <f>'[1]Electricity and CHPs_CAP'!H$14</f>
        <v>0.120558721922211</v>
      </c>
      <c r="M1761" s="1">
        <f>'[1]Electricity and CHPs_CAP'!I$14</f>
        <v>0.120558721922211</v>
      </c>
      <c r="N1761" s="1">
        <f>'[1]Electricity and CHPs_CAP'!J$14</f>
        <v>8.85558611937695E-2</v>
      </c>
      <c r="O1761" s="1">
        <f>'[1]Electricity and CHPs_CAP'!K$14</f>
        <v>0</v>
      </c>
      <c r="P1761" s="1">
        <f>'[1]Electricity and CHPs_CAP'!L$14</f>
        <v>0</v>
      </c>
      <c r="Q1761" s="1">
        <f>'[1]Electricity and CHPs_CAP'!M$14</f>
        <v>0</v>
      </c>
      <c r="S1761" s="3"/>
    </row>
    <row r="1762" spans="2:19" x14ac:dyDescent="0.5">
      <c r="B1762" s="5" t="str">
        <f t="shared" si="1918"/>
        <v>SPS1</v>
      </c>
      <c r="C1762" s="5" t="str">
        <f t="shared" si="1919"/>
        <v>CH</v>
      </c>
      <c r="D1762" t="s">
        <v>1792</v>
      </c>
      <c r="E1762" t="str">
        <f t="shared" si="1979"/>
        <v>GWe/yr.</v>
      </c>
      <c r="F1762" s="1">
        <f>SUM(F1763:F1765)</f>
        <v>15.403610001059999</v>
      </c>
      <c r="G1762" s="1">
        <f t="shared" ref="G1762:K1762" si="1980">SUM(G1763:G1765)</f>
        <v>16.11830223664213</v>
      </c>
      <c r="H1762" s="1">
        <f t="shared" si="1980"/>
        <v>16.559960753237373</v>
      </c>
      <c r="I1762" s="1">
        <f t="shared" si="1980"/>
        <v>16.654339406222149</v>
      </c>
      <c r="J1762" s="1">
        <f t="shared" si="1980"/>
        <v>16.671867472807325</v>
      </c>
      <c r="K1762" s="1">
        <f t="shared" si="1980"/>
        <v>16.699184695265725</v>
      </c>
      <c r="L1762" s="1">
        <f t="shared" ref="L1762:O1762" si="1981">SUM(L1763:L1765)</f>
        <v>16.825864003714717</v>
      </c>
      <c r="M1762" s="1">
        <f t="shared" si="1981"/>
        <v>16.935493558880125</v>
      </c>
      <c r="N1762" s="1">
        <f t="shared" si="1981"/>
        <v>16.935494400453976</v>
      </c>
      <c r="O1762" s="1">
        <f t="shared" si="1981"/>
        <v>16.935523707542394</v>
      </c>
      <c r="P1762" s="1">
        <f>SUM(P1763:P1765)</f>
        <v>16.935525328858233</v>
      </c>
      <c r="Q1762" s="1">
        <f>SUM(Q1763:Q1765)</f>
        <v>16.935770239503398</v>
      </c>
      <c r="S1762" s="3"/>
    </row>
    <row r="1763" spans="2:19" x14ac:dyDescent="0.5">
      <c r="B1763" s="5" t="str">
        <f t="shared" si="1918"/>
        <v>SPS1</v>
      </c>
      <c r="C1763" s="5" t="str">
        <f t="shared" si="1919"/>
        <v>CH</v>
      </c>
      <c r="D1763" t="s">
        <v>1793</v>
      </c>
      <c r="E1763" t="str">
        <f t="shared" si="1979"/>
        <v>GWe/yr.</v>
      </c>
      <c r="F1763" s="1">
        <f>'[1]Electricity and CHPs_CAP'!B$15</f>
        <v>7.3394300010600002</v>
      </c>
      <c r="G1763" s="1">
        <f>'[1]Electricity and CHPs_CAP'!C$15</f>
        <v>7.3400177676983231</v>
      </c>
      <c r="H1763" s="1">
        <f>'[1]Electricity and CHPs_CAP'!D$15</f>
        <v>7.3419678556403953</v>
      </c>
      <c r="I1763" s="1">
        <f>'[1]Electricity and CHPs_CAP'!E$15</f>
        <v>7.4149267779022603</v>
      </c>
      <c r="J1763" s="1">
        <f>'[1]Electricity and CHPs_CAP'!F$15</f>
        <v>7.4248445860672367</v>
      </c>
      <c r="K1763" s="1">
        <f>'[1]Electricity and CHPs_CAP'!G$15</f>
        <v>7.4521612669792994</v>
      </c>
      <c r="L1763" s="1">
        <f>'[1]Electricity and CHPs_CAP'!H$15</f>
        <v>7.5788359106955783</v>
      </c>
      <c r="M1763" s="1">
        <f>'[1]Electricity and CHPs_CAP'!I$15</f>
        <v>7.6884426156717476</v>
      </c>
      <c r="N1763" s="1">
        <f>'[1]Electricity and CHPs_CAP'!J$15</f>
        <v>7.688443182503633</v>
      </c>
      <c r="O1763" s="1">
        <f>'[1]Electricity and CHPs_CAP'!K$15</f>
        <v>7.6884436335163056</v>
      </c>
      <c r="P1763" s="1">
        <f>'[1]Electricity and CHPs_CAP'!L$15</f>
        <v>7.6884438907000074</v>
      </c>
      <c r="Q1763" s="1">
        <f>'[1]Electricity and CHPs_CAP'!M$15</f>
        <v>7.6884470531797611</v>
      </c>
      <c r="S1763" s="3"/>
    </row>
    <row r="1764" spans="2:19" x14ac:dyDescent="0.5">
      <c r="B1764" s="5" t="str">
        <f t="shared" si="1918"/>
        <v>SPS1</v>
      </c>
      <c r="C1764" s="5" t="str">
        <f t="shared" si="1919"/>
        <v>CH</v>
      </c>
      <c r="D1764" t="s">
        <v>1794</v>
      </c>
      <c r="E1764" t="str">
        <f t="shared" si="1979"/>
        <v>GWe/yr.</v>
      </c>
      <c r="F1764" s="1">
        <f>'[1]Electricity and CHPs_CAP'!B$16</f>
        <v>4.7247299999999992</v>
      </c>
      <c r="G1764" s="1">
        <f>'[1]Electricity and CHPs_CAP'!C$16</f>
        <v>4.8071885854955507</v>
      </c>
      <c r="H1764" s="1">
        <f>'[1]Electricity and CHPs_CAP'!D$16</f>
        <v>4.8584759602697698</v>
      </c>
      <c r="I1764" s="1">
        <f>'[1]Electricity and CHPs_CAP'!E$16</f>
        <v>4.8798956909926821</v>
      </c>
      <c r="J1764" s="1">
        <f>'[1]Electricity and CHPs_CAP'!F$16</f>
        <v>4.8875055235230702</v>
      </c>
      <c r="K1764" s="1">
        <f>'[1]Electricity and CHPs_CAP'!G$16</f>
        <v>4.8875057963239517</v>
      </c>
      <c r="L1764" s="1">
        <f>'[1]Electricity and CHPs_CAP'!H$16</f>
        <v>4.8875060801379329</v>
      </c>
      <c r="M1764" s="1">
        <f>'[1]Electricity and CHPs_CAP'!I$16</f>
        <v>4.8875063424336371</v>
      </c>
      <c r="N1764" s="1">
        <f>'[1]Electricity and CHPs_CAP'!J$16</f>
        <v>4.8875065029804308</v>
      </c>
      <c r="O1764" s="1">
        <f>'[1]Electricity and CHPs_CAP'!K$16</f>
        <v>4.8875086646597579</v>
      </c>
      <c r="P1764" s="1">
        <f>'[1]Electricity and CHPs_CAP'!L$16</f>
        <v>4.8875096998909964</v>
      </c>
      <c r="Q1764" s="1">
        <f>'[1]Electricity and CHPs_CAP'!M$16</f>
        <v>4.8876331880931385</v>
      </c>
      <c r="S1764" s="3"/>
    </row>
    <row r="1765" spans="2:19" x14ac:dyDescent="0.5">
      <c r="B1765" s="5" t="str">
        <f t="shared" si="1918"/>
        <v>SPS1</v>
      </c>
      <c r="C1765" s="5" t="str">
        <f t="shared" si="1919"/>
        <v>CH</v>
      </c>
      <c r="D1765" t="s">
        <v>1795</v>
      </c>
      <c r="E1765" t="str">
        <f t="shared" si="1979"/>
        <v>GWe/yr.</v>
      </c>
      <c r="F1765" s="1">
        <f>'[1]Electricity and CHPs_CAP'!B$17</f>
        <v>3.3394499999999998</v>
      </c>
      <c r="G1765" s="1">
        <f>'[1]Electricity and CHPs_CAP'!C$17</f>
        <v>3.9710958834482586</v>
      </c>
      <c r="H1765" s="1">
        <f>'[1]Electricity and CHPs_CAP'!D$17</f>
        <v>4.359516937327208</v>
      </c>
      <c r="I1765" s="1">
        <f>'[1]Electricity and CHPs_CAP'!E$17</f>
        <v>4.359516937327208</v>
      </c>
      <c r="J1765" s="1">
        <f>'[1]Electricity and CHPs_CAP'!F$17</f>
        <v>4.3595173632170185</v>
      </c>
      <c r="K1765" s="1">
        <f>'[1]Electricity and CHPs_CAP'!G$17</f>
        <v>4.3595176319624747</v>
      </c>
      <c r="L1765" s="1">
        <f>'[1]Electricity and CHPs_CAP'!H$17</f>
        <v>4.3595220128812064</v>
      </c>
      <c r="M1765" s="1">
        <f>'[1]Electricity and CHPs_CAP'!I$17</f>
        <v>4.3595446007747398</v>
      </c>
      <c r="N1765" s="1">
        <f>'[1]Electricity and CHPs_CAP'!J$17</f>
        <v>4.359544714969914</v>
      </c>
      <c r="O1765" s="1">
        <f>'[1]Electricity and CHPs_CAP'!K$17</f>
        <v>4.35957140936633</v>
      </c>
      <c r="P1765" s="1">
        <f>'[1]Electricity and CHPs_CAP'!L$17</f>
        <v>4.3595717382672277</v>
      </c>
      <c r="Q1765" s="1">
        <f>'[1]Electricity and CHPs_CAP'!M$17</f>
        <v>4.3596899982304977</v>
      </c>
      <c r="S1765" s="3"/>
    </row>
    <row r="1766" spans="2:19" x14ac:dyDescent="0.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979"/>
        <v>GWe/yr.</v>
      </c>
      <c r="F1766" s="1">
        <f>SUM(F1767:F1769)</f>
        <v>2.9561552679321923E-2</v>
      </c>
      <c r="G1766" s="1">
        <f t="shared" ref="G1766:K1766" si="1982">SUM(G1767:G1769)</f>
        <v>4.2408597139301778E-2</v>
      </c>
      <c r="H1766" s="1">
        <f t="shared" si="1982"/>
        <v>3.5266758575065824E-2</v>
      </c>
      <c r="I1766" s="1">
        <f t="shared" si="1982"/>
        <v>9.3562108065156427E-2</v>
      </c>
      <c r="J1766" s="1">
        <f t="shared" si="1982"/>
        <v>8.4484475035090517E-2</v>
      </c>
      <c r="K1766" s="1">
        <f t="shared" si="1982"/>
        <v>8.0074970046583357E-2</v>
      </c>
      <c r="L1766" s="1">
        <f t="shared" ref="L1766:O1766" si="1983">SUM(L1767:L1769)</f>
        <v>7.4317960903624691E-2</v>
      </c>
      <c r="M1766" s="1">
        <f t="shared" si="1983"/>
        <v>7.1628126364483111E-2</v>
      </c>
      <c r="N1766" s="1">
        <f t="shared" si="1983"/>
        <v>9.1225753609480084E-3</v>
      </c>
      <c r="O1766" s="1">
        <f t="shared" si="1983"/>
        <v>6.9223710242823019E-3</v>
      </c>
      <c r="P1766" s="1">
        <f>SUM(P1767:P1769)</f>
        <v>2.5683539454645622E-2</v>
      </c>
      <c r="Q1766" s="1">
        <f>SUM(Q1767:Q1769)</f>
        <v>2.6083804704135929E-2</v>
      </c>
      <c r="S1766" s="3"/>
    </row>
    <row r="1767" spans="2:19" x14ac:dyDescent="0.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979"/>
        <v>GWe/yr.</v>
      </c>
      <c r="F1767" s="1">
        <f>'[1]Electricity and CHPs_CAP'!B$18</f>
        <v>2.0034491085252702E-2</v>
      </c>
      <c r="G1767" s="1">
        <f>'[1]Electricity and CHPs_CAP'!C$18</f>
        <v>2.0011548491050857E-2</v>
      </c>
      <c r="H1767" s="1">
        <f>'[1]Electricity and CHPs_CAP'!D$18</f>
        <v>1.2887982249631377E-2</v>
      </c>
      <c r="I1767" s="1">
        <f>'[1]Electricity and CHPs_CAP'!E$18</f>
        <v>7.1224494336027858E-2</v>
      </c>
      <c r="J1767" s="1">
        <f>'[1]Electricity and CHPs_CAP'!F$18</f>
        <v>7.3438482247058609E-2</v>
      </c>
      <c r="K1767" s="1">
        <f>'[1]Electricity and CHPs_CAP'!G$18</f>
        <v>7.9999174306351228E-2</v>
      </c>
      <c r="L1767" s="1">
        <f>'[1]Electricity and CHPs_CAP'!H$18</f>
        <v>7.4261332946613107E-2</v>
      </c>
      <c r="M1767" s="1">
        <f>'[1]Electricity and CHPs_CAP'!I$18</f>
        <v>7.1555922156459159E-2</v>
      </c>
      <c r="N1767" s="1">
        <f>'[1]Electricity and CHPs_CAP'!J$18</f>
        <v>8.8004968096500238E-3</v>
      </c>
      <c r="O1767" s="1">
        <f>'[1]Electricity and CHPs_CAP'!K$18</f>
        <v>6.5963572340510404E-3</v>
      </c>
      <c r="P1767" s="1">
        <f>'[1]Electricity and CHPs_CAP'!L$18</f>
        <v>3.0690318254067775E-4</v>
      </c>
      <c r="Q1767" s="1">
        <f>'[1]Electricity and CHPs_CAP'!M$18</f>
        <v>8.9563296550472277E-4</v>
      </c>
      <c r="S1767" s="3"/>
    </row>
    <row r="1768" spans="2:19" x14ac:dyDescent="0.5">
      <c r="B1768" s="5" t="str">
        <f t="shared" ref="B1768:C1769" si="1984">B1767</f>
        <v>SPS1</v>
      </c>
      <c r="C1768" s="5" t="str">
        <f t="shared" si="1984"/>
        <v>CH</v>
      </c>
      <c r="D1768" t="s">
        <v>1798</v>
      </c>
      <c r="E1768" t="str">
        <f t="shared" si="1979"/>
        <v>GWe/yr.</v>
      </c>
      <c r="F1768" s="1">
        <f>'[1]Electricity and CHPs_CAP'!B$28</f>
        <v>1.22180651322705E-3</v>
      </c>
      <c r="G1768" s="1">
        <f>'[1]Electricity and CHPs_CAP'!C$28</f>
        <v>2.186870621281381E-4</v>
      </c>
      <c r="H1768" s="1">
        <f>'[1]Electricity and CHPs_CAP'!D$28</f>
        <v>2.0060419953112953E-4</v>
      </c>
      <c r="I1768" s="1">
        <f>'[1]Electricity and CHPs_CAP'!E$28</f>
        <v>1.595346233965924E-4</v>
      </c>
      <c r="J1768" s="1">
        <f>'[1]Electricity and CHPs_CAP'!F$28</f>
        <v>1.5321328693791974E-4</v>
      </c>
      <c r="K1768" s="1">
        <f>'[1]Electricity and CHPs_CAP'!G$28</f>
        <v>7.5795740232131208E-5</v>
      </c>
      <c r="L1768" s="1">
        <f>'[1]Electricity and CHPs_CAP'!H$28</f>
        <v>5.66279570115849E-5</v>
      </c>
      <c r="M1768" s="1">
        <f>'[1]Electricity and CHPs_CAP'!I$28</f>
        <v>7.2204208023946134E-5</v>
      </c>
      <c r="N1768" s="1">
        <f>'[1]Electricity and CHPs_CAP'!J$28</f>
        <v>7.0761721859343888E-5</v>
      </c>
      <c r="O1768" s="1">
        <f>'[1]Electricity and CHPs_CAP'!K$28</f>
        <v>6.94854973144294E-5</v>
      </c>
      <c r="P1768" s="1">
        <f>'[1]Electricity and CHPs_CAP'!L$28</f>
        <v>3.8801550900217415E-5</v>
      </c>
      <c r="Q1768" s="1">
        <f>'[1]Electricity and CHPs_CAP'!M$28</f>
        <v>1.9790291157496881E-5</v>
      </c>
      <c r="S1768" s="3"/>
    </row>
    <row r="1769" spans="2:19" x14ac:dyDescent="0.5">
      <c r="B1769" s="5" t="str">
        <f t="shared" si="1984"/>
        <v>SPS1</v>
      </c>
      <c r="C1769" s="5" t="str">
        <f t="shared" si="1984"/>
        <v>CH</v>
      </c>
      <c r="D1769" t="s">
        <v>1799</v>
      </c>
      <c r="E1769" t="str">
        <f t="shared" si="1979"/>
        <v>GWe/yr.</v>
      </c>
      <c r="F1769" s="1">
        <f>'[1]Electricity and CHPs_CAP'!B$41</f>
        <v>8.3052550808421707E-3</v>
      </c>
      <c r="G1769" s="1">
        <f>'[1]Electricity and CHPs_CAP'!C$41</f>
        <v>2.2178361586122783E-2</v>
      </c>
      <c r="H1769" s="1">
        <f>'[1]Electricity and CHPs_CAP'!D$41</f>
        <v>2.2178172125903318E-2</v>
      </c>
      <c r="I1769" s="1">
        <f>'[1]Electricity and CHPs_CAP'!E$41</f>
        <v>2.2178079105731979E-2</v>
      </c>
      <c r="J1769" s="1">
        <f>'[1]Electricity and CHPs_CAP'!F$41</f>
        <v>1.0892779501093987E-2</v>
      </c>
      <c r="K1769" s="1">
        <f>'[1]Electricity and CHPs_CAP'!G$41</f>
        <v>0</v>
      </c>
      <c r="L1769" s="1">
        <f>'[1]Electricity and CHPs_CAP'!H$41</f>
        <v>0</v>
      </c>
      <c r="M1769" s="1">
        <f>'[1]Electricity and CHPs_CAP'!I$41</f>
        <v>0</v>
      </c>
      <c r="N1769" s="1">
        <f>'[1]Electricity and CHPs_CAP'!J$41</f>
        <v>2.51316829438641E-4</v>
      </c>
      <c r="O1769" s="1">
        <f>'[1]Electricity and CHPs_CAP'!K$41</f>
        <v>2.5652829291683229E-4</v>
      </c>
      <c r="P1769" s="1">
        <f>'[1]Electricity and CHPs_CAP'!L$41</f>
        <v>2.5337834721204728E-2</v>
      </c>
      <c r="Q1769" s="1">
        <f>'[1]Electricity and CHPs_CAP'!M$41</f>
        <v>2.5168381447473707E-2</v>
      </c>
      <c r="S1769" s="3"/>
    </row>
    <row r="1770" spans="2:19" x14ac:dyDescent="0.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979"/>
        <v>GWe/yr.</v>
      </c>
      <c r="F1770" s="1">
        <f>SUM(F1771:F1785)</f>
        <v>0.22245502216016677</v>
      </c>
      <c r="G1770" s="1">
        <f t="shared" ref="G1770:K1770" si="1985">SUM(G1771:G1785)</f>
        <v>0.19690924708495544</v>
      </c>
      <c r="H1770" s="1">
        <f t="shared" si="1985"/>
        <v>0.18982383362249858</v>
      </c>
      <c r="I1770" s="1">
        <f t="shared" si="1985"/>
        <v>0.19130652586151087</v>
      </c>
      <c r="J1770" s="1">
        <f t="shared" si="1985"/>
        <v>0.21371292797510555</v>
      </c>
      <c r="K1770" s="1">
        <f t="shared" si="1985"/>
        <v>0.21952726440475537</v>
      </c>
      <c r="L1770" s="1">
        <f t="shared" ref="L1770:O1770" si="1986">SUM(L1771:L1785)</f>
        <v>0.27183475778180494</v>
      </c>
      <c r="M1770" s="1">
        <f t="shared" si="1986"/>
        <v>0.37999741140326837</v>
      </c>
      <c r="N1770" s="1">
        <f t="shared" si="1986"/>
        <v>0.60541806436058854</v>
      </c>
      <c r="O1770" s="1">
        <f t="shared" si="1986"/>
        <v>0.81644396730933655</v>
      </c>
      <c r="P1770" s="1">
        <f>SUM(P1771:P1785)</f>
        <v>0.87732528939070586</v>
      </c>
      <c r="Q1770" s="1">
        <f>SUM(Q1771:Q1785)</f>
        <v>0.96300187730833731</v>
      </c>
      <c r="S1770" s="3"/>
    </row>
    <row r="1771" spans="2:19" x14ac:dyDescent="0.5">
      <c r="B1771" s="5" t="str">
        <f t="shared" ref="B1771:C1784" si="1987">B1770</f>
        <v>SPS1</v>
      </c>
      <c r="C1771" s="5" t="str">
        <f t="shared" si="1987"/>
        <v>CH</v>
      </c>
      <c r="D1771" t="s">
        <v>1801</v>
      </c>
      <c r="E1771" t="str">
        <f t="shared" si="1979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'[1]Electricity and CHPs_CAP'!F$21</f>
        <v>0</v>
      </c>
      <c r="K1771" s="1">
        <f>'[1]Electricity and CHPs_CAP'!G$21</f>
        <v>1.3495214409202001E-6</v>
      </c>
      <c r="L1771" s="1">
        <f>'[1]Electricity and CHPs_CAP'!H$21</f>
        <v>1.5699473415975297E-6</v>
      </c>
      <c r="M1771" s="1">
        <f>'[1]Electricity and CHPs_CAP'!I$21</f>
        <v>3.3980855176926299E-6</v>
      </c>
      <c r="N1771" s="1">
        <f>'[1]Electricity and CHPs_CAP'!J$21</f>
        <v>9.60899861415303E-5</v>
      </c>
      <c r="O1771" s="1">
        <f>'[1]Electricity and CHPs_CAP'!K$21</f>
        <v>1.0982694813244676E-4</v>
      </c>
      <c r="P1771" s="1">
        <f>'[1]Electricity and CHPs_CAP'!L$21</f>
        <v>1.4891181901441499E-4</v>
      </c>
      <c r="Q1771" s="1">
        <f>'[1]Electricity and CHPs_CAP'!M$21</f>
        <v>1.9028936782447935E-4</v>
      </c>
      <c r="S1771" s="3"/>
    </row>
    <row r="1772" spans="2:19" x14ac:dyDescent="0.5">
      <c r="B1772" s="5" t="str">
        <f t="shared" si="1987"/>
        <v>SPS1</v>
      </c>
      <c r="C1772" s="5" t="str">
        <f t="shared" si="1987"/>
        <v>CH</v>
      </c>
      <c r="D1772" t="s">
        <v>1802</v>
      </c>
      <c r="E1772" t="str">
        <f t="shared" si="1979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'[1]Electricity and CHPs_CAP'!F$22</f>
        <v>6.3915137608970402E-5</v>
      </c>
      <c r="K1772" s="1">
        <f>'[1]Electricity and CHPs_CAP'!G$22</f>
        <v>2.6635266523868334E-4</v>
      </c>
      <c r="L1772" s="1">
        <f>'[1]Electricity and CHPs_CAP'!H$22</f>
        <v>3.3489185570502531E-4</v>
      </c>
      <c r="M1772" s="1">
        <f>'[1]Electricity and CHPs_CAP'!I$22</f>
        <v>4.0672419918027971E-4</v>
      </c>
      <c r="N1772" s="1">
        <f>'[1]Electricity and CHPs_CAP'!J$22</f>
        <v>4.0815306586550583E-4</v>
      </c>
      <c r="O1772" s="1">
        <f>'[1]Electricity and CHPs_CAP'!K$22</f>
        <v>3.4258324410867445E-4</v>
      </c>
      <c r="P1772" s="1">
        <f>'[1]Electricity and CHPs_CAP'!L$22</f>
        <v>3.0779498960013173E-4</v>
      </c>
      <c r="Q1772" s="1">
        <f>'[1]Electricity and CHPs_CAP'!M$22</f>
        <v>4.3380992631396006E-4</v>
      </c>
      <c r="S1772" s="3"/>
    </row>
    <row r="1773" spans="2:19" x14ac:dyDescent="0.5">
      <c r="B1773" s="5" t="str">
        <f t="shared" si="1987"/>
        <v>SPS1</v>
      </c>
      <c r="C1773" s="5" t="str">
        <f t="shared" si="1987"/>
        <v>CH</v>
      </c>
      <c r="D1773" t="s">
        <v>1803</v>
      </c>
      <c r="E1773" t="str">
        <f t="shared" si="1979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'[1]Electricity and CHPs_CAP'!F$23</f>
        <v>0</v>
      </c>
      <c r="K1773" s="1">
        <f>'[1]Electricity and CHPs_CAP'!G$23</f>
        <v>0</v>
      </c>
      <c r="L1773" s="1">
        <f>'[1]Electricity and CHPs_CAP'!H$23</f>
        <v>1.44102495743651E-6</v>
      </c>
      <c r="M1773" s="1">
        <f>'[1]Electricity and CHPs_CAP'!I$23</f>
        <v>2.9928512294744301E-6</v>
      </c>
      <c r="N1773" s="1">
        <f>'[1]Electricity and CHPs_CAP'!J$23</f>
        <v>0.19195932377143521</v>
      </c>
      <c r="O1773" s="1">
        <f>'[1]Electricity and CHPs_CAP'!K$23</f>
        <v>0.34889325171454244</v>
      </c>
      <c r="P1773" s="1">
        <f>'[1]Electricity and CHPs_CAP'!L$23</f>
        <v>0.34889329999172458</v>
      </c>
      <c r="Q1773" s="1">
        <f>'[1]Electricity and CHPs_CAP'!M$23</f>
        <v>0.3488921171127059</v>
      </c>
      <c r="S1773" s="3"/>
    </row>
    <row r="1774" spans="2:19" x14ac:dyDescent="0.5">
      <c r="B1774" s="5" t="str">
        <f t="shared" si="1987"/>
        <v>SPS1</v>
      </c>
      <c r="C1774" s="5" t="str">
        <f t="shared" si="1987"/>
        <v>CH</v>
      </c>
      <c r="D1774" t="s">
        <v>1804</v>
      </c>
      <c r="E1774" t="str">
        <f t="shared" si="1979"/>
        <v>GWe/yr.</v>
      </c>
      <c r="F1774" s="1">
        <f>IF('[1]Electricity and CHPs_CAP'!B$24&lt;0,0,'[1]Electricity and CHPs_CAP'!B$24)</f>
        <v>4.5125431785257894E-2</v>
      </c>
      <c r="G1774" s="1">
        <f>IF('[1]Electricity and CHPs_CAP'!C$24&lt;0,0,'[1]Electricity and CHPs_CAP'!C$24)</f>
        <v>2.6710712870581244E-5</v>
      </c>
      <c r="H1774" s="1">
        <f>IF('[1]Electricity and CHPs_CAP'!D$24&lt;0,0,'[1]Electricity and CHPs_CAP'!D$24)</f>
        <v>2.6711969773690614E-5</v>
      </c>
      <c r="I1774" s="1">
        <f>IF('[1]Electricity and CHPs_CAP'!E$24&lt;0,0,'[1]Electricity and CHPs_CAP'!E$24)</f>
        <v>0</v>
      </c>
      <c r="J1774" s="1">
        <f>IF('[1]Electricity and CHPs_CAP'!F$24&lt;0,0,'[1]Electricity and CHPs_CAP'!F$24)</f>
        <v>0</v>
      </c>
      <c r="K1774" s="1">
        <f>IF('[1]Electricity and CHPs_CAP'!G$24&lt;0,0,'[1]Electricity and CHPs_CAP'!G$24)</f>
        <v>0</v>
      </c>
      <c r="L1774" s="1">
        <f>IF('[1]Electricity and CHPs_CAP'!H$24&lt;0,0,'[1]Electricity and CHPs_CAP'!H$24)</f>
        <v>0</v>
      </c>
      <c r="M1774" s="1">
        <f>IF('[1]Electricity and CHPs_CAP'!I$24&lt;0,0,'[1]Electricity and CHPs_CAP'!I$24)</f>
        <v>0</v>
      </c>
      <c r="N1774" s="1">
        <f>IF('[1]Electricity and CHPs_CAP'!J$24&lt;0,0,'[1]Electricity and CHPs_CAP'!J$24)</f>
        <v>0</v>
      </c>
      <c r="O1774" s="1">
        <f>IF('[1]Electricity and CHPs_CAP'!K$24&lt;0,0,'[1]Electricity and CHPs_CAP'!K$24)</f>
        <v>0</v>
      </c>
      <c r="P1774" s="1">
        <f>IF('[1]Electricity and CHPs_CAP'!L$24&lt;0,0,'[1]Electricity and CHPs_CAP'!L$24)</f>
        <v>0</v>
      </c>
      <c r="Q1774" s="1">
        <f>IF('[1]Electricity and CHPs_CAP'!M$24&lt;0,0,'[1]Electricity and CHPs_CAP'!M$24)</f>
        <v>0</v>
      </c>
      <c r="S1774" s="3"/>
    </row>
    <row r="1775" spans="2:19" x14ac:dyDescent="0.5">
      <c r="B1775" s="5" t="str">
        <f t="shared" si="1987"/>
        <v>SPS1</v>
      </c>
      <c r="C1775" s="5" t="str">
        <f t="shared" si="1987"/>
        <v>CH</v>
      </c>
      <c r="D1775" t="s">
        <v>1805</v>
      </c>
      <c r="E1775" t="str">
        <f t="shared" si="1979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'[1]Electricity and CHPs_CAP'!F$29</f>
        <v>0</v>
      </c>
      <c r="K1775" s="1">
        <f>'[1]Electricity and CHPs_CAP'!G$29</f>
        <v>0</v>
      </c>
      <c r="L1775" s="1">
        <f>'[1]Electricity and CHPs_CAP'!H$29</f>
        <v>0</v>
      </c>
      <c r="M1775" s="1">
        <f>'[1]Electricity and CHPs_CAP'!I$29</f>
        <v>0</v>
      </c>
      <c r="N1775" s="1">
        <f>'[1]Electricity and CHPs_CAP'!J$29</f>
        <v>0</v>
      </c>
      <c r="O1775" s="1">
        <f>'[1]Electricity and CHPs_CAP'!K$29</f>
        <v>0</v>
      </c>
      <c r="P1775" s="1">
        <f>'[1]Electricity and CHPs_CAP'!L$29</f>
        <v>0</v>
      </c>
      <c r="Q1775" s="1">
        <f>'[1]Electricity and CHPs_CAP'!M$29</f>
        <v>0</v>
      </c>
      <c r="S1775" s="3"/>
    </row>
    <row r="1776" spans="2:19" x14ac:dyDescent="0.5">
      <c r="B1776" s="5" t="str">
        <f t="shared" si="1987"/>
        <v>SPS1</v>
      </c>
      <c r="C1776" s="5" t="str">
        <f t="shared" si="1987"/>
        <v>CH</v>
      </c>
      <c r="D1776" t="s">
        <v>1806</v>
      </c>
      <c r="E1776" t="str">
        <f t="shared" si="1979"/>
        <v>GWe/yr.</v>
      </c>
      <c r="F1776" s="1">
        <f>'[1]Electricity and CHPs_CAP'!B$39</f>
        <v>2.6334187352073907E-2</v>
      </c>
      <c r="G1776" s="1">
        <f>'[1]Electricity and CHPs_CAP'!C$39</f>
        <v>1.9476876477775809E-2</v>
      </c>
      <c r="H1776" s="1">
        <f>'[1]Electricity and CHPs_CAP'!D$39</f>
        <v>1.2389338873356623E-2</v>
      </c>
      <c r="I1776" s="1">
        <f>'[1]Electricity and CHPs_CAP'!E$39</f>
        <v>1.5538276028703297E-2</v>
      </c>
      <c r="J1776" s="1">
        <f>'[1]Electricity and CHPs_CAP'!F$39</f>
        <v>4.6722004123493303E-2</v>
      </c>
      <c r="K1776" s="1">
        <f>'[1]Electricity and CHPs_CAP'!G$39</f>
        <v>6.8832843430291182E-2</v>
      </c>
      <c r="L1776" s="1">
        <f>'[1]Electricity and CHPs_CAP'!H$39</f>
        <v>6.5099429417863064E-2</v>
      </c>
      <c r="M1776" s="1">
        <f>'[1]Electricity and CHPs_CAP'!I$39</f>
        <v>6.0776058012930012E-2</v>
      </c>
      <c r="N1776" s="1">
        <f>'[1]Electricity and CHPs_CAP'!J$39</f>
        <v>6.1097076820806062E-2</v>
      </c>
      <c r="O1776" s="1">
        <f>'[1]Electricity and CHPs_CAP'!K$39</f>
        <v>4.3251205669566861E-2</v>
      </c>
      <c r="P1776" s="1">
        <f>'[1]Electricity and CHPs_CAP'!L$39</f>
        <v>6.1010092312343861E-2</v>
      </c>
      <c r="Q1776" s="1">
        <f>'[1]Electricity and CHPs_CAP'!M$39</f>
        <v>6.0978473180983692E-2</v>
      </c>
      <c r="S1776" s="3"/>
    </row>
    <row r="1777" spans="2:19" x14ac:dyDescent="0.5">
      <c r="B1777" s="5" t="str">
        <f t="shared" si="1987"/>
        <v>SPS1</v>
      </c>
      <c r="C1777" s="5" t="str">
        <f t="shared" si="1987"/>
        <v>CH</v>
      </c>
      <c r="D1777" t="s">
        <v>1807</v>
      </c>
      <c r="E1777" t="str">
        <f t="shared" si="1979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'[1]Electricity and CHPs_CAP'!F$40</f>
        <v>0</v>
      </c>
      <c r="K1777" s="1">
        <f>'[1]Electricity and CHPs_CAP'!G$40</f>
        <v>2.21432419492082E-4</v>
      </c>
      <c r="L1777" s="1">
        <f>'[1]Electricity and CHPs_CAP'!H$40</f>
        <v>1.2726444134720974E-2</v>
      </c>
      <c r="M1777" s="1">
        <f>'[1]Electricity and CHPs_CAP'!I$40</f>
        <v>2.4720381559183074E-2</v>
      </c>
      <c r="N1777" s="1">
        <f>'[1]Electricity and CHPs_CAP'!J$40</f>
        <v>2.4694196121827217E-2</v>
      </c>
      <c r="O1777" s="1">
        <f>'[1]Electricity and CHPs_CAP'!K$40</f>
        <v>2.4503522037546133E-2</v>
      </c>
      <c r="P1777" s="1">
        <f>'[1]Electricity and CHPs_CAP'!L$40</f>
        <v>1.9947523326694888E-2</v>
      </c>
      <c r="Q1777" s="1">
        <f>'[1]Electricity and CHPs_CAP'!M$40</f>
        <v>1.861198922478954E-2</v>
      </c>
      <c r="S1777" s="3"/>
    </row>
    <row r="1778" spans="2:19" x14ac:dyDescent="0.5">
      <c r="B1778" s="5" t="str">
        <f t="shared" si="1987"/>
        <v>SPS1</v>
      </c>
      <c r="C1778" s="5" t="str">
        <f t="shared" si="1987"/>
        <v>CH</v>
      </c>
      <c r="D1778" t="s">
        <v>1808</v>
      </c>
      <c r="E1778" t="str">
        <f t="shared" si="1979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2.2319037342327399E-5</v>
      </c>
      <c r="J1778" s="1">
        <f>'[1]Electricity and CHPs_CAP'!F$47</f>
        <v>4.2086687801299215E-5</v>
      </c>
      <c r="K1778" s="1">
        <f>'[1]Electricity and CHPs_CAP'!G$47</f>
        <v>9.4488952440760599E-5</v>
      </c>
      <c r="L1778" s="1">
        <f>'[1]Electricity and CHPs_CAP'!H$47</f>
        <v>7.7724261793455542E-5</v>
      </c>
      <c r="M1778" s="1">
        <f>'[1]Electricity and CHPs_CAP'!I$47</f>
        <v>8.689486503351945E-5</v>
      </c>
      <c r="N1778" s="1">
        <f>'[1]Electricity and CHPs_CAP'!J$47</f>
        <v>7.2241025880492494E-5</v>
      </c>
      <c r="O1778" s="1">
        <f>'[1]Electricity and CHPs_CAP'!K$47</f>
        <v>8.6504252952552876E-5</v>
      </c>
      <c r="P1778" s="1">
        <f>'[1]Electricity and CHPs_CAP'!L$47</f>
        <v>7.1801411390581376E-5</v>
      </c>
      <c r="Q1778" s="1">
        <f>'[1]Electricity and CHPs_CAP'!M$47</f>
        <v>8.2346603504927091E-5</v>
      </c>
      <c r="S1778" s="3"/>
    </row>
    <row r="1779" spans="2:19" x14ac:dyDescent="0.5">
      <c r="B1779" s="5" t="str">
        <f t="shared" si="1987"/>
        <v>SPS1</v>
      </c>
      <c r="C1779" s="5" t="str">
        <f t="shared" si="1987"/>
        <v>CH</v>
      </c>
      <c r="D1779" t="s">
        <v>1809</v>
      </c>
      <c r="E1779" t="str">
        <f t="shared" si="1979"/>
        <v>GWe/yr.</v>
      </c>
      <c r="F1779" s="1">
        <f>'[1]Electricity and CHPs_CAP'!B$48</f>
        <v>3.9231362500107194E-3</v>
      </c>
      <c r="G1779" s="1">
        <f>'[1]Electricity and CHPs_CAP'!C$48</f>
        <v>4.3424938161098998E-4</v>
      </c>
      <c r="H1779" s="1">
        <f>'[1]Electricity and CHPs_CAP'!D$48</f>
        <v>4.3393612854007003E-4</v>
      </c>
      <c r="I1779" s="1">
        <f>'[1]Electricity and CHPs_CAP'!E$48</f>
        <v>4.3138149487136789E-4</v>
      </c>
      <c r="J1779" s="1">
        <f>'[1]Electricity and CHPs_CAP'!F$48</f>
        <v>4.0606976952689468E-4</v>
      </c>
      <c r="K1779" s="1">
        <f>'[1]Electricity and CHPs_CAP'!G$48</f>
        <v>1.7694762318957384E-4</v>
      </c>
      <c r="L1779" s="1">
        <f>'[1]Electricity and CHPs_CAP'!H$48</f>
        <v>0</v>
      </c>
      <c r="M1779" s="1">
        <f>'[1]Electricity and CHPs_CAP'!I$48</f>
        <v>0</v>
      </c>
      <c r="N1779" s="1">
        <f>'[1]Electricity and CHPs_CAP'!J$48</f>
        <v>1.0236873816474951E-4</v>
      </c>
      <c r="O1779" s="1">
        <f>'[1]Electricity and CHPs_CAP'!K$48</f>
        <v>1.5116132338082402E-4</v>
      </c>
      <c r="P1779" s="1">
        <f>'[1]Electricity and CHPs_CAP'!L$48</f>
        <v>1.5641345977780325E-4</v>
      </c>
      <c r="Q1779" s="1">
        <f>'[1]Electricity and CHPs_CAP'!M$48</f>
        <v>1.8117235216624707E-4</v>
      </c>
      <c r="S1779" s="3"/>
    </row>
    <row r="1780" spans="2:19" x14ac:dyDescent="0.5">
      <c r="B1780" s="5" t="str">
        <f t="shared" si="1987"/>
        <v>SPS1</v>
      </c>
      <c r="C1780" s="5" t="str">
        <f t="shared" si="1987"/>
        <v>CH</v>
      </c>
      <c r="D1780" t="s">
        <v>1810</v>
      </c>
      <c r="E1780" t="str">
        <f t="shared" si="1979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0</v>
      </c>
      <c r="J1780" s="1">
        <f>'[1]Electricity and CHPs_CAP'!F$49</f>
        <v>0</v>
      </c>
      <c r="K1780" s="1">
        <f>'[1]Electricity and CHPs_CAP'!G$49</f>
        <v>0</v>
      </c>
      <c r="L1780" s="1">
        <f>'[1]Electricity and CHPs_CAP'!H$49</f>
        <v>0</v>
      </c>
      <c r="M1780" s="1">
        <f>'[1]Electricity and CHPs_CAP'!I$49</f>
        <v>0</v>
      </c>
      <c r="N1780" s="1">
        <f>'[1]Electricity and CHPs_CAP'!J$49</f>
        <v>3.4400817091506498E-5</v>
      </c>
      <c r="O1780" s="1">
        <f>'[1]Electricity and CHPs_CAP'!K$49</f>
        <v>5.7838061268956594E-5</v>
      </c>
      <c r="P1780" s="1">
        <f>'[1]Electricity and CHPs_CAP'!L$49</f>
        <v>5.805247681023329E-5</v>
      </c>
      <c r="Q1780" s="1">
        <f>'[1]Electricity and CHPs_CAP'!M$49</f>
        <v>1.0732393481571553E-4</v>
      </c>
      <c r="S1780" s="3"/>
    </row>
    <row r="1781" spans="2:19" x14ac:dyDescent="0.5">
      <c r="B1781" s="5" t="str">
        <f t="shared" si="1987"/>
        <v>SPS1</v>
      </c>
      <c r="C1781" s="5" t="str">
        <f t="shared" si="1987"/>
        <v>CH</v>
      </c>
      <c r="D1781" t="s">
        <v>1811</v>
      </c>
      <c r="E1781" t="str">
        <f t="shared" si="1979"/>
        <v>GWe/yr.</v>
      </c>
      <c r="F1781" s="1">
        <f>'[1]Electricity and CHPs_CAP'!B$51</f>
        <v>8.3595667728242808E-3</v>
      </c>
      <c r="G1781" s="1">
        <f>'[1]Electricity and CHPs_CAP'!C$51</f>
        <v>8.5679721820490912E-3</v>
      </c>
      <c r="H1781" s="1">
        <f>'[1]Electricity and CHPs_CAP'!D$51</f>
        <v>8.5679086459906784E-3</v>
      </c>
      <c r="I1781" s="1">
        <f>'[1]Electricity and CHPs_CAP'!E$51</f>
        <v>8.5677782488674716E-3</v>
      </c>
      <c r="J1781" s="1">
        <f>'[1]Electricity and CHPs_CAP'!F$51</f>
        <v>8.5670635662779548E-3</v>
      </c>
      <c r="K1781" s="1">
        <f>'[1]Electricity and CHPs_CAP'!G$51</f>
        <v>3.5975189476694651E-3</v>
      </c>
      <c r="L1781" s="1">
        <f>'[1]Electricity and CHPs_CAP'!H$51</f>
        <v>0</v>
      </c>
      <c r="M1781" s="1">
        <f>'[1]Electricity and CHPs_CAP'!I$51</f>
        <v>0</v>
      </c>
      <c r="N1781" s="1">
        <f>'[1]Electricity and CHPs_CAP'!J$51</f>
        <v>1.2645496367662631E-4</v>
      </c>
      <c r="O1781" s="1">
        <f>'[1]Electricity and CHPs_CAP'!K$51</f>
        <v>2.5151001540173228E-4</v>
      </c>
      <c r="P1781" s="1">
        <f>'[1]Electricity and CHPs_CAP'!L$51</f>
        <v>2.514174213222305E-4</v>
      </c>
      <c r="Q1781" s="1">
        <f>'[1]Electricity and CHPs_CAP'!M$51</f>
        <v>3.1507853424898288E-4</v>
      </c>
      <c r="S1781" s="3"/>
    </row>
    <row r="1782" spans="2:19" x14ac:dyDescent="0.5">
      <c r="B1782" s="5" t="str">
        <f t="shared" si="1987"/>
        <v>SPS1</v>
      </c>
      <c r="C1782" s="5" t="str">
        <f t="shared" si="1987"/>
        <v>CH</v>
      </c>
      <c r="D1782" t="s">
        <v>1812</v>
      </c>
      <c r="E1782" t="str">
        <f t="shared" si="1979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0</v>
      </c>
      <c r="J1782" s="1">
        <f>'[1]Electricity and CHPs_CAP'!F$52</f>
        <v>0</v>
      </c>
      <c r="K1782" s="1">
        <f>'[1]Electricity and CHPs_CAP'!G$52</f>
        <v>0</v>
      </c>
      <c r="L1782" s="1">
        <f>'[1]Electricity and CHPs_CAP'!H$52</f>
        <v>0</v>
      </c>
      <c r="M1782" s="1">
        <f>'[1]Electricity and CHPs_CAP'!I$52</f>
        <v>0</v>
      </c>
      <c r="N1782" s="1">
        <f>'[1]Electricity and CHPs_CAP'!J$52</f>
        <v>9.2141107363259299E-5</v>
      </c>
      <c r="O1782" s="1">
        <f>'[1]Electricity and CHPs_CAP'!K$52</f>
        <v>1.6643370886631752E-4</v>
      </c>
      <c r="P1782" s="1">
        <f>'[1]Electricity and CHPs_CAP'!L$52</f>
        <v>1.6668588510695783E-4</v>
      </c>
      <c r="Q1782" s="1">
        <f>'[1]Electricity and CHPs_CAP'!M$52</f>
        <v>2.6962517440898731E-4</v>
      </c>
      <c r="S1782" s="3"/>
    </row>
    <row r="1783" spans="2:19" x14ac:dyDescent="0.5">
      <c r="B1783" s="5" t="str">
        <f t="shared" si="1987"/>
        <v>SPS1</v>
      </c>
      <c r="C1783" s="5" t="str">
        <f t="shared" si="1987"/>
        <v>CH</v>
      </c>
      <c r="D1783" t="s">
        <v>1813</v>
      </c>
      <c r="E1783" t="str">
        <f t="shared" si="1979"/>
        <v>GWe/yr.</v>
      </c>
      <c r="F1783" s="1">
        <f>'[1]Electricity and CHPs_CAP'!B$54</f>
        <v>7.35127E-2</v>
      </c>
      <c r="G1783" s="1">
        <f>'[1]Electricity and CHPs_CAP'!C$54</f>
        <v>8.4744436234638898E-2</v>
      </c>
      <c r="H1783" s="1">
        <f>'[1]Electricity and CHPs_CAP'!D$54</f>
        <v>8.4747687263552141E-2</v>
      </c>
      <c r="I1783" s="1">
        <f>'[1]Electricity and CHPs_CAP'!E$54</f>
        <v>8.4747822019729802E-2</v>
      </c>
      <c r="J1783" s="1">
        <f>'[1]Electricity and CHPs_CAP'!F$54</f>
        <v>8.4879018735396772E-2</v>
      </c>
      <c r="K1783" s="1">
        <f>'[1]Electricity and CHPs_CAP'!G$54</f>
        <v>0.10269879226136384</v>
      </c>
      <c r="L1783" s="1">
        <f>'[1]Electricity and CHPs_CAP'!H$54</f>
        <v>0.19359325713942341</v>
      </c>
      <c r="M1783" s="1">
        <f>'[1]Electricity and CHPs_CAP'!I$54</f>
        <v>0.29400096183019431</v>
      </c>
      <c r="N1783" s="1">
        <f>'[1]Electricity and CHPs_CAP'!J$54</f>
        <v>0.32660170856907911</v>
      </c>
      <c r="O1783" s="1">
        <f>'[1]Electricity and CHPs_CAP'!K$54</f>
        <v>0.39845873455959424</v>
      </c>
      <c r="P1783" s="1">
        <f>'[1]Electricity and CHPs_CAP'!L$54</f>
        <v>0.4461557282013634</v>
      </c>
      <c r="Q1783" s="1">
        <f>'[1]Electricity and CHPs_CAP'!M$54</f>
        <v>0.53265842907135952</v>
      </c>
      <c r="S1783" s="3"/>
    </row>
    <row r="1784" spans="2:19" x14ac:dyDescent="0.5">
      <c r="B1784" s="5" t="str">
        <f t="shared" si="1987"/>
        <v>SPS1</v>
      </c>
      <c r="C1784" s="5" t="str">
        <f t="shared" si="1987"/>
        <v>CH</v>
      </c>
      <c r="D1784" t="s">
        <v>1814</v>
      </c>
      <c r="E1784" t="str">
        <f t="shared" si="1979"/>
        <v>GWe/yr.</v>
      </c>
      <c r="F1784" s="1">
        <f>'[1]Electricity and CHPs_CAP'!B$55</f>
        <v>6.5199999999999994E-2</v>
      </c>
      <c r="G1784" s="1">
        <f>'[1]Electricity and CHPs_CAP'!C$55</f>
        <v>8.3659002096010085E-2</v>
      </c>
      <c r="H1784" s="1">
        <f>'[1]Electricity and CHPs_CAP'!D$55</f>
        <v>8.3658250741285384E-2</v>
      </c>
      <c r="I1784" s="1">
        <f>'[1]Electricity and CHPs_CAP'!E$55</f>
        <v>8.1998949031996601E-2</v>
      </c>
      <c r="J1784" s="1">
        <f>'[1]Electricity and CHPs_CAP'!F$55</f>
        <v>7.303276995500034E-2</v>
      </c>
      <c r="K1784" s="1">
        <f>'[1]Electricity and CHPs_CAP'!G$55</f>
        <v>4.3637538583628871E-2</v>
      </c>
      <c r="L1784" s="1">
        <f>'[1]Electricity and CHPs_CAP'!H$55</f>
        <v>0</v>
      </c>
      <c r="M1784" s="1">
        <f>'[1]Electricity and CHPs_CAP'!I$55</f>
        <v>0</v>
      </c>
      <c r="N1784" s="1">
        <f>'[1]Electricity and CHPs_CAP'!J$55</f>
        <v>8.6595464348373006E-5</v>
      </c>
      <c r="O1784" s="1">
        <f>'[1]Electricity and CHPs_CAP'!K$55</f>
        <v>8.9064380699335446E-5</v>
      </c>
      <c r="P1784" s="1">
        <f>'[1]Electricity and CHPs_CAP'!L$55</f>
        <v>8.9083249590522079E-5</v>
      </c>
      <c r="Q1784" s="1">
        <f>'[1]Electricity and CHPs_CAP'!M$55</f>
        <v>1.426164197809175E-4</v>
      </c>
      <c r="S1784" s="3"/>
    </row>
    <row r="1785" spans="2:19" x14ac:dyDescent="0.5">
      <c r="B1785" s="5" t="str">
        <f t="shared" ref="B1785:C1785" si="1988">B1784</f>
        <v>SPS1</v>
      </c>
      <c r="C1785" s="5" t="str">
        <f t="shared" si="1988"/>
        <v>CH</v>
      </c>
      <c r="D1785" t="s">
        <v>1815</v>
      </c>
      <c r="E1785" t="str">
        <f t="shared" si="1979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0</v>
      </c>
      <c r="J1785" s="1">
        <f>'[1]Electricity and CHPs_CAP'!F$58</f>
        <v>0</v>
      </c>
      <c r="K1785" s="1">
        <f>'[1]Electricity and CHPs_CAP'!G$58</f>
        <v>0</v>
      </c>
      <c r="L1785" s="1">
        <f>'[1]Electricity and CHPs_CAP'!H$58</f>
        <v>0</v>
      </c>
      <c r="M1785" s="1">
        <f>'[1]Electricity and CHPs_CAP'!I$58</f>
        <v>0</v>
      </c>
      <c r="N1785" s="1">
        <f>'[1]Electricity and CHPs_CAP'!J$58</f>
        <v>4.73139089087463E-5</v>
      </c>
      <c r="O1785" s="1">
        <f>'[1]Electricity and CHPs_CAP'!K$58</f>
        <v>8.2331393276036528E-5</v>
      </c>
      <c r="P1785" s="1">
        <f>'[1]Electricity and CHPs_CAP'!L$58</f>
        <v>6.8484845966265061E-5</v>
      </c>
      <c r="Q1785" s="1">
        <f>'[1]Electricity and CHPs_CAP'!M$58</f>
        <v>1.3860640543437519E-4</v>
      </c>
      <c r="S1785" s="3"/>
    </row>
    <row r="1786" spans="2:19" x14ac:dyDescent="0.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979"/>
        <v>GWe/yr.</v>
      </c>
      <c r="F1786" s="1">
        <f>SUM(F1787:F1792)</f>
        <v>0.40408055663041531</v>
      </c>
      <c r="G1786" s="1">
        <f t="shared" ref="G1786:K1786" si="1989">SUM(G1787:G1792)</f>
        <v>0.36253609026832823</v>
      </c>
      <c r="H1786" s="1">
        <f t="shared" si="1989"/>
        <v>0.36253603657205458</v>
      </c>
      <c r="I1786" s="1">
        <f t="shared" si="1989"/>
        <v>0.36002774395623643</v>
      </c>
      <c r="J1786" s="1">
        <f t="shared" si="1989"/>
        <v>0.42677100999752443</v>
      </c>
      <c r="K1786" s="1">
        <f t="shared" si="1989"/>
        <v>0.51883366735997338</v>
      </c>
      <c r="L1786" s="1">
        <f t="shared" ref="L1786:O1786" si="1990">SUM(L1787:L1792)</f>
        <v>0.59202304125266081</v>
      </c>
      <c r="M1786" s="1">
        <f t="shared" si="1990"/>
        <v>0.57964731525726865</v>
      </c>
      <c r="N1786" s="1">
        <f t="shared" si="1990"/>
        <v>0.56632468934109625</v>
      </c>
      <c r="O1786" s="1">
        <f t="shared" si="1990"/>
        <v>0.56000610813649032</v>
      </c>
      <c r="P1786" s="1">
        <f>SUM(P1787:P1792)</f>
        <v>0.55474575898393619</v>
      </c>
      <c r="Q1786" s="1">
        <f>SUM(Q1787:Q1792)</f>
        <v>0.53757922015507875</v>
      </c>
      <c r="S1786" s="3"/>
    </row>
    <row r="1787" spans="2:19" x14ac:dyDescent="0.5">
      <c r="B1787" s="5" t="str">
        <f t="shared" ref="B1787:C1792" si="1991">B1786</f>
        <v>SPS1</v>
      </c>
      <c r="C1787" s="5" t="str">
        <f t="shared" si="1991"/>
        <v>CH</v>
      </c>
      <c r="D1787" t="s">
        <v>1817</v>
      </c>
      <c r="E1787" t="str">
        <f t="shared" si="1979"/>
        <v>GWe/yr.</v>
      </c>
      <c r="F1787" s="1">
        <f>'[1]Electricity and CHPs_CAP'!B$19</f>
        <v>0.27684098120569189</v>
      </c>
      <c r="G1787" s="1">
        <f>'[1]Electricity and CHPs_CAP'!C$19</f>
        <v>0.27684047824347285</v>
      </c>
      <c r="H1787" s="1">
        <f>'[1]Electricity and CHPs_CAP'!D$19</f>
        <v>0.2768404145374449</v>
      </c>
      <c r="I1787" s="1">
        <f>'[1]Electricity and CHPs_CAP'!E$19</f>
        <v>0.2759923095871058</v>
      </c>
      <c r="J1787" s="1">
        <f>'[1]Electricity and CHPs_CAP'!F$19</f>
        <v>0.34345235524570228</v>
      </c>
      <c r="K1787" s="1">
        <f>'[1]Electricity and CHPs_CAP'!G$19</f>
        <v>0.31951382935961847</v>
      </c>
      <c r="L1787" s="1">
        <f>'[1]Electricity and CHPs_CAP'!H$19</f>
        <v>0.27659531311178037</v>
      </c>
      <c r="M1787" s="1">
        <f>'[1]Electricity and CHPs_CAP'!I$19</f>
        <v>0.25838070761388165</v>
      </c>
      <c r="N1787" s="1">
        <f>'[1]Electricity and CHPs_CAP'!J$19</f>
        <v>0.24472331583373982</v>
      </c>
      <c r="O1787" s="1">
        <f>'[1]Electricity and CHPs_CAP'!K$19</f>
        <v>0.23432901370924517</v>
      </c>
      <c r="P1787" s="1">
        <f>'[1]Electricity and CHPs_CAP'!L$19</f>
        <v>0.24442898087265139</v>
      </c>
      <c r="Q1787" s="1">
        <f>'[1]Electricity and CHPs_CAP'!M$19</f>
        <v>0.24486558785810358</v>
      </c>
      <c r="S1787" s="3"/>
    </row>
    <row r="1788" spans="2:19" x14ac:dyDescent="0.5">
      <c r="B1788" s="5" t="str">
        <f t="shared" si="1991"/>
        <v>SPS1</v>
      </c>
      <c r="C1788" s="5" t="str">
        <f t="shared" si="1991"/>
        <v>CH</v>
      </c>
      <c r="D1788" t="s">
        <v>1818</v>
      </c>
      <c r="E1788" t="str">
        <f t="shared" si="1979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'[1]Electricity and CHPs_CAP'!F$20</f>
        <v>0</v>
      </c>
      <c r="K1788" s="1">
        <f>'[1]Electricity and CHPs_CAP'!G$20</f>
        <v>0.110175787185489</v>
      </c>
      <c r="L1788" s="1">
        <f>'[1]Electricity and CHPs_CAP'!H$20</f>
        <v>0.19655686803269462</v>
      </c>
      <c r="M1788" s="1">
        <f>'[1]Electricity and CHPs_CAP'!I$20</f>
        <v>0.19655704271528898</v>
      </c>
      <c r="N1788" s="1">
        <f>'[1]Electricity and CHPs_CAP'!J$20</f>
        <v>0.19655703111836992</v>
      </c>
      <c r="O1788" s="1">
        <f>'[1]Electricity and CHPs_CAP'!K$20</f>
        <v>0.19655729862374474</v>
      </c>
      <c r="P1788" s="1">
        <f>'[1]Electricity and CHPs_CAP'!L$20</f>
        <v>0.17930995664573393</v>
      </c>
      <c r="Q1788" s="1">
        <f>'[1]Electricity and CHPs_CAP'!M$20</f>
        <v>0.17157490123259961</v>
      </c>
      <c r="S1788" s="3"/>
    </row>
    <row r="1789" spans="2:19" x14ac:dyDescent="0.5">
      <c r="B1789" s="5" t="str">
        <f t="shared" si="1991"/>
        <v>SPS1</v>
      </c>
      <c r="C1789" s="5" t="str">
        <f t="shared" si="1991"/>
        <v>CH</v>
      </c>
      <c r="D1789" t="s">
        <v>1819</v>
      </c>
      <c r="E1789" t="str">
        <f t="shared" si="1979"/>
        <v>GWe/yr.</v>
      </c>
      <c r="F1789" s="1">
        <f>'[1]Electricity and CHPs_CAP'!B$26</f>
        <v>7.8399999999999997E-2</v>
      </c>
      <c r="G1789" s="1">
        <f>'[1]Electricity and CHPs_CAP'!C$26</f>
        <v>7.1996588711071688E-2</v>
      </c>
      <c r="H1789" s="1">
        <f>'[1]Electricity and CHPs_CAP'!D$26</f>
        <v>7.1996333764142995E-2</v>
      </c>
      <c r="I1789" s="1">
        <f>'[1]Electricity and CHPs_CAP'!E$26</f>
        <v>7.0489693296165931E-2</v>
      </c>
      <c r="J1789" s="1">
        <f>'[1]Electricity and CHPs_CAP'!F$26</f>
        <v>6.9925935504355566E-2</v>
      </c>
      <c r="K1789" s="1">
        <f>'[1]Electricity and CHPs_CAP'!G$26</f>
        <v>5.1250780082882939E-2</v>
      </c>
      <c r="L1789" s="1">
        <f>'[1]Electricity and CHPs_CAP'!H$26</f>
        <v>4.5332551395686184E-2</v>
      </c>
      <c r="M1789" s="1">
        <f>'[1]Electricity and CHPs_CAP'!I$26</f>
        <v>3.6066663818768621E-2</v>
      </c>
      <c r="N1789" s="1">
        <f>'[1]Electricity and CHPs_CAP'!J$26</f>
        <v>3.640200443073463E-2</v>
      </c>
      <c r="O1789" s="1">
        <f>'[1]Electricity and CHPs_CAP'!K$26</f>
        <v>3.6402101582481076E-2</v>
      </c>
      <c r="P1789" s="1">
        <f>'[1]Electricity and CHPs_CAP'!L$26</f>
        <v>3.1746304316747354E-2</v>
      </c>
      <c r="Q1789" s="1">
        <f>'[1]Electricity and CHPs_CAP'!M$26</f>
        <v>3.0635153536462102E-2</v>
      </c>
      <c r="S1789" s="3"/>
    </row>
    <row r="1790" spans="2:19" x14ac:dyDescent="0.5">
      <c r="B1790" s="5" t="str">
        <f t="shared" si="1991"/>
        <v>SPS1</v>
      </c>
      <c r="C1790" s="5" t="str">
        <f t="shared" si="1991"/>
        <v>CH</v>
      </c>
      <c r="D1790" t="s">
        <v>1820</v>
      </c>
      <c r="E1790" t="str">
        <f t="shared" si="1979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'[1]Electricity and CHPs_CAP'!F$27</f>
        <v>0</v>
      </c>
      <c r="K1790" s="1">
        <f>'[1]Electricity and CHPs_CAP'!G$27</f>
        <v>2.0132120406629501E-2</v>
      </c>
      <c r="L1790" s="1">
        <f>'[1]Electricity and CHPs_CAP'!H$27</f>
        <v>3.8208011490142767E-2</v>
      </c>
      <c r="M1790" s="1">
        <f>'[1]Electricity and CHPs_CAP'!I$27</f>
        <v>3.8887082028636347E-2</v>
      </c>
      <c r="N1790" s="1">
        <f>'[1]Electricity and CHPs_CAP'!J$27</f>
        <v>3.888710180367895E-2</v>
      </c>
      <c r="O1790" s="1">
        <f>'[1]Electricity and CHPs_CAP'!K$27</f>
        <v>4.2962536659629222E-2</v>
      </c>
      <c r="P1790" s="1">
        <f>'[1]Electricity and CHPs_CAP'!L$27</f>
        <v>5.0321334656779466E-2</v>
      </c>
      <c r="Q1790" s="1">
        <f>'[1]Electricity and CHPs_CAP'!M$27</f>
        <v>3.8887372676498347E-2</v>
      </c>
      <c r="S1790" s="3"/>
    </row>
    <row r="1791" spans="2:19" x14ac:dyDescent="0.5">
      <c r="B1791" s="5" t="str">
        <f t="shared" si="1991"/>
        <v>SPS1</v>
      </c>
      <c r="C1791" s="5" t="str">
        <f t="shared" si="1991"/>
        <v>CH</v>
      </c>
      <c r="D1791" t="s">
        <v>1821</v>
      </c>
      <c r="E1791" t="str">
        <f t="shared" si="1979"/>
        <v>GWe/yr.</v>
      </c>
      <c r="F1791" s="1">
        <f>'[1]Electricity and CHPs_CAP'!B$44</f>
        <v>4.8839575424723412E-2</v>
      </c>
      <c r="G1791" s="1">
        <f>'[1]Electricity and CHPs_CAP'!C$44</f>
        <v>1.3699023313783705E-2</v>
      </c>
      <c r="H1791" s="1">
        <f>'[1]Electricity and CHPs_CAP'!D$44</f>
        <v>1.3699288270466695E-2</v>
      </c>
      <c r="I1791" s="1">
        <f>'[1]Electricity and CHPs_CAP'!E$44</f>
        <v>1.3545741072964697E-2</v>
      </c>
      <c r="J1791" s="1">
        <f>'[1]Electricity and CHPs_CAP'!F$44</f>
        <v>1.3392719247466624E-2</v>
      </c>
      <c r="K1791" s="1">
        <f>'[1]Electricity and CHPs_CAP'!G$44</f>
        <v>1.2588213303545637E-2</v>
      </c>
      <c r="L1791" s="1">
        <f>'[1]Electricity and CHPs_CAP'!H$44</f>
        <v>2.4075361834189485E-5</v>
      </c>
      <c r="M1791" s="1">
        <f>'[1]Electricity and CHPs_CAP'!I$44</f>
        <v>2.2724725893300338E-5</v>
      </c>
      <c r="N1791" s="1">
        <f>'[1]Electricity and CHPs_CAP'!J$44</f>
        <v>2.1214761060700006E-5</v>
      </c>
      <c r="O1791" s="1">
        <f>'[1]Electricity and CHPs_CAP'!K$44</f>
        <v>2.1085284032280015E-5</v>
      </c>
      <c r="P1791" s="1">
        <f>'[1]Electricity and CHPs_CAP'!L$44</f>
        <v>1.4981510670774938E-5</v>
      </c>
      <c r="Q1791" s="1">
        <f>'[1]Electricity and CHPs_CAP'!M$44</f>
        <v>1.5823994589061552E-5</v>
      </c>
      <c r="S1791" s="3"/>
    </row>
    <row r="1792" spans="2:19" x14ac:dyDescent="0.5">
      <c r="B1792" s="5" t="str">
        <f t="shared" si="1991"/>
        <v>SPS1</v>
      </c>
      <c r="C1792" s="5" t="str">
        <f t="shared" si="1991"/>
        <v>CH</v>
      </c>
      <c r="D1792" t="s">
        <v>1822</v>
      </c>
      <c r="E1792" t="str">
        <f t="shared" si="1979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'[1]Electricity and CHPs_CAP'!F$45</f>
        <v>0</v>
      </c>
      <c r="K1792" s="1">
        <f>'[1]Electricity and CHPs_CAP'!G$45</f>
        <v>5.1729370218078401E-3</v>
      </c>
      <c r="L1792" s="1">
        <f>'[1]Electricity and CHPs_CAP'!H$45</f>
        <v>3.5306221860522624E-2</v>
      </c>
      <c r="M1792" s="1">
        <f>'[1]Electricity and CHPs_CAP'!I$45</f>
        <v>4.9733094354799792E-2</v>
      </c>
      <c r="N1792" s="1">
        <f>'[1]Electricity and CHPs_CAP'!J$45</f>
        <v>4.9734021393512337E-2</v>
      </c>
      <c r="O1792" s="1">
        <f>'[1]Electricity and CHPs_CAP'!K$45</f>
        <v>4.9734072277357821E-2</v>
      </c>
      <c r="P1792" s="1">
        <f>'[1]Electricity and CHPs_CAP'!L$45</f>
        <v>4.8924200981353194E-2</v>
      </c>
      <c r="Q1792" s="1">
        <f>'[1]Electricity and CHPs_CAP'!M$45</f>
        <v>5.1600380856826104E-2</v>
      </c>
      <c r="S1792" s="3"/>
    </row>
    <row r="1793" spans="2:19" x14ac:dyDescent="0.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979"/>
        <v>GWe/yr.</v>
      </c>
      <c r="F1793" s="1">
        <f>SUM(F1794:F1800)</f>
        <v>8.8458420515537105E-3</v>
      </c>
      <c r="G1793" s="1">
        <f t="shared" ref="G1793:K1793" si="1992">SUM(G1794:G1800)</f>
        <v>8.8266985940233227E-3</v>
      </c>
      <c r="H1793" s="1">
        <f t="shared" si="1992"/>
        <v>4.2247851018421663E-2</v>
      </c>
      <c r="I1793" s="1">
        <f t="shared" si="1992"/>
        <v>5.892600257817826E-2</v>
      </c>
      <c r="J1793" s="1">
        <f t="shared" si="1992"/>
        <v>7.3707088776241173E-2</v>
      </c>
      <c r="K1793" s="1">
        <f t="shared" si="1992"/>
        <v>0.17689723233350332</v>
      </c>
      <c r="L1793" s="1">
        <f t="shared" ref="L1793:O1793" si="1993">SUM(L1794:L1800)</f>
        <v>0.25251109666816351</v>
      </c>
      <c r="M1793" s="1">
        <f t="shared" si="1993"/>
        <v>0.26720029144684965</v>
      </c>
      <c r="N1793" s="1">
        <f t="shared" si="1993"/>
        <v>0.26568718269544445</v>
      </c>
      <c r="O1793" s="1">
        <f t="shared" si="1993"/>
        <v>0.27560555330286107</v>
      </c>
      <c r="P1793" s="1">
        <f>SUM(P1794:P1800)</f>
        <v>0.27023311082291857</v>
      </c>
      <c r="Q1793" s="1">
        <f>SUM(Q1794:Q1800)</f>
        <v>0.26104843589262777</v>
      </c>
      <c r="S1793" s="3"/>
    </row>
    <row r="1794" spans="2:19" x14ac:dyDescent="0.5">
      <c r="B1794" s="5" t="str">
        <f t="shared" ref="B1794:C1804" si="1994">B1793</f>
        <v>SPS1</v>
      </c>
      <c r="C1794" s="5" t="str">
        <f t="shared" si="1994"/>
        <v>CH</v>
      </c>
      <c r="D1794" t="s">
        <v>1824</v>
      </c>
      <c r="E1794" t="str">
        <f t="shared" si="1979"/>
        <v>GWe/yr.</v>
      </c>
      <c r="F1794" s="1">
        <f>'[1]Electricity and CHPs_CAP'!B$25</f>
        <v>2.4619793887402999E-3</v>
      </c>
      <c r="G1794" s="1">
        <f>'[1]Electricity and CHPs_CAP'!C$25</f>
        <v>2.0329579872503667E-5</v>
      </c>
      <c r="H1794" s="1">
        <f>'[1]Electricity and CHPs_CAP'!D$25</f>
        <v>4.0152922175277356E-4</v>
      </c>
      <c r="I1794" s="1">
        <f>'[1]Electricity and CHPs_CAP'!E$25</f>
        <v>6.5681988247186934E-5</v>
      </c>
      <c r="J1794" s="1">
        <f>'[1]Electricity and CHPs_CAP'!F$25</f>
        <v>9.6470216439877715E-5</v>
      </c>
      <c r="K1794" s="1">
        <f>'[1]Electricity and CHPs_CAP'!G$25</f>
        <v>7.0181178714883538E-2</v>
      </c>
      <c r="L1794" s="1">
        <f>'[1]Electricity and CHPs_CAP'!H$25</f>
        <v>7.0127918837176936E-2</v>
      </c>
      <c r="M1794" s="1">
        <f>'[1]Electricity and CHPs_CAP'!I$25</f>
        <v>5.9719405073640701E-2</v>
      </c>
      <c r="N1794" s="1">
        <f>'[1]Electricity and CHPs_CAP'!J$25</f>
        <v>5.7778359014812992E-2</v>
      </c>
      <c r="O1794" s="1">
        <f>'[1]Electricity and CHPs_CAP'!K$25</f>
        <v>5.7770576316945314E-2</v>
      </c>
      <c r="P1794" s="1">
        <f>'[1]Electricity and CHPs_CAP'!L$25</f>
        <v>6.4329460857600301E-2</v>
      </c>
      <c r="Q1794" s="1">
        <f>'[1]Electricity and CHPs_CAP'!M$25</f>
        <v>5.8356424641721819E-2</v>
      </c>
      <c r="S1794" s="3"/>
    </row>
    <row r="1795" spans="2:19" x14ac:dyDescent="0.5">
      <c r="B1795" s="5" t="str">
        <f t="shared" si="1994"/>
        <v>SPS1</v>
      </c>
      <c r="C1795" s="5" t="str">
        <f t="shared" si="1994"/>
        <v>CH</v>
      </c>
      <c r="D1795" t="s">
        <v>1825</v>
      </c>
      <c r="E1795" t="str">
        <f t="shared" si="1979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'[1]Electricity and CHPs_CAP'!F$31</f>
        <v>0</v>
      </c>
      <c r="K1795" s="1">
        <f>'[1]Electricity and CHPs_CAP'!G$31</f>
        <v>1.5138895901548301E-5</v>
      </c>
      <c r="L1795" s="1">
        <f>'[1]Electricity and CHPs_CAP'!H$31</f>
        <v>9.0082614503977278E-3</v>
      </c>
      <c r="M1795" s="1">
        <f>'[1]Electricity and CHPs_CAP'!I$31</f>
        <v>1.8666875513837417E-2</v>
      </c>
      <c r="N1795" s="1">
        <f>'[1]Electricity and CHPs_CAP'!J$31</f>
        <v>2.4757105008188715E-2</v>
      </c>
      <c r="O1795" s="1">
        <f>'[1]Electricity and CHPs_CAP'!K$31</f>
        <v>2.4757404982945774E-2</v>
      </c>
      <c r="P1795" s="1">
        <f>'[1]Electricity and CHPs_CAP'!L$31</f>
        <v>2.7764441373319113E-2</v>
      </c>
      <c r="Q1795" s="1">
        <f>'[1]Electricity and CHPs_CAP'!M$31</f>
        <v>2.4987955010241016E-2</v>
      </c>
      <c r="S1795" s="3"/>
    </row>
    <row r="1796" spans="2:19" x14ac:dyDescent="0.5">
      <c r="B1796" s="5" t="str">
        <f t="shared" si="1994"/>
        <v>SPS1</v>
      </c>
      <c r="C1796" s="5" t="str">
        <f t="shared" si="1994"/>
        <v>CH</v>
      </c>
      <c r="D1796" t="s">
        <v>1826</v>
      </c>
      <c r="E1796" t="str">
        <f t="shared" si="1979"/>
        <v>GWe/yr.</v>
      </c>
      <c r="F1796" s="1">
        <f>'[1]Electricity and CHPs_CAP'!B$42</f>
        <v>6.3838626628134106E-3</v>
      </c>
      <c r="G1796" s="1">
        <f>'[1]Electricity and CHPs_CAP'!C$42</f>
        <v>8.8063690141508191E-3</v>
      </c>
      <c r="H1796" s="1">
        <f>'[1]Electricity and CHPs_CAP'!D$42</f>
        <v>4.1846321796668889E-2</v>
      </c>
      <c r="I1796" s="1">
        <f>'[1]Electricity and CHPs_CAP'!E$42</f>
        <v>5.8791240491557116E-2</v>
      </c>
      <c r="J1796" s="1">
        <f>'[1]Electricity and CHPs_CAP'!F$42</f>
        <v>7.3483776393805503E-2</v>
      </c>
      <c r="K1796" s="1">
        <f>'[1]Electricity and CHPs_CAP'!G$42</f>
        <v>4.0488597677040029E-2</v>
      </c>
      <c r="L1796" s="1">
        <f>'[1]Electricity and CHPs_CAP'!H$42</f>
        <v>1.6065215708045481E-2</v>
      </c>
      <c r="M1796" s="1">
        <f>'[1]Electricity and CHPs_CAP'!I$42</f>
        <v>2.4688351156067235E-5</v>
      </c>
      <c r="N1796" s="1">
        <f>'[1]Electricity and CHPs_CAP'!J$42</f>
        <v>2.488417514313735E-5</v>
      </c>
      <c r="O1796" s="1">
        <f>'[1]Electricity and CHPs_CAP'!K$42</f>
        <v>3.8644387130742683E-5</v>
      </c>
      <c r="P1796" s="1">
        <f>'[1]Electricity and CHPs_CAP'!L$42</f>
        <v>2.27724224733867E-5</v>
      </c>
      <c r="Q1796" s="1">
        <f>'[1]Electricity and CHPs_CAP'!M$42</f>
        <v>2.9694361334874369E-5</v>
      </c>
      <c r="S1796" s="3"/>
    </row>
    <row r="1797" spans="2:19" x14ac:dyDescent="0.5">
      <c r="B1797" s="5" t="str">
        <f t="shared" si="1994"/>
        <v>SPS1</v>
      </c>
      <c r="C1797" s="5" t="str">
        <f t="shared" si="1994"/>
        <v>CH</v>
      </c>
      <c r="D1797" t="s">
        <v>1827</v>
      </c>
      <c r="E1797" t="str">
        <f t="shared" si="1979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'[1]Electricity and CHPs_CAP'!F$43</f>
        <v>0</v>
      </c>
      <c r="K1797" s="1">
        <f>'[1]Electricity and CHPs_CAP'!G$43</f>
        <v>6.2021040027272899E-2</v>
      </c>
      <c r="L1797" s="1">
        <f>'[1]Electricity and CHPs_CAP'!H$43</f>
        <v>0.15034858536413201</v>
      </c>
      <c r="M1797" s="1">
        <f>'[1]Electricity and CHPs_CAP'!I$43</f>
        <v>0.18183441604546699</v>
      </c>
      <c r="N1797" s="1">
        <f>'[1]Electricity and CHPs_CAP'!J$43</f>
        <v>0.17645114969629799</v>
      </c>
      <c r="O1797" s="1">
        <f>'[1]Electricity and CHPs_CAP'!K$43</f>
        <v>0.18650513443726499</v>
      </c>
      <c r="P1797" s="1">
        <f>'[1]Electricity and CHPs_CAP'!L$43</f>
        <v>0.171497946099604</v>
      </c>
      <c r="Q1797" s="1">
        <f>'[1]Electricity and CHPs_CAP'!M$43</f>
        <v>0.17105237926705499</v>
      </c>
      <c r="S1797" s="3"/>
    </row>
    <row r="1798" spans="2:19" x14ac:dyDescent="0.5">
      <c r="B1798" s="5" t="str">
        <f t="shared" si="1994"/>
        <v>SPS1</v>
      </c>
      <c r="C1798" s="5" t="str">
        <f t="shared" si="1994"/>
        <v>CH</v>
      </c>
      <c r="D1798" t="s">
        <v>1828</v>
      </c>
      <c r="E1798" t="str">
        <f t="shared" si="1979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1.9217312535419232E-5</v>
      </c>
      <c r="J1798" s="1">
        <f>'[1]Electricity and CHPs_CAP'!F$50</f>
        <v>3.1999664406345997E-5</v>
      </c>
      <c r="K1798" s="1">
        <f>'[1]Electricity and CHPs_CAP'!G$50</f>
        <v>1.1115135684679659E-4</v>
      </c>
      <c r="L1798" s="1">
        <f>'[1]Electricity and CHPs_CAP'!H$50</f>
        <v>2.1532315778002164E-4</v>
      </c>
      <c r="M1798" s="1">
        <f>'[1]Electricity and CHPs_CAP'!I$50</f>
        <v>2.4923336631771446E-4</v>
      </c>
      <c r="N1798" s="1">
        <f>'[1]Electricity and CHPs_CAP'!J$50</f>
        <v>1.6302156520576E-4</v>
      </c>
      <c r="O1798" s="1">
        <f>'[1]Electricity and CHPs_CAP'!K$50</f>
        <v>1.075519544471033E-4</v>
      </c>
      <c r="P1798" s="1">
        <f>'[1]Electricity and CHPs_CAP'!L$50</f>
        <v>9.5856475099921154E-5</v>
      </c>
      <c r="Q1798" s="1">
        <f>'[1]Electricity and CHPs_CAP'!M$50</f>
        <v>1.5009815163048975E-4</v>
      </c>
      <c r="S1798" s="3"/>
    </row>
    <row r="1799" spans="2:19" x14ac:dyDescent="0.5">
      <c r="B1799" s="5" t="str">
        <f t="shared" si="1994"/>
        <v>SPS1</v>
      </c>
      <c r="C1799" s="5" t="str">
        <f t="shared" si="1994"/>
        <v>CH</v>
      </c>
      <c r="D1799" t="s">
        <v>1829</v>
      </c>
      <c r="E1799" t="str">
        <f t="shared" si="1979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2.5335388317659299E-5</v>
      </c>
      <c r="J1799" s="1">
        <f>'[1]Electricity and CHPs_CAP'!F$53</f>
        <v>5.9073937098835448E-5</v>
      </c>
      <c r="K1799" s="1">
        <f>'[1]Electricity and CHPs_CAP'!G$53</f>
        <v>3.929810472060034E-3</v>
      </c>
      <c r="L1799" s="1">
        <f>'[1]Electricity and CHPs_CAP'!H$53</f>
        <v>6.6009724456864045E-3</v>
      </c>
      <c r="M1799" s="1">
        <f>'[1]Electricity and CHPs_CAP'!I$53</f>
        <v>6.5711465997691058E-3</v>
      </c>
      <c r="N1799" s="1">
        <f>'[1]Electricity and CHPs_CAP'!J$53</f>
        <v>6.4507016820230202E-3</v>
      </c>
      <c r="O1799" s="1">
        <f>'[1]Electricity and CHPs_CAP'!K$53</f>
        <v>6.3510819737879884E-3</v>
      </c>
      <c r="P1799" s="1">
        <f>'[1]Electricity and CHPs_CAP'!L$53</f>
        <v>6.4564338402699718E-3</v>
      </c>
      <c r="Q1799" s="1">
        <f>'[1]Electricity and CHPs_CAP'!M$53</f>
        <v>6.3585020351173225E-3</v>
      </c>
      <c r="S1799" s="3"/>
    </row>
    <row r="1800" spans="2:19" x14ac:dyDescent="0.5">
      <c r="B1800" s="5" t="str">
        <f t="shared" si="1994"/>
        <v>SPS1</v>
      </c>
      <c r="C1800" s="5" t="str">
        <f t="shared" si="1994"/>
        <v>CH</v>
      </c>
      <c r="D1800" t="s">
        <v>1830</v>
      </c>
      <c r="E1800" t="str">
        <f t="shared" si="1979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2.4527397520886201E-5</v>
      </c>
      <c r="J1800" s="1">
        <f>'[1]Electricity and CHPs_CAP'!F$56</f>
        <v>3.5768564490618339E-5</v>
      </c>
      <c r="K1800" s="1">
        <f>'[1]Electricity and CHPs_CAP'!G$56</f>
        <v>1.5031518949846113E-4</v>
      </c>
      <c r="L1800" s="1">
        <f>'[1]Electricity and CHPs_CAP'!H$56</f>
        <v>1.4481970494493782E-4</v>
      </c>
      <c r="M1800" s="1">
        <f>'[1]Electricity and CHPs_CAP'!I$56</f>
        <v>1.3452649666164678E-4</v>
      </c>
      <c r="N1800" s="1">
        <f>'[1]Electricity and CHPs_CAP'!J$56</f>
        <v>6.1961553772843593E-5</v>
      </c>
      <c r="O1800" s="1">
        <f>'[1]Electricity and CHPs_CAP'!K$56</f>
        <v>7.5159250339171149E-5</v>
      </c>
      <c r="P1800" s="1">
        <f>'[1]Electricity and CHPs_CAP'!L$56</f>
        <v>6.6199754551936985E-5</v>
      </c>
      <c r="Q1800" s="1">
        <f>'[1]Electricity and CHPs_CAP'!M$56</f>
        <v>1.1338242552723258E-4</v>
      </c>
      <c r="S1800" s="3"/>
    </row>
    <row r="1801" spans="2:19" x14ac:dyDescent="0.5">
      <c r="B1801" s="5" t="str">
        <f t="shared" si="1994"/>
        <v>SPS1</v>
      </c>
      <c r="C1801" s="5" t="str">
        <f t="shared" si="1994"/>
        <v>CH</v>
      </c>
      <c r="D1801" t="s">
        <v>1831</v>
      </c>
      <c r="E1801" t="str">
        <f t="shared" si="1979"/>
        <v>GWe/yr.</v>
      </c>
      <c r="F1801" s="1">
        <f>F1802</f>
        <v>8.7120000000000003E-2</v>
      </c>
      <c r="G1801" s="1">
        <f t="shared" ref="G1801:O1801" si="1995">G1802</f>
        <v>9.066000073121272E-2</v>
      </c>
      <c r="H1801" s="1">
        <f t="shared" si="1995"/>
        <v>8.365591822514172E-2</v>
      </c>
      <c r="I1801" s="1">
        <f t="shared" si="1995"/>
        <v>0.34087493483648229</v>
      </c>
      <c r="J1801" s="1">
        <f t="shared" si="1995"/>
        <v>0.43372589975304776</v>
      </c>
      <c r="K1801" s="1">
        <f t="shared" si="1995"/>
        <v>0.43372633924507326</v>
      </c>
      <c r="L1801" s="1">
        <f t="shared" si="1995"/>
        <v>0.50315098833471295</v>
      </c>
      <c r="M1801" s="1">
        <f t="shared" si="1995"/>
        <v>0.50315682077162405</v>
      </c>
      <c r="N1801" s="1">
        <f t="shared" si="1995"/>
        <v>0.50315714964138103</v>
      </c>
      <c r="O1801" s="1">
        <f t="shared" si="1995"/>
        <v>0.50317100159521999</v>
      </c>
      <c r="P1801" s="1">
        <f>P1802</f>
        <v>0.50323739344540597</v>
      </c>
      <c r="Q1801" s="1">
        <f>Q1802</f>
        <v>0.50327833542927503</v>
      </c>
      <c r="S1801" s="3"/>
    </row>
    <row r="1802" spans="2:19" x14ac:dyDescent="0.5">
      <c r="B1802" s="5" t="str">
        <f t="shared" si="1994"/>
        <v>SPS1</v>
      </c>
      <c r="C1802" s="5" t="str">
        <f t="shared" si="1994"/>
        <v>CH</v>
      </c>
      <c r="D1802" t="s">
        <v>1832</v>
      </c>
      <c r="E1802" t="str">
        <f t="shared" si="1979"/>
        <v>GWe/yr.</v>
      </c>
      <c r="F1802" s="1">
        <f>'[1]Electricity and CHPs_CAP'!B$33</f>
        <v>8.7120000000000003E-2</v>
      </c>
      <c r="G1802" s="1">
        <f>'[1]Electricity and CHPs_CAP'!C$33</f>
        <v>9.066000073121272E-2</v>
      </c>
      <c r="H1802" s="1">
        <f>'[1]Electricity and CHPs_CAP'!D$33</f>
        <v>8.365591822514172E-2</v>
      </c>
      <c r="I1802" s="1">
        <f>'[1]Electricity and CHPs_CAP'!E$33</f>
        <v>0.34087493483648229</v>
      </c>
      <c r="J1802" s="1">
        <f>'[1]Electricity and CHPs_CAP'!F$33</f>
        <v>0.43372589975304776</v>
      </c>
      <c r="K1802" s="1">
        <f>'[1]Electricity and CHPs_CAP'!G$33</f>
        <v>0.43372633924507326</v>
      </c>
      <c r="L1802" s="1">
        <f>'[1]Electricity and CHPs_CAP'!H$33</f>
        <v>0.50315098833471295</v>
      </c>
      <c r="M1802" s="1">
        <f>'[1]Electricity and CHPs_CAP'!I$33</f>
        <v>0.50315682077162405</v>
      </c>
      <c r="N1802" s="1">
        <f>'[1]Electricity and CHPs_CAP'!J$33</f>
        <v>0.50315714964138103</v>
      </c>
      <c r="O1802" s="1">
        <f>'[1]Electricity and CHPs_CAP'!K$33</f>
        <v>0.50317100159521999</v>
      </c>
      <c r="P1802" s="1">
        <f>'[1]Electricity and CHPs_CAP'!L$33</f>
        <v>0.50323739344540597</v>
      </c>
      <c r="Q1802" s="1">
        <f>'[1]Electricity and CHPs_CAP'!M$33</f>
        <v>0.50327833542927503</v>
      </c>
      <c r="S1802" s="3"/>
    </row>
    <row r="1803" spans="2:19" x14ac:dyDescent="0.5">
      <c r="B1803" s="5" t="str">
        <f t="shared" si="1994"/>
        <v>SPS1</v>
      </c>
      <c r="C1803" s="5" t="str">
        <f t="shared" si="1994"/>
        <v>CH</v>
      </c>
      <c r="D1803" t="s">
        <v>1833</v>
      </c>
      <c r="E1803" t="str">
        <f t="shared" si="1979"/>
        <v>GWe/yr.</v>
      </c>
      <c r="F1803" s="1">
        <f>SUM(F1804:F1808)</f>
        <v>2.9746549999999998</v>
      </c>
      <c r="G1803" s="1">
        <f t="shared" ref="G1803:K1803" si="1996">SUM(G1804:G1808)</f>
        <v>4.370875595325689</v>
      </c>
      <c r="H1803" s="1">
        <f t="shared" si="1996"/>
        <v>8.5973974398540243</v>
      </c>
      <c r="I1803" s="1">
        <f t="shared" si="1996"/>
        <v>13.503085872184123</v>
      </c>
      <c r="J1803" s="1">
        <f t="shared" si="1996"/>
        <v>19.968847011869933</v>
      </c>
      <c r="K1803" s="1">
        <f t="shared" si="1996"/>
        <v>21.445821936617882</v>
      </c>
      <c r="L1803" s="1">
        <f t="shared" ref="L1803:O1803" si="1997">SUM(L1804:L1808)</f>
        <v>23.426661435670919</v>
      </c>
      <c r="M1803" s="1">
        <f t="shared" si="1997"/>
        <v>25.521217913484335</v>
      </c>
      <c r="N1803" s="1">
        <f t="shared" si="1997"/>
        <v>26.646646343275826</v>
      </c>
      <c r="O1803" s="1">
        <f t="shared" si="1997"/>
        <v>27.746514045869183</v>
      </c>
      <c r="P1803" s="1">
        <f>SUM(P1804:P1808)</f>
        <v>29.010804138915745</v>
      </c>
      <c r="Q1803" s="1">
        <f>SUM(Q1804:Q1808)</f>
        <v>30.194496940114263</v>
      </c>
      <c r="S1803" s="3"/>
    </row>
    <row r="1804" spans="2:19" x14ac:dyDescent="0.5">
      <c r="B1804" s="5" t="str">
        <f t="shared" si="1994"/>
        <v>SPS1</v>
      </c>
      <c r="C1804" s="5" t="str">
        <f t="shared" si="1994"/>
        <v>CH</v>
      </c>
      <c r="D1804" t="s">
        <v>1834</v>
      </c>
      <c r="E1804" t="str">
        <f t="shared" si="1979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4.4925250391578297E-2</v>
      </c>
      <c r="I1804" s="1">
        <f>'[1]Electricity and CHPs_CAP'!E$34</f>
        <v>0.11812314755694298</v>
      </c>
      <c r="J1804" s="1">
        <f>'[1]Electricity and CHPs_CAP'!F$34</f>
        <v>0.42370436088267166</v>
      </c>
      <c r="K1804" s="1">
        <f>'[1]Electricity and CHPs_CAP'!G$34</f>
        <v>0.59435678399602299</v>
      </c>
      <c r="L1804" s="1">
        <f>'[1]Electricity and CHPs_CAP'!H$34</f>
        <v>1.5115594544274187</v>
      </c>
      <c r="M1804" s="1">
        <f>'[1]Electricity and CHPs_CAP'!I$34</f>
        <v>2.4882234197150903</v>
      </c>
      <c r="N1804" s="1">
        <f>'[1]Electricity and CHPs_CAP'!J$34</f>
        <v>2.4387363129550024</v>
      </c>
      <c r="O1804" s="1">
        <f>'[1]Electricity and CHPs_CAP'!K$34</f>
        <v>2.3037542040441861</v>
      </c>
      <c r="P1804" s="1">
        <f>'[1]Electricity and CHPs_CAP'!L$34</f>
        <v>2.2702047321772039</v>
      </c>
      <c r="Q1804" s="1">
        <f>'[1]Electricity and CHPs_CAP'!M$34</f>
        <v>2.0897515061629264</v>
      </c>
      <c r="S1804" s="3"/>
    </row>
    <row r="1805" spans="2:19" x14ac:dyDescent="0.5">
      <c r="B1805" s="5" t="str">
        <f t="shared" ref="B1805:C1820" si="1998">B1804</f>
        <v>SPS1</v>
      </c>
      <c r="C1805" s="5" t="str">
        <f t="shared" si="1998"/>
        <v>CH</v>
      </c>
      <c r="D1805" t="s">
        <v>1835</v>
      </c>
      <c r="E1805" t="str">
        <f t="shared" si="1979"/>
        <v>GWe/yr.</v>
      </c>
      <c r="F1805" s="1">
        <f>'[1]Electricity and CHPs_CAP'!B$35</f>
        <v>1.1186210000000001</v>
      </c>
      <c r="G1805" s="1">
        <f>'[1]Electricity and CHPs_CAP'!C$35</f>
        <v>1.65292701458705</v>
      </c>
      <c r="H1805" s="1">
        <f>'[1]Electricity and CHPs_CAP'!D$35</f>
        <v>3.56118533973215</v>
      </c>
      <c r="I1805" s="1">
        <f>'[1]Electricity and CHPs_CAP'!E$35</f>
        <v>3.4922779148589802</v>
      </c>
      <c r="J1805" s="1">
        <f>'[1]Electricity and CHPs_CAP'!F$35</f>
        <v>4.8944848288940896</v>
      </c>
      <c r="K1805" s="1">
        <f>'[1]Electricity and CHPs_CAP'!G$35</f>
        <v>5.1441530892085803</v>
      </c>
      <c r="L1805" s="1">
        <f>'[1]Electricity and CHPs_CAP'!H$35</f>
        <v>5.4065567180811298</v>
      </c>
      <c r="M1805" s="1">
        <f>'[1]Electricity and CHPs_CAP'!I$35</f>
        <v>5.68234555335036</v>
      </c>
      <c r="N1805" s="1">
        <f>'[1]Electricity and CHPs_CAP'!J$35</f>
        <v>5.9722023784771698</v>
      </c>
      <c r="O1805" s="1">
        <f>'[1]Electricity and CHPs_CAP'!K$35</f>
        <v>6.2768448192488799</v>
      </c>
      <c r="P1805" s="1">
        <f>'[1]Electricity and CHPs_CAP'!L$35</f>
        <v>6.5970271701168102</v>
      </c>
      <c r="Q1805" s="1">
        <f>'[1]Electricity and CHPs_CAP'!M$35</f>
        <v>6.9335420388101703</v>
      </c>
      <c r="S1805" s="3"/>
    </row>
    <row r="1806" spans="2:19" x14ac:dyDescent="0.5">
      <c r="B1806" s="5" t="str">
        <f t="shared" si="1998"/>
        <v>SPS1</v>
      </c>
      <c r="C1806" s="5" t="str">
        <f t="shared" si="1998"/>
        <v>CH</v>
      </c>
      <c r="D1806" t="s">
        <v>1836</v>
      </c>
      <c r="E1806" t="str">
        <f t="shared" si="1979"/>
        <v>GWe/yr.</v>
      </c>
      <c r="F1806" s="1">
        <f>'[1]Electricity and CHPs_CAP'!B$36</f>
        <v>0.67885700000000004</v>
      </c>
      <c r="G1806" s="1">
        <f>'[1]Electricity and CHPs_CAP'!C$36</f>
        <v>1.1559009324899741</v>
      </c>
      <c r="H1806" s="1">
        <f>'[1]Electricity and CHPs_CAP'!D$36</f>
        <v>1.2892437040131894</v>
      </c>
      <c r="I1806" s="1">
        <f>'[1]Electricity and CHPs_CAP'!E$36</f>
        <v>4.680000273842551</v>
      </c>
      <c r="J1806" s="1">
        <f>'[1]Electricity and CHPs_CAP'!F$36</f>
        <v>4.9187284509778593</v>
      </c>
      <c r="K1806" s="1">
        <f>'[1]Electricity and CHPs_CAP'!G$36</f>
        <v>5.1696332250159225</v>
      </c>
      <c r="L1806" s="1">
        <f>'[1]Electricity and CHPs_CAP'!H$36</f>
        <v>5.4333367221838209</v>
      </c>
      <c r="M1806" s="1">
        <f>'[1]Electricity and CHPs_CAP'!I$36</f>
        <v>5.7104925495945347</v>
      </c>
      <c r="N1806" s="1">
        <f>'[1]Electricity and CHPs_CAP'!J$36</f>
        <v>6.0017856248598651</v>
      </c>
      <c r="O1806" s="1">
        <f>'[1]Electricity and CHPs_CAP'!K$36</f>
        <v>6.3079389390713976</v>
      </c>
      <c r="P1806" s="1">
        <f>'[1]Electricity and CHPs_CAP'!L$36</f>
        <v>6.6297088226308816</v>
      </c>
      <c r="Q1806" s="1">
        <f>'[1]Electricity and CHPs_CAP'!M$36</f>
        <v>6.9679914874442552</v>
      </c>
      <c r="S1806" s="3"/>
    </row>
    <row r="1807" spans="2:19" x14ac:dyDescent="0.5">
      <c r="B1807" s="5" t="str">
        <f t="shared" si="1998"/>
        <v>SPS1</v>
      </c>
      <c r="C1807" s="5" t="str">
        <f t="shared" si="1998"/>
        <v>CH</v>
      </c>
      <c r="D1807" t="s">
        <v>1837</v>
      </c>
      <c r="E1807" t="str">
        <f t="shared" si="1979"/>
        <v>GWe/yr.</v>
      </c>
      <c r="F1807" s="1">
        <f>'[1]Electricity and CHPs_CAP'!B$37</f>
        <v>0.27424799999999999</v>
      </c>
      <c r="G1807" s="1">
        <f>'[1]Electricity and CHPs_CAP'!C$37</f>
        <v>0.43894638668065489</v>
      </c>
      <c r="H1807" s="1">
        <f>'[1]Electricity and CHPs_CAP'!D$37</f>
        <v>1.734790774626086</v>
      </c>
      <c r="I1807" s="1">
        <f>'[1]Electricity and CHPs_CAP'!E$37</f>
        <v>3.3300002881596624</v>
      </c>
      <c r="J1807" s="1">
        <f>'[1]Electricity and CHPs_CAP'!F$37</f>
        <v>3.499866037783812</v>
      </c>
      <c r="K1807" s="1">
        <f>'[1]Electricity and CHPs_CAP'!G$37</f>
        <v>3.6783946989741039</v>
      </c>
      <c r="L1807" s="1">
        <f>'[1]Electricity and CHPs_CAP'!H$37</f>
        <v>3.86603028134203</v>
      </c>
      <c r="M1807" s="1">
        <f>'[1]Electricity and CHPs_CAP'!I$37</f>
        <v>4.0632372004783903</v>
      </c>
      <c r="N1807" s="1">
        <f>'[1]Electricity and CHPs_CAP'!J$37</f>
        <v>4.2705035256666193</v>
      </c>
      <c r="O1807" s="1">
        <f>'[1]Electricity and CHPs_CAP'!K$37</f>
        <v>4.4883428715154201</v>
      </c>
      <c r="P1807" s="1">
        <f>'[1]Electricity and CHPs_CAP'!L$37</f>
        <v>4.71729443688396</v>
      </c>
      <c r="Q1807" s="1">
        <f>'[1]Electricity and CHPs_CAP'!M$37</f>
        <v>4.9579288736809097</v>
      </c>
      <c r="S1807" s="3"/>
    </row>
    <row r="1808" spans="2:19" x14ac:dyDescent="0.5">
      <c r="B1808" s="5" t="str">
        <f t="shared" si="1998"/>
        <v>SPS1</v>
      </c>
      <c r="C1808" s="5" t="str">
        <f t="shared" si="1998"/>
        <v>CH</v>
      </c>
      <c r="D1808" t="s">
        <v>1838</v>
      </c>
      <c r="E1808" t="str">
        <f t="shared" si="1979"/>
        <v>GWe/yr.</v>
      </c>
      <c r="F1808" s="1">
        <f>'[1]Electricity and CHPs_CAP'!B$38</f>
        <v>0.90292899999999998</v>
      </c>
      <c r="G1808" s="1">
        <f>'[1]Electricity and CHPs_CAP'!C$38</f>
        <v>1.12310126156801</v>
      </c>
      <c r="H1808" s="1">
        <f>'[1]Electricity and CHPs_CAP'!D$38</f>
        <v>1.967252371091021</v>
      </c>
      <c r="I1808" s="1">
        <f>'[1]Electricity and CHPs_CAP'!E$38</f>
        <v>1.8826842477659862</v>
      </c>
      <c r="J1808" s="1">
        <f>'[1]Electricity and CHPs_CAP'!F$38</f>
        <v>6.2320633333314985</v>
      </c>
      <c r="K1808" s="1">
        <f>'[1]Electricity and CHPs_CAP'!G$38</f>
        <v>6.8592841394232522</v>
      </c>
      <c r="L1808" s="1">
        <f>'[1]Electricity and CHPs_CAP'!H$38</f>
        <v>7.2091782596365199</v>
      </c>
      <c r="M1808" s="1">
        <f>'[1]Electricity and CHPs_CAP'!I$38</f>
        <v>7.5769191903459596</v>
      </c>
      <c r="N1808" s="1">
        <f>'[1]Electricity and CHPs_CAP'!J$38</f>
        <v>7.9634185013171699</v>
      </c>
      <c r="O1808" s="1">
        <f>'[1]Electricity and CHPs_CAP'!K$38</f>
        <v>8.3696332119892993</v>
      </c>
      <c r="P1808" s="1">
        <f>'[1]Electricity and CHPs_CAP'!L$38</f>
        <v>8.7965689771068902</v>
      </c>
      <c r="Q1808" s="1">
        <f>'[1]Electricity and CHPs_CAP'!M$38</f>
        <v>9.2452830340159995</v>
      </c>
      <c r="S1808" s="3"/>
    </row>
    <row r="1809" spans="2:19" x14ac:dyDescent="0.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979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'[1]Electricity and CHPs_CAP'!F$32</f>
        <v>0</v>
      </c>
      <c r="K1809" s="1">
        <f>'[1]Electricity and CHPs_CAP'!G$32</f>
        <v>0</v>
      </c>
      <c r="L1809" s="1">
        <f>'[1]Electricity and CHPs_CAP'!H$32</f>
        <v>3.3081350091760298E-4</v>
      </c>
      <c r="M1809" s="1">
        <f>'[1]Electricity and CHPs_CAP'!I$32</f>
        <v>3.3292456136776809E-4</v>
      </c>
      <c r="N1809" s="1">
        <f>'[1]Electricity and CHPs_CAP'!J$32</f>
        <v>3.3307385629283099E-4</v>
      </c>
      <c r="O1809" s="1">
        <f>'[1]Electricity and CHPs_CAP'!K$32</f>
        <v>3.3329344991514867E-4</v>
      </c>
      <c r="P1809" s="1">
        <f>'[1]Electricity and CHPs_CAP'!L$32</f>
        <v>3.3452534190987586E-4</v>
      </c>
      <c r="Q1809" s="1">
        <f>'[1]Electricity and CHPs_CAP'!M$32</f>
        <v>3.4061926293049472E-4</v>
      </c>
      <c r="S1809" s="3"/>
    </row>
    <row r="1810" spans="2:19" x14ac:dyDescent="0.5">
      <c r="B1810" s="5" t="str">
        <f t="shared" ref="B1810:C1810" si="1999">B1809</f>
        <v>SPS1</v>
      </c>
      <c r="C1810" s="5" t="str">
        <f t="shared" si="1999"/>
        <v>CH</v>
      </c>
      <c r="D1810" t="s">
        <v>1840</v>
      </c>
      <c r="E1810" t="str">
        <f t="shared" si="1979"/>
        <v>GWe/yr.</v>
      </c>
      <c r="F1810" s="1">
        <f>F1809</f>
        <v>0</v>
      </c>
      <c r="G1810" s="1">
        <f t="shared" ref="G1810:K1810" si="2000">G1809</f>
        <v>0</v>
      </c>
      <c r="H1810" s="1">
        <f t="shared" si="2000"/>
        <v>0</v>
      </c>
      <c r="I1810" s="1">
        <f t="shared" si="2000"/>
        <v>0</v>
      </c>
      <c r="J1810" s="1">
        <f t="shared" si="2000"/>
        <v>0</v>
      </c>
      <c r="K1810" s="1">
        <f t="shared" si="2000"/>
        <v>0</v>
      </c>
      <c r="L1810" s="1">
        <f t="shared" ref="L1810:O1810" si="2001">L1809</f>
        <v>3.3081350091760298E-4</v>
      </c>
      <c r="M1810" s="1">
        <f t="shared" si="2001"/>
        <v>3.3292456136776809E-4</v>
      </c>
      <c r="N1810" s="1">
        <f t="shared" si="2001"/>
        <v>3.3307385629283099E-4</v>
      </c>
      <c r="O1810" s="1">
        <f t="shared" si="2001"/>
        <v>3.3329344991514867E-4</v>
      </c>
      <c r="P1810" s="1">
        <f>P1809</f>
        <v>3.3452534190987586E-4</v>
      </c>
      <c r="Q1810" s="1">
        <f>Q1809</f>
        <v>3.4061926293049472E-4</v>
      </c>
      <c r="S1810" s="3"/>
    </row>
    <row r="1811" spans="2:19" x14ac:dyDescent="0.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979"/>
        <v>GWe/yr.</v>
      </c>
      <c r="F1811" s="1">
        <f t="shared" ref="F1811:K1811" si="2002">SUM(F1812:F1814)</f>
        <v>0</v>
      </c>
      <c r="G1811" s="1">
        <f t="shared" si="2002"/>
        <v>0</v>
      </c>
      <c r="H1811" s="1">
        <f t="shared" si="2002"/>
        <v>0</v>
      </c>
      <c r="I1811" s="1">
        <f t="shared" si="2002"/>
        <v>1.258432942687891E-4</v>
      </c>
      <c r="J1811" s="1">
        <f t="shared" si="2002"/>
        <v>3.8384596842952687E-2</v>
      </c>
      <c r="K1811" s="1">
        <f t="shared" si="2002"/>
        <v>0.14310898508192912</v>
      </c>
      <c r="L1811" s="1">
        <f t="shared" ref="L1811:O1811" si="2003">SUM(L1812:L1814)</f>
        <v>0.22436972563504776</v>
      </c>
      <c r="M1811" s="1">
        <f t="shared" si="2003"/>
        <v>0.26779078929517741</v>
      </c>
      <c r="N1811" s="1">
        <f t="shared" si="2003"/>
        <v>0.26029887784801303</v>
      </c>
      <c r="O1811" s="1">
        <f t="shared" si="2003"/>
        <v>0.27171928641767862</v>
      </c>
      <c r="P1811" s="1">
        <f>SUM(P1812:P1814)</f>
        <v>0.25849741587908437</v>
      </c>
      <c r="Q1811" s="1">
        <f>SUM(Q1812:Q1814)</f>
        <v>0.25773777542678056</v>
      </c>
      <c r="S1811" s="3"/>
    </row>
    <row r="1812" spans="2:19" x14ac:dyDescent="0.5">
      <c r="B1812" s="5" t="str">
        <f t="shared" si="1998"/>
        <v>SPS1</v>
      </c>
      <c r="C1812" s="5" t="str">
        <f t="shared" si="1998"/>
        <v>CH</v>
      </c>
      <c r="D1812" t="s">
        <v>1842</v>
      </c>
      <c r="E1812" t="str">
        <f t="shared" si="1979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'[1]Electricity and CHPs_CAP'!F$30</f>
        <v>0</v>
      </c>
      <c r="K1812" s="1">
        <f>'[1]Electricity and CHPs_CAP'!G$30</f>
        <v>1.73594505085089E-2</v>
      </c>
      <c r="L1812" s="1">
        <f>'[1]Electricity and CHPs_CAP'!H$30</f>
        <v>5.9506101639232541E-2</v>
      </c>
      <c r="M1812" s="1">
        <f>'[1]Electricity and CHPs_CAP'!I$30</f>
        <v>7.2313867145638241E-2</v>
      </c>
      <c r="N1812" s="1">
        <f>'[1]Electricity and CHPs_CAP'!J$30</f>
        <v>7.0016290165959422E-2</v>
      </c>
      <c r="O1812" s="1">
        <f>'[1]Electricity and CHPs_CAP'!K$30</f>
        <v>8.2872817507595467E-2</v>
      </c>
      <c r="P1812" s="1">
        <f>'[1]Electricity and CHPs_CAP'!L$30</f>
        <v>7.6907347002128715E-2</v>
      </c>
      <c r="Q1812" s="1">
        <f>'[1]Electricity and CHPs_CAP'!M$30</f>
        <v>7.1959363332542284E-2</v>
      </c>
      <c r="S1812" s="3"/>
    </row>
    <row r="1813" spans="2:19" x14ac:dyDescent="0.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979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9.8984846551847597E-5</v>
      </c>
      <c r="J1813" s="1">
        <f>'[1]Electricity and CHPs_CAP'!F$46</f>
        <v>3.8286070970523993E-2</v>
      </c>
      <c r="K1813" s="1">
        <f>'[1]Electricity and CHPs_CAP'!G$46</f>
        <v>0.1255975904018572</v>
      </c>
      <c r="L1813" s="1">
        <f>'[1]Electricity and CHPs_CAP'!H$46</f>
        <v>0.16468162621638252</v>
      </c>
      <c r="M1813" s="1">
        <f>'[1]Electricity and CHPs_CAP'!I$46</f>
        <v>0.19427518268764829</v>
      </c>
      <c r="N1813" s="1">
        <f>'[1]Electricity and CHPs_CAP'!J$46</f>
        <v>0.18818731112782441</v>
      </c>
      <c r="O1813" s="1">
        <f>'[1]Electricity and CHPs_CAP'!K$46</f>
        <v>0.18680404354697142</v>
      </c>
      <c r="P1813" s="1">
        <f>'[1]Electricity and CHPs_CAP'!L$46</f>
        <v>0.18074372423552898</v>
      </c>
      <c r="Q1813" s="1">
        <f>'[1]Electricity and CHPs_CAP'!M$46</f>
        <v>0.18077203588179191</v>
      </c>
      <c r="S1813" s="3"/>
    </row>
    <row r="1814" spans="2:19" x14ac:dyDescent="0.5">
      <c r="B1814" s="5" t="str">
        <f t="shared" si="1998"/>
        <v>SPS1</v>
      </c>
      <c r="C1814" s="5" t="str">
        <f t="shared" si="1998"/>
        <v>CH</v>
      </c>
      <c r="D1814" t="s">
        <v>1844</v>
      </c>
      <c r="E1814" t="str">
        <f t="shared" si="1979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2.6858447716941499E-5</v>
      </c>
      <c r="J1814" s="1">
        <f>'[1]Electricity and CHPs_CAP'!F$57</f>
        <v>9.8525872428691135E-5</v>
      </c>
      <c r="K1814" s="1">
        <f>'[1]Electricity and CHPs_CAP'!G$57</f>
        <v>1.5194417156303371E-4</v>
      </c>
      <c r="L1814" s="1">
        <f>'[1]Electricity and CHPs_CAP'!H$57</f>
        <v>1.8199777943270031E-4</v>
      </c>
      <c r="M1814" s="1">
        <f>'[1]Electricity and CHPs_CAP'!I$57</f>
        <v>1.2017394618909143E-3</v>
      </c>
      <c r="N1814" s="1">
        <f>'[1]Electricity and CHPs_CAP'!J$57</f>
        <v>2.0952765542292203E-3</v>
      </c>
      <c r="O1814" s="1">
        <f>'[1]Electricity and CHPs_CAP'!K$57</f>
        <v>2.04242536311172E-3</v>
      </c>
      <c r="P1814" s="1">
        <f>'[1]Electricity and CHPs_CAP'!L$57</f>
        <v>8.4634464142669731E-4</v>
      </c>
      <c r="Q1814" s="1">
        <f>'[1]Electricity and CHPs_CAP'!M$57</f>
        <v>5.0063762124463625E-3</v>
      </c>
      <c r="S1814" s="3"/>
    </row>
    <row r="1815" spans="2:19" x14ac:dyDescent="0.5">
      <c r="B1815" s="5" t="str">
        <f t="shared" si="1998"/>
        <v>SPS1</v>
      </c>
      <c r="C1815" s="5" t="str">
        <f t="shared" si="1998"/>
        <v>CH</v>
      </c>
      <c r="D1815" t="s">
        <v>1845</v>
      </c>
      <c r="E1815" t="str">
        <f t="shared" si="1979"/>
        <v>GWe/yr.</v>
      </c>
      <c r="F1815" s="1">
        <f>SUM(F1816:F1822)</f>
        <v>0.10105239795694214</v>
      </c>
      <c r="G1815" s="1">
        <f t="shared" ref="G1815:K1815" si="2004">SUM(G1816:G1822)</f>
        <v>0.10105276118676525</v>
      </c>
      <c r="H1815" s="1">
        <f t="shared" si="2004"/>
        <v>0.10105657612354513</v>
      </c>
      <c r="I1815" s="1">
        <f t="shared" si="2004"/>
        <v>0.24420574749304758</v>
      </c>
      <c r="J1815" s="1">
        <f t="shared" si="2004"/>
        <v>0.62006656056021281</v>
      </c>
      <c r="K1815" s="1">
        <f t="shared" si="2004"/>
        <v>0.89760192169118536</v>
      </c>
      <c r="L1815" s="1">
        <f t="shared" ref="L1815:O1815" si="2005">SUM(L1816:L1822)</f>
        <v>1.2471113498852124</v>
      </c>
      <c r="M1815" s="1">
        <f t="shared" si="2005"/>
        <v>1.4770941216222897</v>
      </c>
      <c r="N1815" s="1">
        <f t="shared" si="2005"/>
        <v>1.5552649433950614</v>
      </c>
      <c r="O1815" s="1">
        <f t="shared" si="2005"/>
        <v>1.6162306914023503</v>
      </c>
      <c r="P1815" s="1">
        <f>SUM(P1816:P1822)</f>
        <v>1.7070564468580562</v>
      </c>
      <c r="Q1815" s="1">
        <f>SUM(Q1816:Q1822)</f>
        <v>1.7646697216186895</v>
      </c>
      <c r="S1815" s="3"/>
    </row>
    <row r="1816" spans="2:19" x14ac:dyDescent="0.5">
      <c r="B1816" s="5" t="str">
        <f t="shared" si="1998"/>
        <v>SPS1</v>
      </c>
      <c r="C1816" s="5" t="str">
        <f t="shared" si="1998"/>
        <v>CH</v>
      </c>
      <c r="D1816" t="s">
        <v>1846</v>
      </c>
      <c r="E1816" t="str">
        <f t="shared" si="1979"/>
        <v>GWe/yr.</v>
      </c>
      <c r="F1816" s="1">
        <f>'[1]Electricity and CHPs_CAP'!B$63</f>
        <v>0.1</v>
      </c>
      <c r="G1816" s="1">
        <f>'[1]Electricity and CHPs_CAP'!C$63</f>
        <v>9.999916877210166E-2</v>
      </c>
      <c r="H1816" s="1">
        <f>'[1]Electricity and CHPs_CAP'!D$63</f>
        <v>9.9999156481179449E-2</v>
      </c>
      <c r="I1816" s="1">
        <f>'[1]Electricity and CHPs_CAP'!E$63</f>
        <v>9.9999184900558077E-2</v>
      </c>
      <c r="J1816" s="1">
        <f>'[1]Electricity and CHPs_CAP'!F$63</f>
        <v>9.999938769915738E-2</v>
      </c>
      <c r="K1816" s="1">
        <f>'[1]Electricity and CHPs_CAP'!G$63</f>
        <v>9.9999485925967982E-2</v>
      </c>
      <c r="L1816" s="1">
        <f>'[1]Electricity and CHPs_CAP'!H$63</f>
        <v>9.9999496944732508E-2</v>
      </c>
      <c r="M1816" s="1">
        <f>'[1]Electricity and CHPs_CAP'!I$63</f>
        <v>9.9999353675764568E-2</v>
      </c>
      <c r="N1816" s="1">
        <f>'[1]Electricity and CHPs_CAP'!J$63</f>
        <v>9.9999250618451205E-2</v>
      </c>
      <c r="O1816" s="1">
        <f>'[1]Electricity and CHPs_CAP'!K$63</f>
        <v>9.9999102695985359E-2</v>
      </c>
      <c r="P1816" s="1">
        <f>'[1]Electricity and CHPs_CAP'!L$63</f>
        <v>9.9999061590249724E-2</v>
      </c>
      <c r="Q1816" s="1">
        <f>'[1]Electricity and CHPs_CAP'!M$63</f>
        <v>9.9999111542086044E-2</v>
      </c>
      <c r="S1816" s="3"/>
    </row>
    <row r="1817" spans="2:19" x14ac:dyDescent="0.5">
      <c r="B1817" s="5" t="str">
        <f t="shared" si="1998"/>
        <v>SPS1</v>
      </c>
      <c r="C1817" s="5" t="str">
        <f t="shared" si="1998"/>
        <v>CH</v>
      </c>
      <c r="D1817" t="s">
        <v>1847</v>
      </c>
      <c r="E1817" t="str">
        <f t="shared" si="1979"/>
        <v>GWe/yr.</v>
      </c>
      <c r="F1817" s="1">
        <f>'[1]Electricity and CHPs_CAP'!B$64</f>
        <v>1.7671841677395901E-4</v>
      </c>
      <c r="G1817" s="1">
        <f>'[1]Electricity and CHPs_CAP'!C$64</f>
        <v>1.769363566495092E-4</v>
      </c>
      <c r="H1817" s="1">
        <f>'[1]Electricity and CHPs_CAP'!D$64</f>
        <v>1.7772369839500363E-4</v>
      </c>
      <c r="I1817" s="1">
        <f>'[1]Electricity and CHPs_CAP'!E$64</f>
        <v>1.7593971731089318E-4</v>
      </c>
      <c r="J1817" s="1">
        <f>'[1]Electricity and CHPs_CAP'!F$64</f>
        <v>0.30260614539339492</v>
      </c>
      <c r="K1817" s="1">
        <f>'[1]Electricity and CHPs_CAP'!G$64</f>
        <v>0.55754556613716755</v>
      </c>
      <c r="L1817" s="1">
        <f>'[1]Electricity and CHPs_CAP'!H$64</f>
        <v>0.55756258863228148</v>
      </c>
      <c r="M1817" s="1">
        <f>'[1]Electricity and CHPs_CAP'!I$64</f>
        <v>0.55756592325221199</v>
      </c>
      <c r="N1817" s="1">
        <f>'[1]Electricity and CHPs_CAP'!J$64</f>
        <v>0.55756816222996841</v>
      </c>
      <c r="O1817" s="1">
        <f>'[1]Electricity and CHPs_CAP'!K$64</f>
        <v>0.55757436111092029</v>
      </c>
      <c r="P1817" s="1">
        <f>'[1]Electricity and CHPs_CAP'!L$64</f>
        <v>0.55758138904039989</v>
      </c>
      <c r="Q1817" s="1">
        <f>'[1]Electricity and CHPs_CAP'!M$64</f>
        <v>0.55761664983077575</v>
      </c>
      <c r="S1817" s="3"/>
    </row>
    <row r="1818" spans="2:19" x14ac:dyDescent="0.5">
      <c r="B1818" s="5" t="str">
        <f t="shared" si="1998"/>
        <v>SPS1</v>
      </c>
      <c r="C1818" s="5" t="str">
        <f t="shared" si="1998"/>
        <v>CH</v>
      </c>
      <c r="D1818" t="s">
        <v>1848</v>
      </c>
      <c r="E1818" t="str">
        <f t="shared" si="1979"/>
        <v>GWe/yr.</v>
      </c>
      <c r="F1818" s="1">
        <f>'[1]Electricity and CHPs_CAP'!B$65</f>
        <v>1.3007250809375301E-4</v>
      </c>
      <c r="G1818" s="1">
        <f>'[1]Electricity and CHPs_CAP'!C$65</f>
        <v>1.30238053211357E-4</v>
      </c>
      <c r="H1818" s="1">
        <f>'[1]Electricity and CHPs_CAP'!D$65</f>
        <v>1.3086658207921663E-4</v>
      </c>
      <c r="I1818" s="1">
        <f>'[1]Electricity and CHPs_CAP'!E$65</f>
        <v>1.3368489086647148E-4</v>
      </c>
      <c r="J1818" s="1">
        <f>'[1]Electricity and CHPs_CAP'!F$65</f>
        <v>2.0875627616560185E-3</v>
      </c>
      <c r="K1818" s="1">
        <f>'[1]Electricity and CHPs_CAP'!G$65</f>
        <v>4.6746372725716568E-3</v>
      </c>
      <c r="L1818" s="1">
        <f>'[1]Electricity and CHPs_CAP'!H$65</f>
        <v>0.33626753685271182</v>
      </c>
      <c r="M1818" s="1">
        <f>'[1]Electricity and CHPs_CAP'!I$65</f>
        <v>0.54709392694297165</v>
      </c>
      <c r="N1818" s="1">
        <f>'[1]Electricity and CHPs_CAP'!J$65</f>
        <v>0.61142304254414237</v>
      </c>
      <c r="O1818" s="1">
        <f>'[1]Electricity and CHPs_CAP'!K$65</f>
        <v>0.65762536722156562</v>
      </c>
      <c r="P1818" s="1">
        <f>'[1]Electricity and CHPs_CAP'!L$65</f>
        <v>0.73321748924710806</v>
      </c>
      <c r="Q1818" s="1">
        <f>'[1]Electricity and CHPs_CAP'!M$65</f>
        <v>0.77449687755939423</v>
      </c>
      <c r="S1818" s="3"/>
    </row>
    <row r="1819" spans="2:19" x14ac:dyDescent="0.5">
      <c r="B1819" s="5" t="str">
        <f t="shared" si="1998"/>
        <v>SPS1</v>
      </c>
      <c r="C1819" s="5" t="str">
        <f t="shared" si="1998"/>
        <v>CH</v>
      </c>
      <c r="D1819" t="s">
        <v>1849</v>
      </c>
      <c r="E1819" t="str">
        <f t="shared" si="1979"/>
        <v>GWe/yr.</v>
      </c>
      <c r="F1819" s="1">
        <f>'[1]Electricity and CHPs_CAP'!B$66</f>
        <v>1.2388805100912306E-4</v>
      </c>
      <c r="G1819" s="1">
        <f>'[1]Electricity and CHPs_CAP'!C$66</f>
        <v>1.2402354114844104E-4</v>
      </c>
      <c r="H1819" s="1">
        <f>'[1]Electricity and CHPs_CAP'!D$66</f>
        <v>1.2442613048572009E-4</v>
      </c>
      <c r="I1819" s="1">
        <f>'[1]Electricity and CHPs_CAP'!E$66</f>
        <v>7.2321192628780354E-2</v>
      </c>
      <c r="J1819" s="1">
        <f>'[1]Electricity and CHPs_CAP'!F$66</f>
        <v>0.12415276166889183</v>
      </c>
      <c r="K1819" s="1">
        <f>'[1]Electricity and CHPs_CAP'!G$66</f>
        <v>0.17186116668618484</v>
      </c>
      <c r="L1819" s="1">
        <f>'[1]Electricity and CHPs_CAP'!H$66</f>
        <v>0.20182411415027338</v>
      </c>
      <c r="M1819" s="1">
        <f>'[1]Electricity and CHPs_CAP'!I$66</f>
        <v>0.14687253132167086</v>
      </c>
      <c r="N1819" s="1">
        <f>'[1]Electricity and CHPs_CAP'!J$66</f>
        <v>0.17337986264908375</v>
      </c>
      <c r="O1819" s="1">
        <f>'[1]Electricity and CHPs_CAP'!K$66</f>
        <v>0.19582726150244689</v>
      </c>
      <c r="P1819" s="1">
        <f>'[1]Electricity and CHPs_CAP'!L$66</f>
        <v>0.19989265105831763</v>
      </c>
      <c r="Q1819" s="1">
        <f>'[1]Electricity and CHPs_CAP'!M$66</f>
        <v>0.16505578925455988</v>
      </c>
      <c r="S1819" s="3"/>
    </row>
    <row r="1820" spans="2:19" x14ac:dyDescent="0.5">
      <c r="B1820" s="5" t="str">
        <f t="shared" si="1998"/>
        <v>SPS1</v>
      </c>
      <c r="C1820" s="5" t="str">
        <f t="shared" si="1998"/>
        <v>CH</v>
      </c>
      <c r="D1820" t="s">
        <v>1855</v>
      </c>
      <c r="E1820" t="str">
        <f t="shared" si="1979"/>
        <v>GWe/yr.</v>
      </c>
      <c r="F1820" s="1">
        <f>'[1]Electricity and CHPs_CAP'!B$67</f>
        <v>2.4872951811534018E-4</v>
      </c>
      <c r="G1820" s="1">
        <f>'[1]Electricity and CHPs_CAP'!C$67</f>
        <v>2.4900020446045115E-4</v>
      </c>
      <c r="H1820" s="1">
        <f>'[1]Electricity and CHPs_CAP'!D$67</f>
        <v>2.498013878676164E-4</v>
      </c>
      <c r="I1820" s="1">
        <f>'[1]Electricity and CHPs_CAP'!E$67</f>
        <v>1.8494996259631497E-2</v>
      </c>
      <c r="J1820" s="1">
        <f>'[1]Electricity and CHPs_CAP'!F$67</f>
        <v>1.8933281159808163E-2</v>
      </c>
      <c r="K1820" s="1">
        <f>'[1]Electricity and CHPs_CAP'!G$67</f>
        <v>1.1900000900317363E-2</v>
      </c>
      <c r="L1820" s="1">
        <f>'[1]Electricity and CHPs_CAP'!H$67</f>
        <v>1.7303997720996174E-2</v>
      </c>
      <c r="M1820" s="1">
        <f>'[1]Electricity and CHPs_CAP'!I$67</f>
        <v>1.9114340666288442E-2</v>
      </c>
      <c r="N1820" s="1">
        <f>'[1]Electricity and CHPs_CAP'!J$67</f>
        <v>1.2281654850080436E-2</v>
      </c>
      <c r="O1820" s="1">
        <f>'[1]Electricity and CHPs_CAP'!K$67</f>
        <v>2.0428129288582023E-2</v>
      </c>
      <c r="P1820" s="1">
        <f>'[1]Electricity and CHPs_CAP'!L$67</f>
        <v>1.9350126672927313E-2</v>
      </c>
      <c r="Q1820" s="1">
        <f>'[1]Electricity and CHPs_CAP'!M$67</f>
        <v>3.1409240430094618E-2</v>
      </c>
      <c r="S1820" s="3"/>
    </row>
    <row r="1821" spans="2:19" x14ac:dyDescent="0.5">
      <c r="B1821" s="5" t="str">
        <f t="shared" ref="B1821:C1822" si="2006">B1820</f>
        <v>SPS1</v>
      </c>
      <c r="C1821" s="5" t="str">
        <f t="shared" si="2006"/>
        <v>CH</v>
      </c>
      <c r="D1821" t="s">
        <v>1850</v>
      </c>
      <c r="E1821" t="str">
        <f t="shared" si="1979"/>
        <v>GWe/yr.</v>
      </c>
      <c r="F1821" s="1">
        <f>'[1]Electricity and CHPs_CAP'!B$68</f>
        <v>2.486303859539653E-4</v>
      </c>
      <c r="G1821" s="1">
        <f>'[1]Electricity and CHPs_CAP'!C$68</f>
        <v>2.4889984494747995E-4</v>
      </c>
      <c r="H1821" s="1">
        <f>'[1]Electricity and CHPs_CAP'!D$68</f>
        <v>2.4970483538233742E-4</v>
      </c>
      <c r="I1821" s="1">
        <f>'[1]Electricity and CHPs_CAP'!E$68</f>
        <v>3.3154994546459586E-2</v>
      </c>
      <c r="J1821" s="1">
        <f>'[1]Electricity and CHPs_CAP'!F$68</f>
        <v>3.6570171872068388E-2</v>
      </c>
      <c r="K1821" s="1">
        <f>'[1]Electricity and CHPs_CAP'!G$68</f>
        <v>2.7105604611222592E-2</v>
      </c>
      <c r="L1821" s="1">
        <f>'[1]Electricity and CHPs_CAP'!H$68</f>
        <v>2.0592921452390597E-2</v>
      </c>
      <c r="M1821" s="1">
        <f>'[1]Electricity and CHPs_CAP'!I$68</f>
        <v>5.1274038188735396E-2</v>
      </c>
      <c r="N1821" s="1">
        <f>'[1]Electricity and CHPs_CAP'!J$68</f>
        <v>4.6198604788974064E-2</v>
      </c>
      <c r="O1821" s="1">
        <f>'[1]Electricity and CHPs_CAP'!K$68</f>
        <v>4.5439711008310235E-2</v>
      </c>
      <c r="P1821" s="1">
        <f>'[1]Electricity and CHPs_CAP'!L$68</f>
        <v>4.9606741719702072E-2</v>
      </c>
      <c r="Q1821" s="1">
        <f>'[1]Electricity and CHPs_CAP'!M$68</f>
        <v>7.5619368650377133E-2</v>
      </c>
      <c r="S1821" s="3"/>
    </row>
    <row r="1822" spans="2:19" x14ac:dyDescent="0.5">
      <c r="B1822" s="5" t="str">
        <f t="shared" si="2006"/>
        <v>SPS1</v>
      </c>
      <c r="C1822" s="5" t="str">
        <f t="shared" si="2006"/>
        <v>CH</v>
      </c>
      <c r="D1822" t="s">
        <v>1851</v>
      </c>
      <c r="E1822" t="str">
        <f t="shared" si="1979"/>
        <v>GWe/yr.</v>
      </c>
      <c r="F1822" s="1">
        <f>'[1]Electricity and CHPs_CAP'!B$69</f>
        <v>1.2435907699599467E-4</v>
      </c>
      <c r="G1822" s="1">
        <f>'[1]Electricity and CHPs_CAP'!C$69</f>
        <v>1.2449441424634223E-4</v>
      </c>
      <c r="H1822" s="1">
        <f>'[1]Electricity and CHPs_CAP'!D$69</f>
        <v>1.2489700815579126E-4</v>
      </c>
      <c r="I1822" s="1">
        <f>'[1]Electricity and CHPs_CAP'!E$69</f>
        <v>1.9925754549440705E-2</v>
      </c>
      <c r="J1822" s="1">
        <f>'[1]Electricity and CHPs_CAP'!F$69</f>
        <v>3.5717250005236227E-2</v>
      </c>
      <c r="K1822" s="1">
        <f>'[1]Electricity and CHPs_CAP'!G$69</f>
        <v>2.4515460157753386E-2</v>
      </c>
      <c r="L1822" s="1">
        <f>'[1]Electricity and CHPs_CAP'!H$69</f>
        <v>1.3560694131826473E-2</v>
      </c>
      <c r="M1822" s="1">
        <f>'[1]Electricity and CHPs_CAP'!I$69</f>
        <v>5.5174007574647278E-2</v>
      </c>
      <c r="N1822" s="1">
        <f>'[1]Electricity and CHPs_CAP'!J$69</f>
        <v>5.4414365714361417E-2</v>
      </c>
      <c r="O1822" s="1">
        <f>'[1]Electricity and CHPs_CAP'!K$69</f>
        <v>3.9336758574539984E-2</v>
      </c>
      <c r="P1822" s="1">
        <f>'[1]Electricity and CHPs_CAP'!L$69</f>
        <v>4.74089875293515E-2</v>
      </c>
      <c r="Q1822" s="1">
        <f>'[1]Electricity and CHPs_CAP'!M$69</f>
        <v>6.0472684351401768E-2</v>
      </c>
      <c r="S1822" s="3"/>
    </row>
    <row r="1823" spans="2:19" x14ac:dyDescent="0.5">
      <c r="B1823" s="5" t="str">
        <f t="shared" ref="B1823:C1823" si="2007">B1822</f>
        <v>SPS1</v>
      </c>
      <c r="C1823" s="5" t="str">
        <f t="shared" si="2007"/>
        <v>CH</v>
      </c>
      <c r="D1823" s="2" t="s">
        <v>1860</v>
      </c>
      <c r="E1823" s="2" t="s">
        <v>1858</v>
      </c>
      <c r="F1823" s="3">
        <f>SUM(F1824,F1843)</f>
        <v>11.163828420930399</v>
      </c>
      <c r="G1823" s="3">
        <f t="shared" ref="G1823:K1823" si="2008">SUM(G1824,G1843)</f>
        <v>11.922552204820256</v>
      </c>
      <c r="H1823" s="3">
        <f t="shared" si="2008"/>
        <v>11.976340774805593</v>
      </c>
      <c r="I1823" s="3">
        <f t="shared" si="2008"/>
        <v>12.854581423158214</v>
      </c>
      <c r="J1823" s="3">
        <f t="shared" si="2008"/>
        <v>11.17818958298235</v>
      </c>
      <c r="K1823" s="3">
        <f t="shared" si="2008"/>
        <v>10.312355590764549</v>
      </c>
      <c r="L1823" s="3">
        <f t="shared" ref="L1823:O1823" si="2009">SUM(L1824,L1843)</f>
        <v>10.503442837582131</v>
      </c>
      <c r="M1823" s="3">
        <f t="shared" si="2009"/>
        <v>10.718671563985975</v>
      </c>
      <c r="N1823" s="3">
        <f t="shared" si="2009"/>
        <v>10.460156974882773</v>
      </c>
      <c r="O1823" s="3">
        <f t="shared" si="2009"/>
        <v>10.374195500018851</v>
      </c>
      <c r="P1823" s="3">
        <f>SUM(P1824,P1843)</f>
        <v>10.008389509847797</v>
      </c>
      <c r="Q1823" s="3">
        <f>SUM(Q1824,Q1843)</f>
        <v>9.4887141297410871</v>
      </c>
      <c r="S1823" s="3"/>
    </row>
    <row r="1824" spans="2:19" x14ac:dyDescent="0.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9.3028457771484838</v>
      </c>
      <c r="G1824" s="1">
        <f t="shared" ref="G1824:K1824" si="2010">SUM(G1825,G1828,G1830,G1833,G1835,G1837,G1839,G1841)</f>
        <v>9.9039370985176678</v>
      </c>
      <c r="H1824" s="1">
        <f t="shared" si="2010"/>
        <v>10.06485836620932</v>
      </c>
      <c r="I1824" s="1">
        <f t="shared" si="2010"/>
        <v>10.679912538950756</v>
      </c>
      <c r="J1824" s="1">
        <f t="shared" si="2010"/>
        <v>9.303580680973754</v>
      </c>
      <c r="K1824" s="1">
        <f t="shared" si="2010"/>
        <v>8.5553355204306971</v>
      </c>
      <c r="L1824" s="1">
        <f t="shared" ref="L1824:O1824" si="2011">SUM(L1825,L1828,L1830,L1833,L1835,L1837,L1839,L1841)</f>
        <v>8.6725963570008489</v>
      </c>
      <c r="M1824" s="1">
        <f t="shared" si="2011"/>
        <v>8.566160186710384</v>
      </c>
      <c r="N1824" s="1">
        <f t="shared" si="2011"/>
        <v>8.3074438574041114</v>
      </c>
      <c r="O1824" s="1">
        <f t="shared" si="2011"/>
        <v>8.2234127655262643</v>
      </c>
      <c r="P1824" s="1">
        <f>SUM(P1825,P1828,P1830,P1833,P1835,P1837,P1839,P1841)</f>
        <v>8.0472221181722574</v>
      </c>
      <c r="Q1824" s="1">
        <f>SUM(Q1825,Q1828,Q1830,Q1833,Q1835,Q1837,Q1839,Q1841)</f>
        <v>7.6027805749334494</v>
      </c>
      <c r="S1824" s="3"/>
    </row>
    <row r="1825" spans="2:19" x14ac:dyDescent="0.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2.1116608768143879</v>
      </c>
      <c r="G1825" s="1">
        <f t="shared" ref="G1825:K1825" si="2012">SUM(G1826:G1827)</f>
        <v>2.4147481459760334</v>
      </c>
      <c r="H1825" s="1">
        <f t="shared" si="2012"/>
        <v>2.572431538924171</v>
      </c>
      <c r="I1825" s="1">
        <f t="shared" si="2012"/>
        <v>3.1371242728158899</v>
      </c>
      <c r="J1825" s="1">
        <f t="shared" si="2012"/>
        <v>3.7358950842432406</v>
      </c>
      <c r="K1825" s="1">
        <f t="shared" si="2012"/>
        <v>3.6642976114015084</v>
      </c>
      <c r="L1825" s="1">
        <f t="shared" ref="L1825:O1825" si="2013">SUM(L1826:L1827)</f>
        <v>4.3597640534741791</v>
      </c>
      <c r="M1825" s="1">
        <f t="shared" si="2013"/>
        <v>5.4662885279353297</v>
      </c>
      <c r="N1825" s="1">
        <f t="shared" si="2013"/>
        <v>5.9238085831850666</v>
      </c>
      <c r="O1825" s="1">
        <f t="shared" si="2013"/>
        <v>6.0199266517886425</v>
      </c>
      <c r="P1825" s="1">
        <f>SUM(P1826:P1827)</f>
        <v>6.0755573389924011</v>
      </c>
      <c r="Q1825" s="1">
        <f>SUM(Q1826:Q1827)</f>
        <v>5.9651825257069326</v>
      </c>
      <c r="S1825" s="3"/>
    </row>
    <row r="1826" spans="2:19" x14ac:dyDescent="0.5">
      <c r="B1826" s="5" t="str">
        <f t="shared" ref="B1826:C1826" si="2014">B1825</f>
        <v>SPS1</v>
      </c>
      <c r="C1826" s="5" t="str">
        <f t="shared" si="2014"/>
        <v>CH</v>
      </c>
      <c r="D1826" t="s">
        <v>1862</v>
      </c>
      <c r="E1826" t="str">
        <f t="shared" ref="E1826:E1889" si="2015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0.67257067876334409</v>
      </c>
      <c r="G1826" s="1" cm="1">
        <f t="array" ref="G1826">SUMPRODUCT(([1]OUT_FinalEnergyCons!$B$4:$B$10000="var_cap")*1,(ISNUMBER(SEARCH("RH*-SHELCBR",[1]OUT_FinalEnergyCons!$A$4:$A$10000)))*1,[1]OUT_FinalEnergyCons!E$4:E$10000)</f>
        <v>0.7027687459100469</v>
      </c>
      <c r="H1826" s="1" cm="1">
        <f t="array" ref="H1826">SUMPRODUCT(([1]OUT_FinalEnergyCons!$B$4:$B$10000="var_cap")*1,(ISNUMBER(SEARCH("RH*-SHELCBR",[1]OUT_FinalEnergyCons!$A$4:$A$10000)))*1,[1]OUT_FinalEnergyCons!F$4:F$10000)</f>
        <v>0.70276695064440287</v>
      </c>
      <c r="I1826" s="1" cm="1">
        <f t="array" ref="I1826">SUMPRODUCT(([1]OUT_FinalEnergyCons!$B$4:$B$10000="var_cap")*1,(ISNUMBER(SEARCH("RH*-SHELCBR",[1]OUT_FinalEnergyCons!$A$4:$A$10000)))*1,[1]OUT_FinalEnergyCons!G$4:G$10000)</f>
        <v>0.65629797689936553</v>
      </c>
      <c r="J1826" s="1" cm="1">
        <f t="array" ref="J1826">SUMPRODUCT(([1]OUT_FinalEnergyCons!$B$4:$B$10000="var_cap")*1,(ISNUMBER(SEARCH("RH*-SHELCBR",[1]OUT_FinalEnergyCons!$A$4:$A$10000)))*1,[1]OUT_FinalEnergyCons!H$4:H$10000)</f>
        <v>0.25720889970915628</v>
      </c>
      <c r="K1826" s="1" cm="1">
        <f t="array" ref="K1826">SUMPRODUCT(([1]OUT_FinalEnergyCons!$B$4:$B$10000="var_cap")*1,(ISNUMBER(SEARCH("RH*-SHELCBR",[1]OUT_FinalEnergyCons!$A$4:$A$10000)))*1,[1]OUT_FinalEnergyCons!I$4:I$10000)</f>
        <v>0.18962759534181717</v>
      </c>
      <c r="L1826" s="1" cm="1">
        <f t="array" ref="L1826">SUMPRODUCT(([1]OUT_FinalEnergyCons!$B$4:$B$10000="var_cap")*1,(ISNUMBER(SEARCH("RH*-SHELCBR",[1]OUT_FinalEnergyCons!$A$4:$A$10000)))*1,[1]OUT_FinalEnergyCons!J$4:J$10000)</f>
        <v>0.16314894281081224</v>
      </c>
      <c r="M1826" s="1" cm="1">
        <f t="array" ref="M1826">SUMPRODUCT(([1]OUT_FinalEnergyCons!$B$4:$B$10000="var_cap")*1,(ISNUMBER(SEARCH("RH*-SHELCBR",[1]OUT_FinalEnergyCons!$A$4:$A$10000)))*1,[1]OUT_FinalEnergyCons!K$4:K$10000)</f>
        <v>0.22607550518913169</v>
      </c>
      <c r="N1826" s="1" cm="1">
        <f t="array" ref="N1826">SUMPRODUCT(([1]OUT_FinalEnergyCons!$B$4:$B$10000="var_cap")*1,(ISNUMBER(SEARCH("RH*-SHELCBR",[1]OUT_FinalEnergyCons!$A$4:$A$10000)))*1,[1]OUT_FinalEnergyCons!L$4:L$10000)</f>
        <v>0.20931319394233019</v>
      </c>
      <c r="O1826" s="1" cm="1">
        <f t="array" ref="O1826">SUMPRODUCT(([1]OUT_FinalEnergyCons!$B$4:$B$10000="var_cap")*1,(ISNUMBER(SEARCH("RH*-SHELCBR",[1]OUT_FinalEnergyCons!$A$4:$A$10000)))*1,[1]OUT_FinalEnergyCons!M$4:M$10000)</f>
        <v>0.20493246824001168</v>
      </c>
      <c r="P1826" s="1" cm="1">
        <f t="array" ref="P1826">SUMPRODUCT(([1]OUT_FinalEnergyCons!$B$4:$B$10000="var_cap")*1,(ISNUMBER(SEARCH("RH*-SHELCBR",[1]OUT_FinalEnergyCons!$A$4:$A$10000)))*1,[1]OUT_FinalEnergyCons!N$4:N$10000)</f>
        <v>0.25551544388246955</v>
      </c>
      <c r="Q1826" s="1" cm="1">
        <f t="array" ref="Q1826">SUMPRODUCT(([1]OUT_FinalEnergyCons!$B$4:$B$10000="var_cap")*1,(ISNUMBER(SEARCH("RH*-SHELCBR",[1]OUT_FinalEnergyCons!$A$4:$A$10000)))*1,[1]OUT_FinalEnergyCons!O$4:O$10000)</f>
        <v>0.15347982728344331</v>
      </c>
      <c r="S1826" s="3"/>
    </row>
    <row r="1827" spans="2:19" x14ac:dyDescent="0.5">
      <c r="B1827" s="5" t="str">
        <f t="shared" ref="B1827:C1827" si="2016">B1826</f>
        <v>SPS1</v>
      </c>
      <c r="C1827" s="5" t="str">
        <f t="shared" si="2016"/>
        <v>CH</v>
      </c>
      <c r="D1827" t="s">
        <v>1863</v>
      </c>
      <c r="E1827" t="str">
        <f t="shared" si="2015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1.439090198051044</v>
      </c>
      <c r="G1827" s="1" cm="1">
        <f t="array" ref="G1827">SUMPRODUCT(([1]OUT_FinalEnergyCons!$B$4:$B$10000="var_cap")*1,ISNUMBER(SEARCH("RH*-SHELCHP",[1]OUT_FinalEnergyCons!$A$4:$A$10000))*1,[1]OUT_FinalEnergyCons!E$4:E$10000)</f>
        <v>1.7119794000659863</v>
      </c>
      <c r="H1827" s="1" cm="1">
        <f t="array" ref="H1827">SUMPRODUCT(([1]OUT_FinalEnergyCons!$B$4:$B$10000="var_cap")*1,ISNUMBER(SEARCH("RH*-SHELCHP",[1]OUT_FinalEnergyCons!$A$4:$A$10000))*1,[1]OUT_FinalEnergyCons!F$4:F$10000)</f>
        <v>1.8696645882797682</v>
      </c>
      <c r="I1827" s="1" cm="1">
        <f t="array" ref="I1827">SUMPRODUCT(([1]OUT_FinalEnergyCons!$B$4:$B$10000="var_cap")*1,ISNUMBER(SEARCH("RH*-SHELCHP",[1]OUT_FinalEnergyCons!$A$4:$A$10000))*1,[1]OUT_FinalEnergyCons!G$4:G$10000)</f>
        <v>2.4808262959165241</v>
      </c>
      <c r="J1827" s="1" cm="1">
        <f t="array" ref="J1827">SUMPRODUCT(([1]OUT_FinalEnergyCons!$B$4:$B$10000="var_cap")*1,ISNUMBER(SEARCH("RH*-SHELCHP",[1]OUT_FinalEnergyCons!$A$4:$A$10000))*1,[1]OUT_FinalEnergyCons!H$4:H$10000)</f>
        <v>3.4786861845340842</v>
      </c>
      <c r="K1827" s="1" cm="1">
        <f t="array" ref="K1827">SUMPRODUCT(([1]OUT_FinalEnergyCons!$B$4:$B$10000="var_cap")*1,ISNUMBER(SEARCH("RH*-SHELCHP",[1]OUT_FinalEnergyCons!$A$4:$A$10000))*1,[1]OUT_FinalEnergyCons!I$4:I$10000)</f>
        <v>3.4746700160596915</v>
      </c>
      <c r="L1827" s="1" cm="1">
        <f t="array" ref="L1827">SUMPRODUCT(([1]OUT_FinalEnergyCons!$B$4:$B$10000="var_cap")*1,ISNUMBER(SEARCH("RH*-SHELCHP",[1]OUT_FinalEnergyCons!$A$4:$A$10000))*1,[1]OUT_FinalEnergyCons!J$4:J$10000)</f>
        <v>4.1966151106633669</v>
      </c>
      <c r="M1827" s="1" cm="1">
        <f t="array" ref="M1827">SUMPRODUCT(([1]OUT_FinalEnergyCons!$B$4:$B$10000="var_cap")*1,ISNUMBER(SEARCH("RH*-SHELCHP",[1]OUT_FinalEnergyCons!$A$4:$A$10000))*1,[1]OUT_FinalEnergyCons!K$4:K$10000)</f>
        <v>5.2402130227461976</v>
      </c>
      <c r="N1827" s="1" cm="1">
        <f t="array" ref="N1827">SUMPRODUCT(([1]OUT_FinalEnergyCons!$B$4:$B$10000="var_cap")*1,ISNUMBER(SEARCH("RH*-SHELCHP",[1]OUT_FinalEnergyCons!$A$4:$A$10000))*1,[1]OUT_FinalEnergyCons!L$4:L$10000)</f>
        <v>5.7144953892427361</v>
      </c>
      <c r="O1827" s="1" cm="1">
        <f t="array" ref="O1827">SUMPRODUCT(([1]OUT_FinalEnergyCons!$B$4:$B$10000="var_cap")*1,ISNUMBER(SEARCH("RH*-SHELCHP",[1]OUT_FinalEnergyCons!$A$4:$A$10000))*1,[1]OUT_FinalEnergyCons!M$4:M$10000)</f>
        <v>5.814994183548631</v>
      </c>
      <c r="P1827" s="1" cm="1">
        <f t="array" ref="P1827">SUMPRODUCT(([1]OUT_FinalEnergyCons!$B$4:$B$10000="var_cap")*1,ISNUMBER(SEARCH("RH*-SHELCHP",[1]OUT_FinalEnergyCons!$A$4:$A$10000))*1,[1]OUT_FinalEnergyCons!N$4:N$10000)</f>
        <v>5.8200418951099318</v>
      </c>
      <c r="Q1827" s="1" cm="1">
        <f t="array" ref="Q1827">SUMPRODUCT(([1]OUT_FinalEnergyCons!$B$4:$B$10000="var_cap")*1,ISNUMBER(SEARCH("RH*-SHELCHP",[1]OUT_FinalEnergyCons!$A$4:$A$10000))*1,[1]OUT_FinalEnergyCons!O$4:O$10000)</f>
        <v>5.8117026984234892</v>
      </c>
      <c r="S1827" s="3"/>
    </row>
    <row r="1828" spans="2:19" x14ac:dyDescent="0.5">
      <c r="B1828" s="5" t="str">
        <f t="shared" ref="B1828:C1828" si="2017">B1827</f>
        <v>SPS1</v>
      </c>
      <c r="C1828" s="5" t="str">
        <f t="shared" si="2017"/>
        <v>CH</v>
      </c>
      <c r="D1828" t="s">
        <v>1864</v>
      </c>
      <c r="E1828" t="str">
        <f t="shared" si="2015"/>
        <v>GWth/yr.</v>
      </c>
      <c r="F1828" s="1">
        <f>F1829</f>
        <v>3.4074053831106799</v>
      </c>
      <c r="G1828" s="1">
        <f t="shared" ref="G1828:O1828" si="2018">G1829</f>
        <v>3.4074047021791163</v>
      </c>
      <c r="H1828" s="1">
        <f t="shared" si="2018"/>
        <v>3.4074040217973751</v>
      </c>
      <c r="I1828" s="1">
        <f t="shared" si="2018"/>
        <v>3.4074034565915898</v>
      </c>
      <c r="J1828" s="1">
        <f t="shared" si="2018"/>
        <v>1.4187695692345779</v>
      </c>
      <c r="K1828" s="1">
        <f t="shared" si="2018"/>
        <v>0.80203881078476758</v>
      </c>
      <c r="L1828" s="1">
        <f t="shared" si="2018"/>
        <v>0.68669716827009797</v>
      </c>
      <c r="M1828" s="1">
        <f t="shared" si="2018"/>
        <v>0.6413580156970109</v>
      </c>
      <c r="N1828" s="1">
        <f t="shared" si="2018"/>
        <v>0.65004719837389946</v>
      </c>
      <c r="O1828" s="1">
        <f t="shared" si="2018"/>
        <v>0.60903168831047494</v>
      </c>
      <c r="P1828" s="1">
        <f>P1829</f>
        <v>0.38830590528507813</v>
      </c>
      <c r="Q1828" s="1">
        <f>Q1829</f>
        <v>0.16175625259302762</v>
      </c>
      <c r="S1828" s="3"/>
    </row>
    <row r="1829" spans="2:19" x14ac:dyDescent="0.5">
      <c r="B1829" s="5" t="str">
        <f t="shared" ref="B1829:C1829" si="2019">B1828</f>
        <v>SPS1</v>
      </c>
      <c r="C1829" s="5" t="str">
        <f t="shared" si="2019"/>
        <v>CH</v>
      </c>
      <c r="D1829" t="s">
        <v>1865</v>
      </c>
      <c r="E1829" t="str">
        <f t="shared" si="2015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3.4074047021791163</v>
      </c>
      <c r="H1829" s="1" cm="1">
        <f t="array" ref="H1829">SUMPRODUCT(([1]OUT_FinalEnergyCons!$B$4:$B$10000="var_cap")*1, (ISNUMBER(SEARCH("RH*-SHLFOBR",[1]OUT_FinalEnergyCons!$A$4:$A$10000)))*1,[1]OUT_FinalEnergyCons!F$4:F$10000)</f>
        <v>3.4074040217973751</v>
      </c>
      <c r="I1829" s="1" cm="1">
        <f t="array" ref="I1829">SUMPRODUCT(([1]OUT_FinalEnergyCons!$B$4:$B$10000="var_cap")*1, (ISNUMBER(SEARCH("RH*-SHLFOBR",[1]OUT_FinalEnergyCons!$A$4:$A$10000)))*1,[1]OUT_FinalEnergyCons!G$4:G$10000)</f>
        <v>3.4074034565915898</v>
      </c>
      <c r="J1829" s="1" cm="1">
        <f t="array" ref="J1829">SUMPRODUCT(([1]OUT_FinalEnergyCons!$B$4:$B$10000="var_cap")*1, (ISNUMBER(SEARCH("RH*-SHLFOBR",[1]OUT_FinalEnergyCons!$A$4:$A$10000)))*1,[1]OUT_FinalEnergyCons!H$4:H$10000)</f>
        <v>1.4187695692345779</v>
      </c>
      <c r="K1829" s="1" cm="1">
        <f t="array" ref="K1829">SUMPRODUCT(([1]OUT_FinalEnergyCons!$B$4:$B$10000="var_cap")*1, (ISNUMBER(SEARCH("RH*-SHLFOBR",[1]OUT_FinalEnergyCons!$A$4:$A$10000)))*1,[1]OUT_FinalEnergyCons!I$4:I$10000)</f>
        <v>0.80203881078476758</v>
      </c>
      <c r="L1829" s="1" cm="1">
        <f t="array" ref="L1829">SUMPRODUCT(([1]OUT_FinalEnergyCons!$B$4:$B$10000="var_cap")*1, (ISNUMBER(SEARCH("RH*-SHLFOBR",[1]OUT_FinalEnergyCons!$A$4:$A$10000)))*1,[1]OUT_FinalEnergyCons!J$4:J$10000)</f>
        <v>0.68669716827009797</v>
      </c>
      <c r="M1829" s="1" cm="1">
        <f t="array" ref="M1829">SUMPRODUCT(([1]OUT_FinalEnergyCons!$B$4:$B$10000="var_cap")*1, (ISNUMBER(SEARCH("RH*-SHLFOBR",[1]OUT_FinalEnergyCons!$A$4:$A$10000)))*1,[1]OUT_FinalEnergyCons!K$4:K$10000)</f>
        <v>0.6413580156970109</v>
      </c>
      <c r="N1829" s="1" cm="1">
        <f t="array" ref="N1829">SUMPRODUCT(([1]OUT_FinalEnergyCons!$B$4:$B$10000="var_cap")*1, (ISNUMBER(SEARCH("RH*-SHLFOBR",[1]OUT_FinalEnergyCons!$A$4:$A$10000)))*1,[1]OUT_FinalEnergyCons!L$4:L$10000)</f>
        <v>0.65004719837389946</v>
      </c>
      <c r="O1829" s="1" cm="1">
        <f t="array" ref="O1829">SUMPRODUCT(([1]OUT_FinalEnergyCons!$B$4:$B$10000="var_cap")*1, (ISNUMBER(SEARCH("RH*-SHLFOBR",[1]OUT_FinalEnergyCons!$A$4:$A$10000)))*1,[1]OUT_FinalEnergyCons!M$4:M$10000)</f>
        <v>0.60903168831047494</v>
      </c>
      <c r="P1829" s="1" cm="1">
        <f t="array" ref="P1829">SUMPRODUCT(([1]OUT_FinalEnergyCons!$B$4:$B$10000="var_cap")*1, (ISNUMBER(SEARCH("RH*-SHLFOBR",[1]OUT_FinalEnergyCons!$A$4:$A$10000)))*1,[1]OUT_FinalEnergyCons!N$4:N$10000)</f>
        <v>0.38830590528507813</v>
      </c>
      <c r="Q1829" s="1" cm="1">
        <f t="array" ref="Q1829">SUMPRODUCT(([1]OUT_FinalEnergyCons!$B$4:$B$10000="var_cap")*1, (ISNUMBER(SEARCH("RH*-SHLFOBR",[1]OUT_FinalEnergyCons!$A$4:$A$10000)))*1,[1]OUT_FinalEnergyCons!O$4:O$10000)</f>
        <v>0.16175625259302762</v>
      </c>
      <c r="S1829" s="3"/>
    </row>
    <row r="1830" spans="2:19" x14ac:dyDescent="0.5">
      <c r="B1830" s="5" t="str">
        <f t="shared" ref="B1830:C1830" si="2020">B1829</f>
        <v>SPS1</v>
      </c>
      <c r="C1830" s="5" t="str">
        <f t="shared" si="2020"/>
        <v>CH</v>
      </c>
      <c r="D1830" t="s">
        <v>1866</v>
      </c>
      <c r="E1830" t="str">
        <f t="shared" si="2015"/>
        <v>GWth/yr.</v>
      </c>
      <c r="F1830" s="1">
        <f>SUM(F1831:F1832)</f>
        <v>2.7687540854692463</v>
      </c>
      <c r="G1830" s="1">
        <f t="shared" ref="G1830:K1830" si="2021">SUM(G1831:G1832)</f>
        <v>3.0002709724664602</v>
      </c>
      <c r="H1830" s="1">
        <f t="shared" si="2021"/>
        <v>3.0031346514416493</v>
      </c>
      <c r="I1830" s="1">
        <f t="shared" si="2021"/>
        <v>3.0165143351878925</v>
      </c>
      <c r="J1830" s="1">
        <f t="shared" si="2021"/>
        <v>3.2662008916585354</v>
      </c>
      <c r="K1830" s="1">
        <f t="shared" si="2021"/>
        <v>3.330106579282555</v>
      </c>
      <c r="L1830" s="1">
        <f t="shared" ref="L1830:O1830" si="2022">SUM(L1831:L1832)</f>
        <v>2.8888608508381566</v>
      </c>
      <c r="M1830" s="1">
        <f t="shared" si="2022"/>
        <v>1.4112652982542184</v>
      </c>
      <c r="N1830" s="1">
        <f t="shared" si="2022"/>
        <v>0.71845436769903537</v>
      </c>
      <c r="O1830" s="1">
        <f t="shared" si="2022"/>
        <v>0.57738594642276542</v>
      </c>
      <c r="P1830" s="1">
        <f>SUM(P1831:P1832)</f>
        <v>0.58302294735071858</v>
      </c>
      <c r="Q1830" s="1">
        <f>SUM(Q1831:Q1832)</f>
        <v>0.51347227443976151</v>
      </c>
      <c r="S1830" s="3"/>
    </row>
    <row r="1831" spans="2:19" x14ac:dyDescent="0.5">
      <c r="B1831" s="5" t="str">
        <f t="shared" ref="B1831:C1831" si="2023">B1830</f>
        <v>SPS1</v>
      </c>
      <c r="C1831" s="5" t="str">
        <f t="shared" si="2023"/>
        <v>CH</v>
      </c>
      <c r="D1831" t="s">
        <v>1867</v>
      </c>
      <c r="E1831" t="str">
        <f t="shared" si="2015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3.0002706529343941</v>
      </c>
      <c r="H1831" s="1" cm="1">
        <f t="array" ref="H1831">SUMPRODUCT(([1]OUT_FinalEnergyCons!$B$4:$B$10000="var_cap")*1, (ISNUMBER(SEARCH("RH*-SHNGABR",[1]OUT_FinalEnergyCons!$A$4:$A$10000)))*1,[1]OUT_FinalEnergyCons!F$4:F$10000)</f>
        <v>3.002837138001917</v>
      </c>
      <c r="I1831" s="1" cm="1">
        <f t="array" ref="I1831">SUMPRODUCT(([1]OUT_FinalEnergyCons!$B$4:$B$10000="var_cap")*1, (ISNUMBER(SEARCH("RH*-SHNGABR",[1]OUT_FinalEnergyCons!$A$4:$A$10000)))*1,[1]OUT_FinalEnergyCons!G$4:G$10000)</f>
        <v>3.0161910526145759</v>
      </c>
      <c r="J1831" s="1" cm="1">
        <f t="array" ref="J1831">SUMPRODUCT(([1]OUT_FinalEnergyCons!$B$4:$B$10000="var_cap")*1, (ISNUMBER(SEARCH("RH*-SHNGABR",[1]OUT_FinalEnergyCons!$A$4:$A$10000)))*1,[1]OUT_FinalEnergyCons!H$4:H$10000)</f>
        <v>2.8174140904599323</v>
      </c>
      <c r="K1831" s="1" cm="1">
        <f t="array" ref="K1831">SUMPRODUCT(([1]OUT_FinalEnergyCons!$B$4:$B$10000="var_cap")*1, (ISNUMBER(SEARCH("RH*-SHNGABR",[1]OUT_FinalEnergyCons!$A$4:$A$10000)))*1,[1]OUT_FinalEnergyCons!I$4:I$10000)</f>
        <v>2.4154405523769005</v>
      </c>
      <c r="L1831" s="1" cm="1">
        <f t="array" ref="L1831">SUMPRODUCT(([1]OUT_FinalEnergyCons!$B$4:$B$10000="var_cap")*1, (ISNUMBER(SEARCH("RH*-SHNGABR",[1]OUT_FinalEnergyCons!$A$4:$A$10000)))*1,[1]OUT_FinalEnergyCons!J$4:J$10000)</f>
        <v>1.9742764699628534</v>
      </c>
      <c r="M1831" s="1" cm="1">
        <f t="array" ref="M1831">SUMPRODUCT(([1]OUT_FinalEnergyCons!$B$4:$B$10000="var_cap")*1, (ISNUMBER(SEARCH("RH*-SHNGABR",[1]OUT_FinalEnergyCons!$A$4:$A$10000)))*1,[1]OUT_FinalEnergyCons!K$4:K$10000)</f>
        <v>0.60584314132632322</v>
      </c>
      <c r="N1831" s="1" cm="1">
        <f t="array" ref="N1831">SUMPRODUCT(([1]OUT_FinalEnergyCons!$B$4:$B$10000="var_cap")*1, (ISNUMBER(SEARCH("RH*-SHNGABR",[1]OUT_FinalEnergyCons!$A$4:$A$10000)))*1,[1]OUT_FinalEnergyCons!L$4:L$10000)</f>
        <v>0.3249647219659218</v>
      </c>
      <c r="O1831" s="1" cm="1">
        <f t="array" ref="O1831">SUMPRODUCT(([1]OUT_FinalEnergyCons!$B$4:$B$10000="var_cap")*1, (ISNUMBER(SEARCH("RH*-SHNGABR",[1]OUT_FinalEnergyCons!$A$4:$A$10000)))*1,[1]OUT_FinalEnergyCons!M$4:M$10000)</f>
        <v>0.23725963838438122</v>
      </c>
      <c r="P1831" s="1" cm="1">
        <f t="array" ref="P1831">SUMPRODUCT(([1]OUT_FinalEnergyCons!$B$4:$B$10000="var_cap")*1, (ISNUMBER(SEARCH("RH*-SHNGABR",[1]OUT_FinalEnergyCons!$A$4:$A$10000)))*1,[1]OUT_FinalEnergyCons!N$4:N$10000)</f>
        <v>0.24062614536227991</v>
      </c>
      <c r="Q1831" s="1" cm="1">
        <f t="array" ref="Q1831">SUMPRODUCT(([1]OUT_FinalEnergyCons!$B$4:$B$10000="var_cap")*1, (ISNUMBER(SEARCH("RH*-SHNGABR",[1]OUT_FinalEnergyCons!$A$4:$A$10000)))*1,[1]OUT_FinalEnergyCons!O$4:O$10000)</f>
        <v>0.17099632652878902</v>
      </c>
      <c r="S1831" s="3"/>
    </row>
    <row r="1832" spans="2:19" x14ac:dyDescent="0.5">
      <c r="B1832" s="5" t="str">
        <f t="shared" ref="B1832:C1832" si="2024">B1831</f>
        <v>SPS1</v>
      </c>
      <c r="C1832" s="5" t="str">
        <f t="shared" si="2024"/>
        <v>CH</v>
      </c>
      <c r="D1832" t="s">
        <v>1868</v>
      </c>
      <c r="E1832" t="str">
        <f t="shared" si="2015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3.42308964733841E-8</v>
      </c>
      <c r="G1832" s="1" cm="1">
        <f t="array" ref="G1832">SUMPRODUCT(([1]OUT_FinalEnergyCons!$B$4:$B$10000="var_cap")*1,ISNUMBER(SEARCH("RH*-SHngahp",[1]OUT_FinalEnergyCons!$A$4:$A$10000))*1,[1]OUT_FinalEnergyCons!E$4:E$10000)</f>
        <v>3.1953206623663685E-7</v>
      </c>
      <c r="H1832" s="1" cm="1">
        <f t="array" ref="H1832">SUMPRODUCT(([1]OUT_FinalEnergyCons!$B$4:$B$10000="var_cap")*1,ISNUMBER(SEARCH("RH*-SHngahp",[1]OUT_FinalEnergyCons!$A$4:$A$10000))*1,[1]OUT_FinalEnergyCons!F$4:F$10000)</f>
        <v>2.9751343973212285E-4</v>
      </c>
      <c r="I1832" s="1" cm="1">
        <f t="array" ref="I1832">SUMPRODUCT(([1]OUT_FinalEnergyCons!$B$4:$B$10000="var_cap")*1,ISNUMBER(SEARCH("RH*-SHngahp",[1]OUT_FinalEnergyCons!$A$4:$A$10000))*1,[1]OUT_FinalEnergyCons!G$4:G$10000)</f>
        <v>3.2328257331640242E-4</v>
      </c>
      <c r="J1832" s="1" cm="1">
        <f t="array" ref="J1832">SUMPRODUCT(([1]OUT_FinalEnergyCons!$B$4:$B$10000="var_cap")*1,ISNUMBER(SEARCH("RH*-SHngahp",[1]OUT_FinalEnergyCons!$A$4:$A$10000))*1,[1]OUT_FinalEnergyCons!H$4:H$10000)</f>
        <v>0.44878680119860315</v>
      </c>
      <c r="K1832" s="1" cm="1">
        <f t="array" ref="K1832">SUMPRODUCT(([1]OUT_FinalEnergyCons!$B$4:$B$10000="var_cap")*1,ISNUMBER(SEARCH("RH*-SHngahp",[1]OUT_FinalEnergyCons!$A$4:$A$10000))*1,[1]OUT_FinalEnergyCons!I$4:I$10000)</f>
        <v>0.91466602690565468</v>
      </c>
      <c r="L1832" s="1" cm="1">
        <f t="array" ref="L1832">SUMPRODUCT(([1]OUT_FinalEnergyCons!$B$4:$B$10000="var_cap")*1,ISNUMBER(SEARCH("RH*-SHngahp",[1]OUT_FinalEnergyCons!$A$4:$A$10000))*1,[1]OUT_FinalEnergyCons!J$4:J$10000)</f>
        <v>0.91458438087530336</v>
      </c>
      <c r="M1832" s="1" cm="1">
        <f t="array" ref="M1832">SUMPRODUCT(([1]OUT_FinalEnergyCons!$B$4:$B$10000="var_cap")*1,ISNUMBER(SEARCH("RH*-SHngahp",[1]OUT_FinalEnergyCons!$A$4:$A$10000))*1,[1]OUT_FinalEnergyCons!K$4:K$10000)</f>
        <v>0.80542215692789532</v>
      </c>
      <c r="N1832" s="1" cm="1">
        <f t="array" ref="N1832">SUMPRODUCT(([1]OUT_FinalEnergyCons!$B$4:$B$10000="var_cap")*1,ISNUMBER(SEARCH("RH*-SHngahp",[1]OUT_FinalEnergyCons!$A$4:$A$10000))*1,[1]OUT_FinalEnergyCons!L$4:L$10000)</f>
        <v>0.39348964573311362</v>
      </c>
      <c r="O1832" s="1" cm="1">
        <f t="array" ref="O1832">SUMPRODUCT(([1]OUT_FinalEnergyCons!$B$4:$B$10000="var_cap")*1,ISNUMBER(SEARCH("RH*-SHngahp",[1]OUT_FinalEnergyCons!$A$4:$A$10000))*1,[1]OUT_FinalEnergyCons!M$4:M$10000)</f>
        <v>0.34012630803838417</v>
      </c>
      <c r="P1832" s="1" cm="1">
        <f t="array" ref="P1832">SUMPRODUCT(([1]OUT_FinalEnergyCons!$B$4:$B$10000="var_cap")*1,ISNUMBER(SEARCH("RH*-SHngahp",[1]OUT_FinalEnergyCons!$A$4:$A$10000))*1,[1]OUT_FinalEnergyCons!N$4:N$10000)</f>
        <v>0.34239680198843869</v>
      </c>
      <c r="Q1832" s="1" cm="1">
        <f t="array" ref="Q1832">SUMPRODUCT(([1]OUT_FinalEnergyCons!$B$4:$B$10000="var_cap")*1,ISNUMBER(SEARCH("RH*-SHngahp",[1]OUT_FinalEnergyCons!$A$4:$A$10000))*1,[1]OUT_FinalEnergyCons!O$4:O$10000)</f>
        <v>0.34247594791097247</v>
      </c>
      <c r="S1832" s="3"/>
    </row>
    <row r="1833" spans="2:19" x14ac:dyDescent="0.5">
      <c r="B1833" s="5" t="str">
        <f t="shared" ref="B1833:C1833" si="2025">B1832</f>
        <v>SPS1</v>
      </c>
      <c r="C1833" s="5" t="str">
        <f t="shared" si="2025"/>
        <v>CH</v>
      </c>
      <c r="D1833" t="s">
        <v>1869</v>
      </c>
      <c r="E1833" t="str">
        <f t="shared" si="2015"/>
        <v>GWth/yr.</v>
      </c>
      <c r="F1833" s="1">
        <f>F1834</f>
        <v>7.0000000000000001E-3</v>
      </c>
      <c r="G1833" s="1">
        <f t="shared" ref="G1833:O1833" si="2026">G1834</f>
        <v>6.1045190512805658E-3</v>
      </c>
      <c r="H1833" s="1">
        <f t="shared" si="2026"/>
        <v>5.8235452528299786E-5</v>
      </c>
      <c r="I1833" s="1">
        <f t="shared" si="2026"/>
        <v>3.8592601333100121E-5</v>
      </c>
      <c r="J1833" s="1">
        <f t="shared" si="2026"/>
        <v>9.9949196653099839E-6</v>
      </c>
      <c r="K1833" s="1">
        <f t="shared" si="2026"/>
        <v>0</v>
      </c>
      <c r="L1833" s="1">
        <f t="shared" si="2026"/>
        <v>0</v>
      </c>
      <c r="M1833" s="1">
        <f t="shared" si="2026"/>
        <v>0</v>
      </c>
      <c r="N1833" s="1">
        <f t="shared" si="2026"/>
        <v>0</v>
      </c>
      <c r="O1833" s="1">
        <f t="shared" si="2026"/>
        <v>0</v>
      </c>
      <c r="P1833" s="1">
        <f>P1834</f>
        <v>0</v>
      </c>
      <c r="Q1833" s="1">
        <f>Q1834</f>
        <v>0</v>
      </c>
      <c r="S1833" s="3"/>
    </row>
    <row r="1834" spans="2:19" x14ac:dyDescent="0.5">
      <c r="B1834" s="5" t="str">
        <f t="shared" ref="B1834:C1834" si="2027">B1833</f>
        <v>SPS1</v>
      </c>
      <c r="C1834" s="5" t="str">
        <f t="shared" si="2027"/>
        <v>CH</v>
      </c>
      <c r="D1834" t="s">
        <v>1870</v>
      </c>
      <c r="E1834" t="str">
        <f t="shared" si="2015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6.1045190512805658E-3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5.8235452528299786E-5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3.8592601333100121E-5</v>
      </c>
      <c r="J1834" s="1" cm="1">
        <f t="array" ref="J1834">IF(SUMPRODUCT(([1]OUT_FinalEnergyCons!$B$4:$B$10000="var_cap")*1, (ISNUMBER(SEARCH("RH*-SHCOABR",[1]OUT_FinalEnergyCons!$A$4:$A$10000)))*1,[1]OUT_FinalEnergyCons!H$4:H$10000)&lt;0,0,SUMPRODUCT(([1]OUT_FinalEnergyCons!$B$4:$B$10000="var_cap")*1, (ISNUMBER(SEARCH("RH*-SHCOABR",[1]OUT_FinalEnergyCons!$A$4:$A$10000)))*1,[1]OUT_FinalEnergyCons!H$4:H$10000))</f>
        <v>9.9949196653099839E-6</v>
      </c>
      <c r="K1834" s="1" cm="1">
        <f t="array" ref="K1834">IF(SUMPRODUCT(([1]OUT_FinalEnergyCons!$B$4:$B$10000="var_cap")*1, (ISNUMBER(SEARCH("RH*-SHCOABR",[1]OUT_FinalEnergyCons!$A$4:$A$10000)))*1,[1]OUT_FinalEnergyCons!I$4:I$10000)&lt;0,0,SUMPRODUCT(([1]OUT_FinalEnergyCons!$B$4:$B$10000="var_cap")*1, (ISNUMBER(SEARCH("RH*-SHCOABR",[1]OUT_FinalEnergyCons!$A$4:$A$10000)))*1,[1]OUT_FinalEnergyCons!I$4:I$10000))</f>
        <v>0</v>
      </c>
      <c r="L1834" s="1" cm="1">
        <f t="array" ref="L1834">IF(SUMPRODUCT(([1]OUT_FinalEnergyCons!$B$4:$B$10000="var_cap")*1, (ISNUMBER(SEARCH("RH*-SHCOABR",[1]OUT_FinalEnergyCons!$A$4:$A$10000)))*1,[1]OUT_FinalEnergyCons!J$4:J$10000)&lt;0,0,SUMPRODUCT(([1]OUT_FinalEnergyCons!$B$4:$B$10000="var_cap")*1, (ISNUMBER(SEARCH("RH*-SHCOABR",[1]OUT_FinalEnergyCons!$A$4:$A$10000)))*1,[1]OUT_FinalEnergyCons!J$4:J$10000))</f>
        <v>0</v>
      </c>
      <c r="M1834" s="1" cm="1">
        <f t="array" ref="M1834">IF(SUMPRODUCT(([1]OUT_FinalEnergyCons!$B$4:$B$10000="var_cap")*1, (ISNUMBER(SEARCH("RH*-SHCOABR",[1]OUT_FinalEnergyCons!$A$4:$A$10000)))*1,[1]OUT_FinalEnergyCons!K$4:K$10000)&lt;0,0,SUMPRODUCT(([1]OUT_FinalEnergyCons!$B$4:$B$10000="var_cap")*1, (ISNUMBER(SEARCH("RH*-SHCOABR",[1]OUT_FinalEnergyCons!$A$4:$A$10000)))*1,[1]OUT_FinalEnergyCons!K$4:K$10000))</f>
        <v>0</v>
      </c>
      <c r="N1834" s="1" cm="1">
        <f t="array" ref="N1834">IF(SUMPRODUCT(([1]OUT_FinalEnergyCons!$B$4:$B$10000="var_cap")*1, (ISNUMBER(SEARCH("RH*-SHCOABR",[1]OUT_FinalEnergyCons!$A$4:$A$10000)))*1,[1]OUT_FinalEnergyCons!L$4:L$10000)&lt;0,0,SUMPRODUCT(([1]OUT_FinalEnergyCons!$B$4:$B$10000="var_cap")*1, (ISNUMBER(SEARCH("RH*-SHCOABR",[1]OUT_FinalEnergyCons!$A$4:$A$10000)))*1,[1]OUT_FinalEnergyCons!L$4:L$10000))</f>
        <v>0</v>
      </c>
      <c r="O1834" s="1" cm="1">
        <f t="array" ref="O1834">IF(SUMPRODUCT(([1]OUT_FinalEnergyCons!$B$4:$B$10000="var_cap")*1, (ISNUMBER(SEARCH("RH*-SHCOABR",[1]OUT_FinalEnergyCons!$A$4:$A$10000)))*1,[1]OUT_FinalEnergyCons!M$4:M$10000)&lt;0,0,SUMPRODUCT(([1]OUT_FinalEnergyCons!$B$4:$B$10000="var_cap")*1, (ISNUMBER(SEARCH("RH*-SHCOABR",[1]OUT_FinalEnergyCons!$A$4:$A$10000)))*1,[1]OUT_FinalEnergyCons!M$4:M$10000))</f>
        <v>0</v>
      </c>
      <c r="P1834" s="1" cm="1">
        <f t="array" ref="P1834">IF(SUMPRODUCT(([1]OUT_FinalEnergyCons!$B$4:$B$10000="var_cap")*1, (ISNUMBER(SEARCH("RH*-SHCOABR",[1]OUT_FinalEnergyCons!$A$4:$A$10000)))*1,[1]OUT_FinalEnergyCons!N$4:N$10000)&lt;0,0,SUMPRODUCT(([1]OUT_FinalEnergyCons!$B$4:$B$10000="var_cap")*1, (ISNUMBER(SEARCH("RH*-SHCOABR",[1]OUT_FinalEnergyCons!$A$4:$A$10000)))*1,[1]OUT_FinalEnergyCons!N$4:N$10000))</f>
        <v>0</v>
      </c>
      <c r="Q1834" s="1" cm="1">
        <f t="array" ref="Q1834">IF(SUMPRODUCT(([1]OUT_FinalEnergyCons!$B$4:$B$10000="var_cap")*1, (ISNUMBER(SEARCH("RH*-SHCOABR",[1]OUT_FinalEnergyCons!$A$4:$A$10000)))*1,[1]OUT_FinalEnergyCons!O$4:O$10000)&lt;0,0,SUMPRODUCT(([1]OUT_FinalEnergyCons!$B$4:$B$10000="var_cap")*1, (ISNUMBER(SEARCH("RH*-SHCOABR",[1]OUT_FinalEnergyCons!$A$4:$A$10000)))*1,[1]OUT_FinalEnergyCons!O$4:O$10000))</f>
        <v>0</v>
      </c>
      <c r="S1834" s="3"/>
    </row>
    <row r="1835" spans="2:19" x14ac:dyDescent="0.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0.68950054601897748</v>
      </c>
      <c r="G1835" s="1">
        <f t="shared" ref="G1835:O1835" si="2028">G1836</f>
        <v>0.69777127232223679</v>
      </c>
      <c r="H1835" s="1">
        <f t="shared" si="2028"/>
        <v>0.70402726294886386</v>
      </c>
      <c r="I1835" s="1">
        <f t="shared" si="2028"/>
        <v>0.72995188168051728</v>
      </c>
      <c r="J1835" s="1">
        <f t="shared" si="2028"/>
        <v>0.48835044725748361</v>
      </c>
      <c r="K1835" s="1">
        <f t="shared" si="2028"/>
        <v>0.36167281598897905</v>
      </c>
      <c r="L1835" s="1">
        <f t="shared" si="2028"/>
        <v>0.33348115237835579</v>
      </c>
      <c r="M1835" s="1">
        <f t="shared" si="2028"/>
        <v>0.29893014134043516</v>
      </c>
      <c r="N1835" s="1">
        <f t="shared" si="2028"/>
        <v>0.2542960821781608</v>
      </c>
      <c r="O1835" s="1">
        <f t="shared" si="2028"/>
        <v>0.23972812486779296</v>
      </c>
      <c r="P1835" s="1">
        <f>P1836</f>
        <v>0.22707844057891804</v>
      </c>
      <c r="Q1835" s="1">
        <f>Q1836</f>
        <v>0.18542970091308794</v>
      </c>
      <c r="S1835" s="3"/>
    </row>
    <row r="1836" spans="2:19" x14ac:dyDescent="0.5">
      <c r="B1836" s="5" t="str">
        <f t="shared" ref="B1836:C1836" si="2029">B1835</f>
        <v>SPS1</v>
      </c>
      <c r="C1836" s="5" t="str">
        <f t="shared" si="2029"/>
        <v>CH</v>
      </c>
      <c r="D1836" t="s">
        <v>1872</v>
      </c>
      <c r="E1836" t="str">
        <f t="shared" si="2015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0.68950054601897748</v>
      </c>
      <c r="G1836" s="1" cm="1">
        <f t="array" ref="G1836">SUMPRODUCT(([1]OUT_FinalEnergyCons!$B$4:$B$10000="var_cap")*1, (ISNUMBER(SEARCH("RH*-SHWODBR",[1]OUT_FinalEnergyCons!$A$4:$A$10000)))*1,[1]OUT_FinalEnergyCons!E$4:E$10000)</f>
        <v>0.69777127232223679</v>
      </c>
      <c r="H1836" s="1" cm="1">
        <f t="array" ref="H1836">SUMPRODUCT(([1]OUT_FinalEnergyCons!$B$4:$B$10000="var_cap")*1, (ISNUMBER(SEARCH("RH*-SHWODBR",[1]OUT_FinalEnergyCons!$A$4:$A$10000)))*1,[1]OUT_FinalEnergyCons!F$4:F$10000)</f>
        <v>0.70402726294886386</v>
      </c>
      <c r="I1836" s="1" cm="1">
        <f t="array" ref="I1836">SUMPRODUCT(([1]OUT_FinalEnergyCons!$B$4:$B$10000="var_cap")*1, (ISNUMBER(SEARCH("RH*-SHWODBR",[1]OUT_FinalEnergyCons!$A$4:$A$10000)))*1,[1]OUT_FinalEnergyCons!G$4:G$10000)</f>
        <v>0.72995188168051728</v>
      </c>
      <c r="J1836" s="1" cm="1">
        <f t="array" ref="J1836">SUMPRODUCT(([1]OUT_FinalEnergyCons!$B$4:$B$10000="var_cap")*1, (ISNUMBER(SEARCH("RH*-SHWODBR",[1]OUT_FinalEnergyCons!$A$4:$A$10000)))*1,[1]OUT_FinalEnergyCons!H$4:H$10000)</f>
        <v>0.48835044725748361</v>
      </c>
      <c r="K1836" s="1" cm="1">
        <f t="array" ref="K1836">SUMPRODUCT(([1]OUT_FinalEnergyCons!$B$4:$B$10000="var_cap")*1, (ISNUMBER(SEARCH("RH*-SHWODBR",[1]OUT_FinalEnergyCons!$A$4:$A$10000)))*1,[1]OUT_FinalEnergyCons!I$4:I$10000)</f>
        <v>0.36167281598897905</v>
      </c>
      <c r="L1836" s="1" cm="1">
        <f t="array" ref="L1836">SUMPRODUCT(([1]OUT_FinalEnergyCons!$B$4:$B$10000="var_cap")*1, (ISNUMBER(SEARCH("RH*-SHWODBR",[1]OUT_FinalEnergyCons!$A$4:$A$10000)))*1,[1]OUT_FinalEnergyCons!J$4:J$10000)</f>
        <v>0.33348115237835579</v>
      </c>
      <c r="M1836" s="1" cm="1">
        <f t="array" ref="M1836">SUMPRODUCT(([1]OUT_FinalEnergyCons!$B$4:$B$10000="var_cap")*1, (ISNUMBER(SEARCH("RH*-SHWODBR",[1]OUT_FinalEnergyCons!$A$4:$A$10000)))*1,[1]OUT_FinalEnergyCons!K$4:K$10000)</f>
        <v>0.29893014134043516</v>
      </c>
      <c r="N1836" s="1" cm="1">
        <f t="array" ref="N1836">SUMPRODUCT(([1]OUT_FinalEnergyCons!$B$4:$B$10000="var_cap")*1, (ISNUMBER(SEARCH("RH*-SHWODBR",[1]OUT_FinalEnergyCons!$A$4:$A$10000)))*1,[1]OUT_FinalEnergyCons!L$4:L$10000)</f>
        <v>0.2542960821781608</v>
      </c>
      <c r="O1836" s="1" cm="1">
        <f t="array" ref="O1836">SUMPRODUCT(([1]OUT_FinalEnergyCons!$B$4:$B$10000="var_cap")*1, (ISNUMBER(SEARCH("RH*-SHWODBR",[1]OUT_FinalEnergyCons!$A$4:$A$10000)))*1,[1]OUT_FinalEnergyCons!M$4:M$10000)</f>
        <v>0.23972812486779296</v>
      </c>
      <c r="P1836" s="1" cm="1">
        <f t="array" ref="P1836">SUMPRODUCT(([1]OUT_FinalEnergyCons!$B$4:$B$10000="var_cap")*1, (ISNUMBER(SEARCH("RH*-SHWODBR",[1]OUT_FinalEnergyCons!$A$4:$A$10000)))*1,[1]OUT_FinalEnergyCons!N$4:N$10000)</f>
        <v>0.22707844057891804</v>
      </c>
      <c r="Q1836" s="1" cm="1">
        <f t="array" ref="Q1836">SUMPRODUCT(([1]OUT_FinalEnergyCons!$B$4:$B$10000="var_cap")*1, (ISNUMBER(SEARCH("RH*-SHWODBR",[1]OUT_FinalEnergyCons!$A$4:$A$10000)))*1,[1]OUT_FinalEnergyCons!O$4:O$10000)</f>
        <v>0.18542970091308794</v>
      </c>
      <c r="S1836" s="3"/>
    </row>
    <row r="1837" spans="2:19" x14ac:dyDescent="0.5">
      <c r="B1837" s="5" t="str">
        <f t="shared" ref="B1837:C1837" si="2030">B1836</f>
        <v>SPS1</v>
      </c>
      <c r="C1837" s="5" t="str">
        <f t="shared" si="2030"/>
        <v>CH</v>
      </c>
      <c r="D1837" t="s">
        <v>1873</v>
      </c>
      <c r="E1837" t="str">
        <f t="shared" si="2015"/>
        <v>GWth/yr.</v>
      </c>
      <c r="F1837" s="1">
        <f>F1838</f>
        <v>0.20446539961377203</v>
      </c>
      <c r="G1837" s="1">
        <f t="shared" ref="G1837:O1837" si="2031">G1838</f>
        <v>0.24044087333413655</v>
      </c>
      <c r="H1837" s="1">
        <f t="shared" si="2031"/>
        <v>0.24058341330005506</v>
      </c>
      <c r="I1837" s="1">
        <f t="shared" si="2031"/>
        <v>0.25153948469770154</v>
      </c>
      <c r="J1837" s="1">
        <f t="shared" si="2031"/>
        <v>0.26042865400672705</v>
      </c>
      <c r="K1837" s="1">
        <f t="shared" si="2031"/>
        <v>0.26690289896840158</v>
      </c>
      <c r="L1837" s="1">
        <f t="shared" si="2031"/>
        <v>0.27357153059016598</v>
      </c>
      <c r="M1837" s="1">
        <f t="shared" si="2031"/>
        <v>0.27919816730071367</v>
      </c>
      <c r="N1837" s="1">
        <f t="shared" si="2031"/>
        <v>0.28352306425146712</v>
      </c>
      <c r="O1837" s="1">
        <f t="shared" si="2031"/>
        <v>0.28819686056738214</v>
      </c>
      <c r="P1837" s="1">
        <f>P1838</f>
        <v>0.28887959830912113</v>
      </c>
      <c r="Q1837" s="1">
        <f>Q1838</f>
        <v>0.29552142856516528</v>
      </c>
      <c r="S1837" s="3"/>
    </row>
    <row r="1838" spans="2:19" x14ac:dyDescent="0.5">
      <c r="B1838" s="5" t="str">
        <f t="shared" ref="B1838:C1838" si="2032">B1837</f>
        <v>SPS1</v>
      </c>
      <c r="C1838" s="5" t="str">
        <f t="shared" si="2032"/>
        <v>CH</v>
      </c>
      <c r="D1838" t="s">
        <v>1874</v>
      </c>
      <c r="E1838" t="str">
        <f t="shared" si="2015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0.20446539961377203</v>
      </c>
      <c r="G1838" s="1" cm="1">
        <f t="array" ref="G1838">SUMPRODUCT(([1]OUT_FinalEnergyCons!$B$4:$B$10000="var_cap")*1, (ISNUMBER(SEARCH("RH*-SHPLTBR",[1]OUT_FinalEnergyCons!$A$4:$A$10000)))*1,[1]OUT_FinalEnergyCons!E$4:E$10000)</f>
        <v>0.24044087333413655</v>
      </c>
      <c r="H1838" s="1" cm="1">
        <f t="array" ref="H1838">SUMPRODUCT(([1]OUT_FinalEnergyCons!$B$4:$B$10000="var_cap")*1, (ISNUMBER(SEARCH("RH*-SHPLTBR",[1]OUT_FinalEnergyCons!$A$4:$A$10000)))*1,[1]OUT_FinalEnergyCons!F$4:F$10000)</f>
        <v>0.24058341330005506</v>
      </c>
      <c r="I1838" s="1" cm="1">
        <f t="array" ref="I1838">SUMPRODUCT(([1]OUT_FinalEnergyCons!$B$4:$B$10000="var_cap")*1, (ISNUMBER(SEARCH("RH*-SHPLTBR",[1]OUT_FinalEnergyCons!$A$4:$A$10000)))*1,[1]OUT_FinalEnergyCons!G$4:G$10000)</f>
        <v>0.25153948469770154</v>
      </c>
      <c r="J1838" s="1" cm="1">
        <f t="array" ref="J1838">SUMPRODUCT(([1]OUT_FinalEnergyCons!$B$4:$B$10000="var_cap")*1, (ISNUMBER(SEARCH("RH*-SHPLTBR",[1]OUT_FinalEnergyCons!$A$4:$A$10000)))*1,[1]OUT_FinalEnergyCons!H$4:H$10000)</f>
        <v>0.26042865400672705</v>
      </c>
      <c r="K1838" s="1" cm="1">
        <f t="array" ref="K1838">SUMPRODUCT(([1]OUT_FinalEnergyCons!$B$4:$B$10000="var_cap")*1, (ISNUMBER(SEARCH("RH*-SHPLTBR",[1]OUT_FinalEnergyCons!$A$4:$A$10000)))*1,[1]OUT_FinalEnergyCons!I$4:I$10000)</f>
        <v>0.26690289896840158</v>
      </c>
      <c r="L1838" s="1" cm="1">
        <f t="array" ref="L1838">SUMPRODUCT(([1]OUT_FinalEnergyCons!$B$4:$B$10000="var_cap")*1, (ISNUMBER(SEARCH("RH*-SHPLTBR",[1]OUT_FinalEnergyCons!$A$4:$A$10000)))*1,[1]OUT_FinalEnergyCons!J$4:J$10000)</f>
        <v>0.27357153059016598</v>
      </c>
      <c r="M1838" s="1" cm="1">
        <f t="array" ref="M1838">SUMPRODUCT(([1]OUT_FinalEnergyCons!$B$4:$B$10000="var_cap")*1, (ISNUMBER(SEARCH("RH*-SHPLTBR",[1]OUT_FinalEnergyCons!$A$4:$A$10000)))*1,[1]OUT_FinalEnergyCons!K$4:K$10000)</f>
        <v>0.27919816730071367</v>
      </c>
      <c r="N1838" s="1" cm="1">
        <f t="array" ref="N1838">SUMPRODUCT(([1]OUT_FinalEnergyCons!$B$4:$B$10000="var_cap")*1, (ISNUMBER(SEARCH("RH*-SHPLTBR",[1]OUT_FinalEnergyCons!$A$4:$A$10000)))*1,[1]OUT_FinalEnergyCons!L$4:L$10000)</f>
        <v>0.28352306425146712</v>
      </c>
      <c r="O1838" s="1" cm="1">
        <f t="array" ref="O1838">SUMPRODUCT(([1]OUT_FinalEnergyCons!$B$4:$B$10000="var_cap")*1, (ISNUMBER(SEARCH("RH*-SHPLTBR",[1]OUT_FinalEnergyCons!$A$4:$A$10000)))*1,[1]OUT_FinalEnergyCons!M$4:M$10000)</f>
        <v>0.28819686056738214</v>
      </c>
      <c r="P1838" s="1" cm="1">
        <f t="array" ref="P1838">SUMPRODUCT(([1]OUT_FinalEnergyCons!$B$4:$B$10000="var_cap")*1, (ISNUMBER(SEARCH("RH*-SHPLTBR",[1]OUT_FinalEnergyCons!$A$4:$A$10000)))*1,[1]OUT_FinalEnergyCons!N$4:N$10000)</f>
        <v>0.28887959830912113</v>
      </c>
      <c r="Q1838" s="1" cm="1">
        <f t="array" ref="Q1838">SUMPRODUCT(([1]OUT_FinalEnergyCons!$B$4:$B$10000="var_cap")*1, (ISNUMBER(SEARCH("RH*-SHPLTBR",[1]OUT_FinalEnergyCons!$A$4:$A$10000)))*1,[1]OUT_FinalEnergyCons!O$4:O$10000)</f>
        <v>0.29552142856516528</v>
      </c>
      <c r="S1838" s="3"/>
    </row>
    <row r="1839" spans="2:19" x14ac:dyDescent="0.5">
      <c r="B1839" s="5" t="str">
        <f t="shared" ref="B1839:C1839" si="2033">B1838</f>
        <v>SPS1</v>
      </c>
      <c r="C1839" s="5" t="str">
        <f t="shared" si="2033"/>
        <v>CH</v>
      </c>
      <c r="D1839" t="s">
        <v>1875</v>
      </c>
      <c r="E1839" t="str">
        <f t="shared" si="2015"/>
        <v>GWth/yr.</v>
      </c>
      <c r="F1839" s="1">
        <f>F1840</f>
        <v>0.11405948612141892</v>
      </c>
      <c r="G1839" s="1">
        <f t="shared" ref="G1839:O1839" si="2034">G1840</f>
        <v>0.13719661318840276</v>
      </c>
      <c r="H1839" s="1">
        <f t="shared" si="2034"/>
        <v>0.13721924234467825</v>
      </c>
      <c r="I1839" s="1">
        <f t="shared" si="2034"/>
        <v>0.13734051537583175</v>
      </c>
      <c r="J1839" s="1">
        <f t="shared" si="2034"/>
        <v>0.13392603965352601</v>
      </c>
      <c r="K1839" s="1">
        <f t="shared" si="2034"/>
        <v>0.13031680400448442</v>
      </c>
      <c r="L1839" s="1">
        <f t="shared" si="2034"/>
        <v>0.13022160144989228</v>
      </c>
      <c r="M1839" s="1">
        <f t="shared" si="2034"/>
        <v>0.46912003618267717</v>
      </c>
      <c r="N1839" s="1">
        <f t="shared" si="2034"/>
        <v>0.47731456171648357</v>
      </c>
      <c r="O1839" s="1">
        <f t="shared" si="2034"/>
        <v>0.48914349356920639</v>
      </c>
      <c r="P1839" s="1">
        <f>P1840</f>
        <v>0.48437788765602074</v>
      </c>
      <c r="Q1839" s="1">
        <f>Q1840</f>
        <v>0.4814183927154741</v>
      </c>
      <c r="S1839" s="3"/>
    </row>
    <row r="1840" spans="2:19" x14ac:dyDescent="0.5">
      <c r="B1840" s="5" t="str">
        <f t="shared" ref="B1840:C1840" si="2035">B1839</f>
        <v>SPS1</v>
      </c>
      <c r="C1840" s="5" t="str">
        <f t="shared" si="2035"/>
        <v>CH</v>
      </c>
      <c r="D1840" t="s">
        <v>1876</v>
      </c>
      <c r="E1840" t="str">
        <f t="shared" si="2015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0.11405948612141892</v>
      </c>
      <c r="G1840" s="1" cm="1">
        <f t="array" ref="G1840">SUMPRODUCT(([1]OUT_FinalEnergyCons!$B$4:$B$10000="var_cap")*1, (ISNUMBER(SEARCH("RH*-SHSOLBR",[1]OUT_FinalEnergyCons!$A$4:$A$10000)))*1,[1]OUT_FinalEnergyCons!E$4:E$10000)</f>
        <v>0.13719661318840276</v>
      </c>
      <c r="H1840" s="1" cm="1">
        <f t="array" ref="H1840">SUMPRODUCT(([1]OUT_FinalEnergyCons!$B$4:$B$10000="var_cap")*1, (ISNUMBER(SEARCH("RH*-SHSOLBR",[1]OUT_FinalEnergyCons!$A$4:$A$10000)))*1,[1]OUT_FinalEnergyCons!F$4:F$10000)</f>
        <v>0.13721924234467825</v>
      </c>
      <c r="I1840" s="1" cm="1">
        <f t="array" ref="I1840">SUMPRODUCT(([1]OUT_FinalEnergyCons!$B$4:$B$10000="var_cap")*1, (ISNUMBER(SEARCH("RH*-SHSOLBR",[1]OUT_FinalEnergyCons!$A$4:$A$10000)))*1,[1]OUT_FinalEnergyCons!G$4:G$10000)</f>
        <v>0.13734051537583175</v>
      </c>
      <c r="J1840" s="1" cm="1">
        <f t="array" ref="J1840">SUMPRODUCT(([1]OUT_FinalEnergyCons!$B$4:$B$10000="var_cap")*1, (ISNUMBER(SEARCH("RH*-SHSOLBR",[1]OUT_FinalEnergyCons!$A$4:$A$10000)))*1,[1]OUT_FinalEnergyCons!H$4:H$10000)</f>
        <v>0.13392603965352601</v>
      </c>
      <c r="K1840" s="1" cm="1">
        <f t="array" ref="K1840">SUMPRODUCT(([1]OUT_FinalEnergyCons!$B$4:$B$10000="var_cap")*1, (ISNUMBER(SEARCH("RH*-SHSOLBR",[1]OUT_FinalEnergyCons!$A$4:$A$10000)))*1,[1]OUT_FinalEnergyCons!I$4:I$10000)</f>
        <v>0.13031680400448442</v>
      </c>
      <c r="L1840" s="1" cm="1">
        <f t="array" ref="L1840">SUMPRODUCT(([1]OUT_FinalEnergyCons!$B$4:$B$10000="var_cap")*1, (ISNUMBER(SEARCH("RH*-SHSOLBR",[1]OUT_FinalEnergyCons!$A$4:$A$10000)))*1,[1]OUT_FinalEnergyCons!J$4:J$10000)</f>
        <v>0.13022160144989228</v>
      </c>
      <c r="M1840" s="1" cm="1">
        <f t="array" ref="M1840">SUMPRODUCT(([1]OUT_FinalEnergyCons!$B$4:$B$10000="var_cap")*1, (ISNUMBER(SEARCH("RH*-SHSOLBR",[1]OUT_FinalEnergyCons!$A$4:$A$10000)))*1,[1]OUT_FinalEnergyCons!K$4:K$10000)</f>
        <v>0.46912003618267717</v>
      </c>
      <c r="N1840" s="1" cm="1">
        <f t="array" ref="N1840">SUMPRODUCT(([1]OUT_FinalEnergyCons!$B$4:$B$10000="var_cap")*1, (ISNUMBER(SEARCH("RH*-SHSOLBR",[1]OUT_FinalEnergyCons!$A$4:$A$10000)))*1,[1]OUT_FinalEnergyCons!L$4:L$10000)</f>
        <v>0.47731456171648357</v>
      </c>
      <c r="O1840" s="1" cm="1">
        <f t="array" ref="O1840">SUMPRODUCT(([1]OUT_FinalEnergyCons!$B$4:$B$10000="var_cap")*1, (ISNUMBER(SEARCH("RH*-SHSOLBR",[1]OUT_FinalEnergyCons!$A$4:$A$10000)))*1,[1]OUT_FinalEnergyCons!M$4:M$10000)</f>
        <v>0.48914349356920639</v>
      </c>
      <c r="P1840" s="1" cm="1">
        <f t="array" ref="P1840">SUMPRODUCT(([1]OUT_FinalEnergyCons!$B$4:$B$10000="var_cap")*1, (ISNUMBER(SEARCH("RH*-SHSOLBR",[1]OUT_FinalEnergyCons!$A$4:$A$10000)))*1,[1]OUT_FinalEnergyCons!N$4:N$10000)</f>
        <v>0.48437788765602074</v>
      </c>
      <c r="Q1840" s="1" cm="1">
        <f t="array" ref="Q1840">SUMPRODUCT(([1]OUT_FinalEnergyCons!$B$4:$B$10000="var_cap")*1, (ISNUMBER(SEARCH("RH*-SHSOLBR",[1]OUT_FinalEnergyCons!$A$4:$A$10000)))*1,[1]OUT_FinalEnergyCons!O$4:O$10000)</f>
        <v>0.4814183927154741</v>
      </c>
      <c r="S1840" s="3"/>
    </row>
    <row r="1841" spans="2:19" x14ac:dyDescent="0.5">
      <c r="B1841" s="5" t="str">
        <f t="shared" ref="B1841:C1841" si="2036">B1840</f>
        <v>SPS1</v>
      </c>
      <c r="C1841" s="5" t="str">
        <f t="shared" si="2036"/>
        <v>CH</v>
      </c>
      <c r="D1841" t="s">
        <v>1877</v>
      </c>
      <c r="E1841" t="str">
        <f t="shared" si="2015"/>
        <v>GWth/yr.</v>
      </c>
      <c r="F1841" s="1">
        <f>F1842</f>
        <v>0</v>
      </c>
      <c r="G1841" s="1">
        <f t="shared" ref="G1841:O1841" si="2037">G1842</f>
        <v>0</v>
      </c>
      <c r="H1841" s="1">
        <f t="shared" si="2037"/>
        <v>0</v>
      </c>
      <c r="I1841" s="1">
        <f t="shared" si="2037"/>
        <v>0</v>
      </c>
      <c r="J1841" s="1">
        <f t="shared" si="2037"/>
        <v>0</v>
      </c>
      <c r="K1841" s="1">
        <f t="shared" si="2037"/>
        <v>0</v>
      </c>
      <c r="L1841" s="1">
        <f t="shared" si="2037"/>
        <v>0</v>
      </c>
      <c r="M1841" s="1">
        <f t="shared" si="2037"/>
        <v>0</v>
      </c>
      <c r="N1841" s="1">
        <f t="shared" si="2037"/>
        <v>0</v>
      </c>
      <c r="O1841" s="1">
        <f t="shared" si="2037"/>
        <v>0</v>
      </c>
      <c r="P1841" s="1">
        <f>P1842</f>
        <v>0</v>
      </c>
      <c r="Q1841" s="1">
        <f>Q1842</f>
        <v>0</v>
      </c>
      <c r="S1841" s="3"/>
    </row>
    <row r="1842" spans="2:19" x14ac:dyDescent="0.5">
      <c r="B1842" s="5" t="str">
        <f t="shared" ref="B1842:C1842" si="2038">B1841</f>
        <v>SPS1</v>
      </c>
      <c r="C1842" s="5" t="str">
        <f t="shared" si="2038"/>
        <v>CH</v>
      </c>
      <c r="D1842" t="s">
        <v>1878</v>
      </c>
      <c r="E1842" t="str">
        <f t="shared" si="2015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SUMPRODUCT(([1]OUT_FinalEnergyCons!$B$4:$B$10000="var_cap")*1, (ISNUMBER(SEARCH("RH*-SHH2BR",[1]OUT_FinalEnergyCons!$A$4:$A$10000)))*1,[1]OUT_FinalEnergyCons!H$4:H$10000)</f>
        <v>0</v>
      </c>
      <c r="K1842" s="1" cm="1">
        <f t="array" ref="K1842">SUMPRODUCT(([1]OUT_FinalEnergyCons!$B$4:$B$10000="var_cap")*1, (ISNUMBER(SEARCH("RH*-SHH2BR",[1]OUT_FinalEnergyCons!$A$4:$A$10000)))*1,[1]OUT_FinalEnergyCons!I$4:I$10000)</f>
        <v>0</v>
      </c>
      <c r="L1842" s="1" cm="1">
        <f t="array" ref="L1842">SUMPRODUCT(([1]OUT_FinalEnergyCons!$B$4:$B$10000="var_cap")*1, (ISNUMBER(SEARCH("RH*-SHH2BR",[1]OUT_FinalEnergyCons!$A$4:$A$10000)))*1,[1]OUT_FinalEnergyCons!J$4:J$10000)</f>
        <v>0</v>
      </c>
      <c r="M1842" s="1" cm="1">
        <f t="array" ref="M1842">SUMPRODUCT(([1]OUT_FinalEnergyCons!$B$4:$B$10000="var_cap")*1, (ISNUMBER(SEARCH("RH*-SHH2BR",[1]OUT_FinalEnergyCons!$A$4:$A$10000)))*1,[1]OUT_FinalEnergyCons!K$4:K$10000)</f>
        <v>0</v>
      </c>
      <c r="N1842" s="1" cm="1">
        <f t="array" ref="N1842">SUMPRODUCT(([1]OUT_FinalEnergyCons!$B$4:$B$10000="var_cap")*1, (ISNUMBER(SEARCH("RH*-SHH2BR",[1]OUT_FinalEnergyCons!$A$4:$A$10000)))*1,[1]OUT_FinalEnergyCons!L$4:L$10000)</f>
        <v>0</v>
      </c>
      <c r="O1842" s="1" cm="1">
        <f t="array" ref="O1842">SUMPRODUCT(([1]OUT_FinalEnergyCons!$B$4:$B$10000="var_cap")*1, (ISNUMBER(SEARCH("RH*-SHH2BR",[1]OUT_FinalEnergyCons!$A$4:$A$10000)))*1,[1]OUT_FinalEnergyCons!M$4:M$10000)</f>
        <v>0</v>
      </c>
      <c r="P1842" s="1" cm="1">
        <f t="array" ref="P1842">SUMPRODUCT(([1]OUT_FinalEnergyCons!$B$4:$B$10000="var_cap")*1, (ISNUMBER(SEARCH("RH*-SHH2BR",[1]OUT_FinalEnergyCons!$A$4:$A$10000)))*1,[1]OUT_FinalEnergyCons!N$4:N$10000)</f>
        <v>0</v>
      </c>
      <c r="Q1842" s="1" cm="1">
        <f t="array" ref="Q1842">SUMPRODUCT(([1]OUT_FinalEnergyCons!$B$4:$B$10000="var_cap")*1, (ISNUMBER(SEARCH("RH*-SHH2BR",[1]OUT_FinalEnergyCons!$A$4:$A$10000)))*1,[1]OUT_FinalEnergyCons!O$4:O$10000)</f>
        <v>0</v>
      </c>
      <c r="S1842" s="3"/>
    </row>
    <row r="1843" spans="2:19" x14ac:dyDescent="0.5">
      <c r="B1843" s="5" t="str">
        <f t="shared" ref="B1843:C1843" si="2039">B1842</f>
        <v>SPS1</v>
      </c>
      <c r="C1843" s="5" t="str">
        <f t="shared" si="2039"/>
        <v>CH</v>
      </c>
      <c r="D1843" t="s">
        <v>1879</v>
      </c>
      <c r="E1843" t="str">
        <f t="shared" si="2015"/>
        <v>GWth/yr.</v>
      </c>
      <c r="F1843" s="1">
        <f>SUM(F1844,F1847,F1849,F1852,F1854,F1856,F1858,F1860)</f>
        <v>1.8609826437819146</v>
      </c>
      <c r="G1843" s="1">
        <f t="shared" ref="G1843" si="2040">SUM(G1844,G1847,G1849,G1852,G1854,G1856,G1858,G1860)</f>
        <v>2.0186151063025886</v>
      </c>
      <c r="H1843" s="1">
        <f t="shared" ref="H1843" si="2041">SUM(H1844,H1847,H1849,H1852,H1854,H1856,H1858,H1860)</f>
        <v>1.9114824085962718</v>
      </c>
      <c r="I1843" s="1">
        <f t="shared" ref="I1843" si="2042">SUM(I1844,I1847,I1849,I1852,I1854,I1856,I1858,I1860)</f>
        <v>2.1746688842074575</v>
      </c>
      <c r="J1843" s="1">
        <f t="shared" ref="J1843" si="2043">SUM(J1844,J1847,J1849,J1852,J1854,J1856,J1858,J1860)</f>
        <v>1.8746089020085959</v>
      </c>
      <c r="K1843" s="1">
        <f t="shared" ref="K1843" si="2044">SUM(K1844,K1847,K1849,K1852,K1854,K1856,K1858,K1860)</f>
        <v>1.7570200703338514</v>
      </c>
      <c r="L1843" s="1">
        <f t="shared" ref="L1843:O1843" si="2045">SUM(L1844,L1847,L1849,L1852,L1854,L1856,L1858,L1860)</f>
        <v>1.8308464805812832</v>
      </c>
      <c r="M1843" s="1">
        <f t="shared" si="2045"/>
        <v>2.1525113772755904</v>
      </c>
      <c r="N1843" s="1">
        <f t="shared" si="2045"/>
        <v>2.1527131174786622</v>
      </c>
      <c r="O1843" s="1">
        <f t="shared" si="2045"/>
        <v>2.1507827344925876</v>
      </c>
      <c r="P1843" s="1">
        <f>SUM(P1844,P1847,P1849,P1852,P1854,P1856,P1858,P1860)</f>
        <v>1.9611673916755401</v>
      </c>
      <c r="Q1843" s="1">
        <f>SUM(Q1844,Q1847,Q1849,Q1852,Q1854,Q1856,Q1858,Q1860)</f>
        <v>1.8859335548076379</v>
      </c>
      <c r="S1843" s="3"/>
    </row>
    <row r="1844" spans="2:19" x14ac:dyDescent="0.5">
      <c r="B1844" s="5" t="str">
        <f t="shared" ref="B1844:C1844" si="2046">B1843</f>
        <v>SPS1</v>
      </c>
      <c r="C1844" s="5" t="str">
        <f t="shared" si="2046"/>
        <v>CH</v>
      </c>
      <c r="D1844" t="s">
        <v>1880</v>
      </c>
      <c r="E1844" t="str">
        <f t="shared" si="2015"/>
        <v>GWth/yr.</v>
      </c>
      <c r="F1844" s="1">
        <f>SUM(F1845:F1846)</f>
        <v>0.65092453525977012</v>
      </c>
      <c r="G1844" s="1">
        <f t="shared" ref="G1844" si="2047">SUM(G1845:G1846)</f>
        <v>0.71893964156789447</v>
      </c>
      <c r="H1844" s="1">
        <f t="shared" ref="H1844" si="2048">SUM(H1845:H1846)</f>
        <v>0.81253288439319449</v>
      </c>
      <c r="I1844" s="1">
        <f t="shared" ref="I1844" si="2049">SUM(I1845:I1846)</f>
        <v>0.97821532027624014</v>
      </c>
      <c r="J1844" s="1">
        <f t="shared" ref="J1844" si="2050">SUM(J1845:J1846)</f>
        <v>0.9578858046231441</v>
      </c>
      <c r="K1844" s="1">
        <f t="shared" ref="K1844" si="2051">SUM(K1845:K1846)</f>
        <v>0.9059144655598026</v>
      </c>
      <c r="L1844" s="1">
        <f t="shared" ref="L1844:O1844" si="2052">SUM(L1845:L1846)</f>
        <v>1.1449983413429918</v>
      </c>
      <c r="M1844" s="1">
        <f t="shared" si="2052"/>
        <v>1.232109287564479</v>
      </c>
      <c r="N1844" s="1">
        <f t="shared" si="2052"/>
        <v>1.3715168785536722</v>
      </c>
      <c r="O1844" s="1">
        <f t="shared" si="2052"/>
        <v>1.3833258107186304</v>
      </c>
      <c r="P1844" s="1">
        <f>SUM(P1845:P1846)</f>
        <v>1.33436835983246</v>
      </c>
      <c r="Q1844" s="1">
        <f>SUM(Q1845:Q1846)</f>
        <v>1.387980277709755</v>
      </c>
      <c r="S1844" s="3"/>
    </row>
    <row r="1845" spans="2:19" x14ac:dyDescent="0.5">
      <c r="B1845" s="5" t="str">
        <f t="shared" ref="B1845:C1845" si="2053">B1844</f>
        <v>SPS1</v>
      </c>
      <c r="C1845" s="5" t="str">
        <f t="shared" si="2053"/>
        <v>CH</v>
      </c>
      <c r="D1845" t="s">
        <v>1881</v>
      </c>
      <c r="E1845" t="str">
        <f t="shared" si="2015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0.43757015606004779</v>
      </c>
      <c r="G1845" s="1" cm="1">
        <f t="array" ref="G1845">SUMPRODUCT(([1]OUT_FinalEnergyCons!$B$4:$B$10000="var_cap")*1,(ISNUMBER(SEARCH("RH*-WHELCBR",[1]OUT_FinalEnergyCons!$A$4:$A$10000)))*1,[1]OUT_FinalEnergyCons!E$4:E$10000)</f>
        <v>0.47281581476820866</v>
      </c>
      <c r="H1845" s="1" cm="1">
        <f t="array" ref="H1845">SUMPRODUCT(([1]OUT_FinalEnergyCons!$B$4:$B$10000="var_cap")*1,(ISNUMBER(SEARCH("RH*-WHELCBR",[1]OUT_FinalEnergyCons!$A$4:$A$10000)))*1,[1]OUT_FinalEnergyCons!F$4:F$10000)</f>
        <v>0.47281562757279078</v>
      </c>
      <c r="I1845" s="1" cm="1">
        <f t="array" ref="I1845">SUMPRODUCT(([1]OUT_FinalEnergyCons!$B$4:$B$10000="var_cap")*1,(ISNUMBER(SEARCH("RH*-WHELCBR",[1]OUT_FinalEnergyCons!$A$4:$A$10000)))*1,[1]OUT_FinalEnergyCons!G$4:G$10000)</f>
        <v>0.47281456864252591</v>
      </c>
      <c r="J1845" s="1" cm="1">
        <f t="array" ref="J1845">SUMPRODUCT(([1]OUT_FinalEnergyCons!$B$4:$B$10000="var_cap")*1,(ISNUMBER(SEARCH("RH*-WHELCBR",[1]OUT_FinalEnergyCons!$A$4:$A$10000)))*1,[1]OUT_FinalEnergyCons!H$4:H$10000)</f>
        <v>0.1709342388120253</v>
      </c>
      <c r="K1845" s="1" cm="1">
        <f t="array" ref="K1845">SUMPRODUCT(([1]OUT_FinalEnergyCons!$B$4:$B$10000="var_cap")*1,(ISNUMBER(SEARCH("RH*-WHELCBR",[1]OUT_FinalEnergyCons!$A$4:$A$10000)))*1,[1]OUT_FinalEnergyCons!I$4:I$10000)</f>
        <v>0.11011598806686569</v>
      </c>
      <c r="L1845" s="1" cm="1">
        <f t="array" ref="L1845">SUMPRODUCT(([1]OUT_FinalEnergyCons!$B$4:$B$10000="var_cap")*1,(ISNUMBER(SEARCH("RH*-WHELCBR",[1]OUT_FinalEnergyCons!$A$4:$A$10000)))*1,[1]OUT_FinalEnergyCons!J$4:J$10000)</f>
        <v>0.11011507179757804</v>
      </c>
      <c r="M1845" s="1" cm="1">
        <f t="array" ref="M1845">SUMPRODUCT(([1]OUT_FinalEnergyCons!$B$4:$B$10000="var_cap")*1,(ISNUMBER(SEARCH("RH*-WHELCBR",[1]OUT_FinalEnergyCons!$A$4:$A$10000)))*1,[1]OUT_FinalEnergyCons!K$4:K$10000)</f>
        <v>0.14330320681434147</v>
      </c>
      <c r="N1845" s="1" cm="1">
        <f t="array" ref="N1845">SUMPRODUCT(([1]OUT_FinalEnergyCons!$B$4:$B$10000="var_cap")*1,(ISNUMBER(SEARCH("RH*-WHELCBR",[1]OUT_FinalEnergyCons!$A$4:$A$10000)))*1,[1]OUT_FinalEnergyCons!L$4:L$10000)</f>
        <v>0.1286220008729268</v>
      </c>
      <c r="O1845" s="1" cm="1">
        <f t="array" ref="O1845">SUMPRODUCT(([1]OUT_FinalEnergyCons!$B$4:$B$10000="var_cap")*1,(ISNUMBER(SEARCH("RH*-WHELCBR",[1]OUT_FinalEnergyCons!$A$4:$A$10000)))*1,[1]OUT_FinalEnergyCons!M$4:M$10000)</f>
        <v>0.11775760197286488</v>
      </c>
      <c r="P1845" s="1" cm="1">
        <f t="array" ref="P1845">SUMPRODUCT(([1]OUT_FinalEnergyCons!$B$4:$B$10000="var_cap")*1,(ISNUMBER(SEARCH("RH*-WHELCBR",[1]OUT_FinalEnergyCons!$A$4:$A$10000)))*1,[1]OUT_FinalEnergyCons!N$4:N$10000)</f>
        <v>0.14439066012103988</v>
      </c>
      <c r="Q1845" s="1" cm="1">
        <f t="array" ref="Q1845">SUMPRODUCT(([1]OUT_FinalEnergyCons!$B$4:$B$10000="var_cap")*1,(ISNUMBER(SEARCH("RH*-WHELCBR",[1]OUT_FinalEnergyCons!$A$4:$A$10000)))*1,[1]OUT_FinalEnergyCons!O$4:O$10000)</f>
        <v>0.10068388097472289</v>
      </c>
      <c r="S1845" s="3"/>
    </row>
    <row r="1846" spans="2:19" x14ac:dyDescent="0.5">
      <c r="B1846" s="5" t="str">
        <f t="shared" ref="B1846:C1846" si="2054">B1845</f>
        <v>SPS1</v>
      </c>
      <c r="C1846" s="5" t="str">
        <f t="shared" si="2054"/>
        <v>CH</v>
      </c>
      <c r="D1846" t="s">
        <v>1882</v>
      </c>
      <c r="E1846" t="str">
        <f t="shared" si="2015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0.21335437919972239</v>
      </c>
      <c r="G1846" s="1" cm="1">
        <f t="array" ref="G1846">SUMPRODUCT(([1]OUT_FinalEnergyCons!$B$4:$B$10000="var_cap")*1,ISNUMBER(SEARCH("RH*-WHELCHP",[1]OUT_FinalEnergyCons!$A$4:$A$10000))*1,[1]OUT_FinalEnergyCons!E$4:E$10000)</f>
        <v>0.24612382679968584</v>
      </c>
      <c r="H1846" s="1" cm="1">
        <f t="array" ref="H1846">SUMPRODUCT(([1]OUT_FinalEnergyCons!$B$4:$B$10000="var_cap")*1,ISNUMBER(SEARCH("RH*-WHELCHP",[1]OUT_FinalEnergyCons!$A$4:$A$10000))*1,[1]OUT_FinalEnergyCons!F$4:F$10000)</f>
        <v>0.33971725682040371</v>
      </c>
      <c r="I1846" s="1" cm="1">
        <f t="array" ref="I1846">SUMPRODUCT(([1]OUT_FinalEnergyCons!$B$4:$B$10000="var_cap")*1,ISNUMBER(SEARCH("RH*-WHELCHP",[1]OUT_FinalEnergyCons!$A$4:$A$10000))*1,[1]OUT_FinalEnergyCons!G$4:G$10000)</f>
        <v>0.50540075163371423</v>
      </c>
      <c r="J1846" s="1" cm="1">
        <f t="array" ref="J1846">SUMPRODUCT(([1]OUT_FinalEnergyCons!$B$4:$B$10000="var_cap")*1,ISNUMBER(SEARCH("RH*-WHELCHP",[1]OUT_FinalEnergyCons!$A$4:$A$10000))*1,[1]OUT_FinalEnergyCons!H$4:H$10000)</f>
        <v>0.7869515658111188</v>
      </c>
      <c r="K1846" s="1" cm="1">
        <f t="array" ref="K1846">SUMPRODUCT(([1]OUT_FinalEnergyCons!$B$4:$B$10000="var_cap")*1,ISNUMBER(SEARCH("RH*-WHELCHP",[1]OUT_FinalEnergyCons!$A$4:$A$10000))*1,[1]OUT_FinalEnergyCons!I$4:I$10000)</f>
        <v>0.79579847749293686</v>
      </c>
      <c r="L1846" s="1" cm="1">
        <f t="array" ref="L1846">SUMPRODUCT(([1]OUT_FinalEnergyCons!$B$4:$B$10000="var_cap")*1,ISNUMBER(SEARCH("RH*-WHELCHP",[1]OUT_FinalEnergyCons!$A$4:$A$10000))*1,[1]OUT_FinalEnergyCons!J$4:J$10000)</f>
        <v>1.0348832695454138</v>
      </c>
      <c r="M1846" s="1" cm="1">
        <f t="array" ref="M1846">SUMPRODUCT(([1]OUT_FinalEnergyCons!$B$4:$B$10000="var_cap")*1,ISNUMBER(SEARCH("RH*-WHELCHP",[1]OUT_FinalEnergyCons!$A$4:$A$10000))*1,[1]OUT_FinalEnergyCons!K$4:K$10000)</f>
        <v>1.0888060807501376</v>
      </c>
      <c r="N1846" s="1" cm="1">
        <f t="array" ref="N1846">SUMPRODUCT(([1]OUT_FinalEnergyCons!$B$4:$B$10000="var_cap")*1,ISNUMBER(SEARCH("RH*-WHELCHP",[1]OUT_FinalEnergyCons!$A$4:$A$10000))*1,[1]OUT_FinalEnergyCons!L$4:L$10000)</f>
        <v>1.2428948776807454</v>
      </c>
      <c r="O1846" s="1" cm="1">
        <f t="array" ref="O1846">SUMPRODUCT(([1]OUT_FinalEnergyCons!$B$4:$B$10000="var_cap")*1,ISNUMBER(SEARCH("RH*-WHELCHP",[1]OUT_FinalEnergyCons!$A$4:$A$10000))*1,[1]OUT_FinalEnergyCons!M$4:M$10000)</f>
        <v>1.2655682087457656</v>
      </c>
      <c r="P1846" s="1" cm="1">
        <f t="array" ref="P1846">SUMPRODUCT(([1]OUT_FinalEnergyCons!$B$4:$B$10000="var_cap")*1,ISNUMBER(SEARCH("RH*-WHELCHP",[1]OUT_FinalEnergyCons!$A$4:$A$10000))*1,[1]OUT_FinalEnergyCons!N$4:N$10000)</f>
        <v>1.1899776997114202</v>
      </c>
      <c r="Q1846" s="1" cm="1">
        <f t="array" ref="Q1846">SUMPRODUCT(([1]OUT_FinalEnergyCons!$B$4:$B$10000="var_cap")*1,ISNUMBER(SEARCH("RH*-WHELCHP",[1]OUT_FinalEnergyCons!$A$4:$A$10000))*1,[1]OUT_FinalEnergyCons!O$4:O$10000)</f>
        <v>1.2872963967350322</v>
      </c>
      <c r="S1846" s="3"/>
    </row>
    <row r="1847" spans="2:19" x14ac:dyDescent="0.5">
      <c r="B1847" s="5" t="str">
        <f t="shared" ref="B1847:C1847" si="2055">B1846</f>
        <v>SPS1</v>
      </c>
      <c r="C1847" s="5" t="str">
        <f t="shared" si="2055"/>
        <v>CH</v>
      </c>
      <c r="D1847" t="s">
        <v>1883</v>
      </c>
      <c r="E1847" t="str">
        <f t="shared" si="2015"/>
        <v>GWth/yr.</v>
      </c>
      <c r="F1847" s="1">
        <f>F1848</f>
        <v>0.47738433216181703</v>
      </c>
      <c r="G1847" s="1">
        <f t="shared" ref="G1847" si="2056">G1848</f>
        <v>0.47738321377879889</v>
      </c>
      <c r="H1847" s="1">
        <f t="shared" ref="H1847" si="2057">H1848</f>
        <v>0.27660300429867224</v>
      </c>
      <c r="I1847" s="1">
        <f t="shared" ref="I1847" si="2058">I1848</f>
        <v>0.13959476926802833</v>
      </c>
      <c r="J1847" s="1">
        <f t="shared" ref="J1847" si="2059">J1848</f>
        <v>3.6212098742148979E-2</v>
      </c>
      <c r="K1847" s="1">
        <f t="shared" ref="K1847:O1847" si="2060">K1848</f>
        <v>3.1697407043028195E-5</v>
      </c>
      <c r="L1847" s="1">
        <f t="shared" si="2060"/>
        <v>3.1416105767135419E-5</v>
      </c>
      <c r="M1847" s="1">
        <f t="shared" si="2060"/>
        <v>2.0863464682655741E-5</v>
      </c>
      <c r="N1847" s="1">
        <f t="shared" si="2060"/>
        <v>1.2184863678698664E-5</v>
      </c>
      <c r="O1847" s="1">
        <f t="shared" si="2060"/>
        <v>2.1743195773693309E-5</v>
      </c>
      <c r="P1847" s="1">
        <f>P1848</f>
        <v>1.9178197607888862E-5</v>
      </c>
      <c r="Q1847" s="1">
        <f>Q1848</f>
        <v>4.5889045514063107E-5</v>
      </c>
      <c r="S1847" s="3"/>
    </row>
    <row r="1848" spans="2:19" x14ac:dyDescent="0.5">
      <c r="B1848" s="5" t="str">
        <f t="shared" ref="B1848:C1848" si="2061">B1847</f>
        <v>SPS1</v>
      </c>
      <c r="C1848" s="5" t="str">
        <f t="shared" si="2061"/>
        <v>CH</v>
      </c>
      <c r="D1848" t="s">
        <v>1884</v>
      </c>
      <c r="E1848" t="str">
        <f t="shared" si="2015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0.47738321377879889</v>
      </c>
      <c r="H1848" s="1" cm="1">
        <f t="array" ref="H1848">SUMPRODUCT(([1]OUT_FinalEnergyCons!$B$4:$B$10000="var_cap")*1, (ISNUMBER(SEARCH("RH*-WHLFOBR",[1]OUT_FinalEnergyCons!$A$4:$A$10000)))*1,[1]OUT_FinalEnergyCons!F$4:F$10000)</f>
        <v>0.27660300429867224</v>
      </c>
      <c r="I1848" s="1" cm="1">
        <f t="array" ref="I1848">SUMPRODUCT(([1]OUT_FinalEnergyCons!$B$4:$B$10000="var_cap")*1, (ISNUMBER(SEARCH("RH*-WHLFOBR",[1]OUT_FinalEnergyCons!$A$4:$A$10000)))*1,[1]OUT_FinalEnergyCons!G$4:G$10000)</f>
        <v>0.13959476926802833</v>
      </c>
      <c r="J1848" s="1" cm="1">
        <f t="array" ref="J1848">SUMPRODUCT(([1]OUT_FinalEnergyCons!$B$4:$B$10000="var_cap")*1, (ISNUMBER(SEARCH("RH*-WHLFOBR",[1]OUT_FinalEnergyCons!$A$4:$A$10000)))*1,[1]OUT_FinalEnergyCons!H$4:H$10000)</f>
        <v>3.6212098742148979E-2</v>
      </c>
      <c r="K1848" s="1" cm="1">
        <f t="array" ref="K1848">SUMPRODUCT(([1]OUT_FinalEnergyCons!$B$4:$B$10000="var_cap")*1, (ISNUMBER(SEARCH("RH*-WHLFOBR",[1]OUT_FinalEnergyCons!$A$4:$A$10000)))*1,[1]OUT_FinalEnergyCons!I$4:I$10000)</f>
        <v>3.1697407043028195E-5</v>
      </c>
      <c r="L1848" s="1" cm="1">
        <f t="array" ref="L1848">SUMPRODUCT(([1]OUT_FinalEnergyCons!$B$4:$B$10000="var_cap")*1, (ISNUMBER(SEARCH("RH*-WHLFOBR",[1]OUT_FinalEnergyCons!$A$4:$A$10000)))*1,[1]OUT_FinalEnergyCons!J$4:J$10000)</f>
        <v>3.1416105767135419E-5</v>
      </c>
      <c r="M1848" s="1" cm="1">
        <f t="array" ref="M1848">SUMPRODUCT(([1]OUT_FinalEnergyCons!$B$4:$B$10000="var_cap")*1, (ISNUMBER(SEARCH("RH*-WHLFOBR",[1]OUT_FinalEnergyCons!$A$4:$A$10000)))*1,[1]OUT_FinalEnergyCons!K$4:K$10000)</f>
        <v>2.0863464682655741E-5</v>
      </c>
      <c r="N1848" s="1" cm="1">
        <f t="array" ref="N1848">SUMPRODUCT(([1]OUT_FinalEnergyCons!$B$4:$B$10000="var_cap")*1, (ISNUMBER(SEARCH("RH*-WHLFOBR",[1]OUT_FinalEnergyCons!$A$4:$A$10000)))*1,[1]OUT_FinalEnergyCons!L$4:L$10000)</f>
        <v>1.2184863678698664E-5</v>
      </c>
      <c r="O1848" s="1" cm="1">
        <f t="array" ref="O1848">SUMPRODUCT(([1]OUT_FinalEnergyCons!$B$4:$B$10000="var_cap")*1, (ISNUMBER(SEARCH("RH*-WHLFOBR",[1]OUT_FinalEnergyCons!$A$4:$A$10000)))*1,[1]OUT_FinalEnergyCons!M$4:M$10000)</f>
        <v>2.1743195773693309E-5</v>
      </c>
      <c r="P1848" s="1" cm="1">
        <f t="array" ref="P1848">SUMPRODUCT(([1]OUT_FinalEnergyCons!$B$4:$B$10000="var_cap")*1, (ISNUMBER(SEARCH("RH*-WHLFOBR",[1]OUT_FinalEnergyCons!$A$4:$A$10000)))*1,[1]OUT_FinalEnergyCons!N$4:N$10000)</f>
        <v>1.9178197607888862E-5</v>
      </c>
      <c r="Q1848" s="1" cm="1">
        <f t="array" ref="Q1848">SUMPRODUCT(([1]OUT_FinalEnergyCons!$B$4:$B$10000="var_cap")*1, (ISNUMBER(SEARCH("RH*-WHLFOBR",[1]OUT_FinalEnergyCons!$A$4:$A$10000)))*1,[1]OUT_FinalEnergyCons!O$4:O$10000)</f>
        <v>4.5889045514063107E-5</v>
      </c>
      <c r="S1848" s="3"/>
    </row>
    <row r="1849" spans="2:19" x14ac:dyDescent="0.5">
      <c r="B1849" s="5" t="str">
        <f t="shared" ref="B1849:C1849" si="2062">B1848</f>
        <v>SPS1</v>
      </c>
      <c r="C1849" s="5" t="str">
        <f t="shared" si="2062"/>
        <v>CH</v>
      </c>
      <c r="D1849" t="s">
        <v>1885</v>
      </c>
      <c r="E1849" t="str">
        <f t="shared" si="2015"/>
        <v>GWth/yr.</v>
      </c>
      <c r="F1849" s="1">
        <f>SUM(F1850:F1851)</f>
        <v>0.43610075806793741</v>
      </c>
      <c r="G1849" s="1">
        <f t="shared" ref="G1849" si="2063">SUM(G1850:G1851)</f>
        <v>0.43610097344405352</v>
      </c>
      <c r="H1849" s="1">
        <f t="shared" ref="H1849" si="2064">SUM(H1850:H1851)</f>
        <v>0.43616193373098611</v>
      </c>
      <c r="I1849" s="1">
        <f t="shared" ref="I1849" si="2065">SUM(I1850:I1851)</f>
        <v>0.67067832561727292</v>
      </c>
      <c r="J1849" s="1">
        <f t="shared" ref="J1849" si="2066">SUM(J1850:J1851)</f>
        <v>0.63237668020008608</v>
      </c>
      <c r="K1849" s="1">
        <f t="shared" ref="K1849" si="2067">SUM(K1850:K1851)</f>
        <v>0.67201016586029494</v>
      </c>
      <c r="L1849" s="1">
        <f t="shared" ref="L1849:O1849" si="2068">SUM(L1850:L1851)</f>
        <v>0.50653316704712381</v>
      </c>
      <c r="M1849" s="1">
        <f t="shared" si="2068"/>
        <v>0.22183102977235136</v>
      </c>
      <c r="N1849" s="1">
        <f t="shared" si="2068"/>
        <v>0.10983771820045066</v>
      </c>
      <c r="O1849" s="1">
        <f t="shared" si="2068"/>
        <v>9.4369372487238673E-2</v>
      </c>
      <c r="P1849" s="1">
        <f>SUM(P1850:P1851)</f>
        <v>9.4060889205027323E-2</v>
      </c>
      <c r="Q1849" s="1">
        <f>SUM(Q1850:Q1851)</f>
        <v>8.6542924418184855E-2</v>
      </c>
      <c r="S1849" s="3"/>
    </row>
    <row r="1850" spans="2:19" x14ac:dyDescent="0.5">
      <c r="B1850" s="5" t="str">
        <f t="shared" ref="B1850:C1850" si="2069">B1849</f>
        <v>SPS1</v>
      </c>
      <c r="C1850" s="5" t="str">
        <f t="shared" si="2069"/>
        <v>CH</v>
      </c>
      <c r="D1850" t="s">
        <v>1886</v>
      </c>
      <c r="E1850" t="str">
        <f t="shared" si="2015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0.43610082760314411</v>
      </c>
      <c r="H1850" s="1" cm="1">
        <f t="array" ref="H1850">SUMPRODUCT(([1]OUT_FinalEnergyCons!$B$4:$B$10000="var_cap")*1, (ISNUMBER(SEARCH("RH*-WHNGABR",[1]OUT_FinalEnergyCons!$A$4:$A$10000)))*1,[1]OUT_FinalEnergyCons!F$4:F$10000)</f>
        <v>0.43610102631074427</v>
      </c>
      <c r="I1850" s="1" cm="1">
        <f t="array" ref="I1850">SUMPRODUCT(([1]OUT_FinalEnergyCons!$B$4:$B$10000="var_cap")*1, (ISNUMBER(SEARCH("RH*-WHNGABR",[1]OUT_FinalEnergyCons!$A$4:$A$10000)))*1,[1]OUT_FinalEnergyCons!G$4:G$10000)</f>
        <v>0.67061489541128982</v>
      </c>
      <c r="J1850" s="1" cm="1">
        <f t="array" ref="J1850">SUMPRODUCT(([1]OUT_FinalEnergyCons!$B$4:$B$10000="var_cap")*1, (ISNUMBER(SEARCH("RH*-WHNGABR",[1]OUT_FinalEnergyCons!$A$4:$A$10000)))*1,[1]OUT_FinalEnergyCons!H$4:H$10000)</f>
        <v>0.53522761167405897</v>
      </c>
      <c r="K1850" s="1" cm="1">
        <f t="array" ref="K1850">SUMPRODUCT(([1]OUT_FinalEnergyCons!$B$4:$B$10000="var_cap")*1, (ISNUMBER(SEARCH("RH*-WHNGABR",[1]OUT_FinalEnergyCons!$A$4:$A$10000)))*1,[1]OUT_FinalEnergyCons!I$4:I$10000)</f>
        <v>0.45216226813929622</v>
      </c>
      <c r="L1850" s="1" cm="1">
        <f t="array" ref="L1850">SUMPRODUCT(([1]OUT_FinalEnergyCons!$B$4:$B$10000="var_cap")*1, (ISNUMBER(SEARCH("RH*-WHNGABR",[1]OUT_FinalEnergyCons!$A$4:$A$10000)))*1,[1]OUT_FinalEnergyCons!J$4:J$10000)</f>
        <v>0.26226330085637733</v>
      </c>
      <c r="M1850" s="1" cm="1">
        <f t="array" ref="M1850">SUMPRODUCT(([1]OUT_FinalEnergyCons!$B$4:$B$10000="var_cap")*1, (ISNUMBER(SEARCH("RH*-WHNGABR",[1]OUT_FinalEnergyCons!$A$4:$A$10000)))*1,[1]OUT_FinalEnergyCons!K$4:K$10000)</f>
        <v>7.4646105974849719E-2</v>
      </c>
      <c r="N1850" s="1" cm="1">
        <f t="array" ref="N1850">SUMPRODUCT(([1]OUT_FinalEnergyCons!$B$4:$B$10000="var_cap")*1, (ISNUMBER(SEARCH("RH*-WHNGABR",[1]OUT_FinalEnergyCons!$A$4:$A$10000)))*1,[1]OUT_FinalEnergyCons!L$4:L$10000)</f>
        <v>3.5919745226130222E-2</v>
      </c>
      <c r="O1850" s="1" cm="1">
        <f t="array" ref="O1850">SUMPRODUCT(([1]OUT_FinalEnergyCons!$B$4:$B$10000="var_cap")*1, (ISNUMBER(SEARCH("RH*-WHNGABR",[1]OUT_FinalEnergyCons!$A$4:$A$10000)))*1,[1]OUT_FinalEnergyCons!M$4:M$10000)</f>
        <v>2.8416053734935869E-2</v>
      </c>
      <c r="P1850" s="1" cm="1">
        <f t="array" ref="P1850">SUMPRODUCT(([1]OUT_FinalEnergyCons!$B$4:$B$10000="var_cap")*1, (ISNUMBER(SEARCH("RH*-WHNGABR",[1]OUT_FinalEnergyCons!$A$4:$A$10000)))*1,[1]OUT_FinalEnergyCons!N$4:N$10000)</f>
        <v>2.8110405865131274E-2</v>
      </c>
      <c r="Q1850" s="1" cm="1">
        <f t="array" ref="Q1850">SUMPRODUCT(([1]OUT_FinalEnergyCons!$B$4:$B$10000="var_cap")*1, (ISNUMBER(SEARCH("RH*-WHNGABR",[1]OUT_FinalEnergyCons!$A$4:$A$10000)))*1,[1]OUT_FinalEnergyCons!O$4:O$10000)</f>
        <v>2.0584755689096124E-2</v>
      </c>
      <c r="S1850" s="3"/>
    </row>
    <row r="1851" spans="2:19" x14ac:dyDescent="0.5">
      <c r="B1851" s="5" t="str">
        <f t="shared" ref="B1851:C1851" si="2070">B1850</f>
        <v>SPS1</v>
      </c>
      <c r="C1851" s="5" t="str">
        <f t="shared" si="2070"/>
        <v>CH</v>
      </c>
      <c r="D1851" t="s">
        <v>1887</v>
      </c>
      <c r="E1851" t="str">
        <f t="shared" si="2015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1.4584090941417646E-7</v>
      </c>
      <c r="H1851" s="1" cm="1">
        <f t="array" ref="H1851">SUMPRODUCT(([1]OUT_FinalEnergyCons!$B$4:$B$10000="var_cap")*1,ISNUMBER(SEARCH("RH*-WHngahp",[1]OUT_FinalEnergyCons!$A$4:$A$10000))*1,[1]OUT_FinalEnergyCons!F$4:F$10000)</f>
        <v>6.0907420241866457E-5</v>
      </c>
      <c r="I1851" s="1" cm="1">
        <f t="array" ref="I1851">SUMPRODUCT(([1]OUT_FinalEnergyCons!$B$4:$B$10000="var_cap")*1,ISNUMBER(SEARCH("RH*-WHngahp",[1]OUT_FinalEnergyCons!$A$4:$A$10000))*1,[1]OUT_FinalEnergyCons!G$4:G$10000)</f>
        <v>6.3430205983089778E-5</v>
      </c>
      <c r="J1851" s="1" cm="1">
        <f t="array" ref="J1851">SUMPRODUCT(([1]OUT_FinalEnergyCons!$B$4:$B$10000="var_cap")*1,ISNUMBER(SEARCH("RH*-WHngahp",[1]OUT_FinalEnergyCons!$A$4:$A$10000))*1,[1]OUT_FinalEnergyCons!H$4:H$10000)</f>
        <v>9.7149068526027088E-2</v>
      </c>
      <c r="K1851" s="1" cm="1">
        <f t="array" ref="K1851">SUMPRODUCT(([1]OUT_FinalEnergyCons!$B$4:$B$10000="var_cap")*1,ISNUMBER(SEARCH("RH*-WHngahp",[1]OUT_FinalEnergyCons!$A$4:$A$10000))*1,[1]OUT_FinalEnergyCons!I$4:I$10000)</f>
        <v>0.21984789772099872</v>
      </c>
      <c r="L1851" s="1" cm="1">
        <f t="array" ref="L1851">SUMPRODUCT(([1]OUT_FinalEnergyCons!$B$4:$B$10000="var_cap")*1,ISNUMBER(SEARCH("RH*-WHngahp",[1]OUT_FinalEnergyCons!$A$4:$A$10000))*1,[1]OUT_FinalEnergyCons!J$4:J$10000)</f>
        <v>0.2442698661907465</v>
      </c>
      <c r="M1851" s="1" cm="1">
        <f t="array" ref="M1851">SUMPRODUCT(([1]OUT_FinalEnergyCons!$B$4:$B$10000="var_cap")*1,ISNUMBER(SEARCH("RH*-WHngahp",[1]OUT_FinalEnergyCons!$A$4:$A$10000))*1,[1]OUT_FinalEnergyCons!K$4:K$10000)</f>
        <v>0.14718492379750164</v>
      </c>
      <c r="N1851" s="1" cm="1">
        <f t="array" ref="N1851">SUMPRODUCT(([1]OUT_FinalEnergyCons!$B$4:$B$10000="var_cap")*1,ISNUMBER(SEARCH("RH*-WHngahp",[1]OUT_FinalEnergyCons!$A$4:$A$10000))*1,[1]OUT_FinalEnergyCons!L$4:L$10000)</f>
        <v>7.3917972974320442E-2</v>
      </c>
      <c r="O1851" s="1" cm="1">
        <f t="array" ref="O1851">SUMPRODUCT(([1]OUT_FinalEnergyCons!$B$4:$B$10000="var_cap")*1,ISNUMBER(SEARCH("RH*-WHngahp",[1]OUT_FinalEnergyCons!$A$4:$A$10000))*1,[1]OUT_FinalEnergyCons!M$4:M$10000)</f>
        <v>6.59533187523028E-2</v>
      </c>
      <c r="P1851" s="1" cm="1">
        <f t="array" ref="P1851">SUMPRODUCT(([1]OUT_FinalEnergyCons!$B$4:$B$10000="var_cap")*1,ISNUMBER(SEARCH("RH*-WHngahp",[1]OUT_FinalEnergyCons!$A$4:$A$10000))*1,[1]OUT_FinalEnergyCons!N$4:N$10000)</f>
        <v>6.5950483339896046E-2</v>
      </c>
      <c r="Q1851" s="1" cm="1">
        <f t="array" ref="Q1851">SUMPRODUCT(([1]OUT_FinalEnergyCons!$B$4:$B$10000="var_cap")*1,ISNUMBER(SEARCH("RH*-WHngahp",[1]OUT_FinalEnergyCons!$A$4:$A$10000))*1,[1]OUT_FinalEnergyCons!O$4:O$10000)</f>
        <v>6.5958168729088731E-2</v>
      </c>
      <c r="S1851" s="3"/>
    </row>
    <row r="1852" spans="2:19" x14ac:dyDescent="0.5">
      <c r="B1852" s="5" t="str">
        <f t="shared" ref="B1852:C1852" si="2071">B1851</f>
        <v>SPS1</v>
      </c>
      <c r="C1852" s="5" t="str">
        <f t="shared" si="2071"/>
        <v>CH</v>
      </c>
      <c r="D1852" t="s">
        <v>1888</v>
      </c>
      <c r="E1852" t="str">
        <f t="shared" si="2015"/>
        <v>GWth/yr.</v>
      </c>
      <c r="F1852" s="1">
        <f>F1853</f>
        <v>0</v>
      </c>
      <c r="G1852" s="1">
        <f t="shared" ref="G1852" si="2072">G1853</f>
        <v>0</v>
      </c>
      <c r="H1852" s="1">
        <f t="shared" ref="H1852" si="2073">H1853</f>
        <v>0</v>
      </c>
      <c r="I1852" s="1">
        <f t="shared" ref="I1852" si="2074">I1853</f>
        <v>0</v>
      </c>
      <c r="J1852" s="1">
        <f t="shared" ref="J1852" si="2075">J1853</f>
        <v>0</v>
      </c>
      <c r="K1852" s="1">
        <f t="shared" ref="K1852:O1852" si="2076">K1853</f>
        <v>0</v>
      </c>
      <c r="L1852" s="1">
        <f t="shared" si="2076"/>
        <v>0</v>
      </c>
      <c r="M1852" s="1">
        <f t="shared" si="2076"/>
        <v>0</v>
      </c>
      <c r="N1852" s="1">
        <f t="shared" si="2076"/>
        <v>0</v>
      </c>
      <c r="O1852" s="1">
        <f t="shared" si="2076"/>
        <v>0</v>
      </c>
      <c r="P1852" s="1">
        <f>P1853</f>
        <v>0</v>
      </c>
      <c r="Q1852" s="1">
        <f>Q1853</f>
        <v>0</v>
      </c>
      <c r="S1852" s="3"/>
    </row>
    <row r="1853" spans="2:19" x14ac:dyDescent="0.5">
      <c r="B1853" s="5" t="str">
        <f t="shared" ref="B1853:C1853" si="2077">B1852</f>
        <v>SPS1</v>
      </c>
      <c r="C1853" s="5" t="str">
        <f t="shared" si="2077"/>
        <v>CH</v>
      </c>
      <c r="D1853" t="s">
        <v>1889</v>
      </c>
      <c r="E1853" t="str">
        <f t="shared" si="2015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SUMPRODUCT(([1]OUT_FinalEnergyCons!$B$4:$B$10000="var_cap")*1, (ISNUMBER(SEARCH("RH*-WHCOABR",[1]OUT_FinalEnergyCons!$A$4:$A$10000)))*1,[1]OUT_FinalEnergyCons!H$4:H$10000)</f>
        <v>0</v>
      </c>
      <c r="K1853" s="1" cm="1">
        <f t="array" ref="K1853">SUMPRODUCT(([1]OUT_FinalEnergyCons!$B$4:$B$10000="var_cap")*1, (ISNUMBER(SEARCH("RH*-WHCOABR",[1]OUT_FinalEnergyCons!$A$4:$A$10000)))*1,[1]OUT_FinalEnergyCons!I$4:I$10000)</f>
        <v>0</v>
      </c>
      <c r="L1853" s="1" cm="1">
        <f t="array" ref="L1853">SUMPRODUCT(([1]OUT_FinalEnergyCons!$B$4:$B$10000="var_cap")*1, (ISNUMBER(SEARCH("RH*-WHCOABR",[1]OUT_FinalEnergyCons!$A$4:$A$10000)))*1,[1]OUT_FinalEnergyCons!J$4:J$10000)</f>
        <v>0</v>
      </c>
      <c r="M1853" s="1" cm="1">
        <f t="array" ref="M1853">SUMPRODUCT(([1]OUT_FinalEnergyCons!$B$4:$B$10000="var_cap")*1, (ISNUMBER(SEARCH("RH*-WHCOABR",[1]OUT_FinalEnergyCons!$A$4:$A$10000)))*1,[1]OUT_FinalEnergyCons!K$4:K$10000)</f>
        <v>0</v>
      </c>
      <c r="N1853" s="1" cm="1">
        <f t="array" ref="N1853">SUMPRODUCT(([1]OUT_FinalEnergyCons!$B$4:$B$10000="var_cap")*1, (ISNUMBER(SEARCH("RH*-WHCOABR",[1]OUT_FinalEnergyCons!$A$4:$A$10000)))*1,[1]OUT_FinalEnergyCons!L$4:L$10000)</f>
        <v>0</v>
      </c>
      <c r="O1853" s="1" cm="1">
        <f t="array" ref="O1853">SUMPRODUCT(([1]OUT_FinalEnergyCons!$B$4:$B$10000="var_cap")*1, (ISNUMBER(SEARCH("RH*-WHCOABR",[1]OUT_FinalEnergyCons!$A$4:$A$10000)))*1,[1]OUT_FinalEnergyCons!M$4:M$10000)</f>
        <v>0</v>
      </c>
      <c r="P1853" s="1" cm="1">
        <f t="array" ref="P1853">SUMPRODUCT(([1]OUT_FinalEnergyCons!$B$4:$B$10000="var_cap")*1, (ISNUMBER(SEARCH("RH*-WHCOABR",[1]OUT_FinalEnergyCons!$A$4:$A$10000)))*1,[1]OUT_FinalEnergyCons!N$4:N$10000)</f>
        <v>0</v>
      </c>
      <c r="Q1853" s="1" cm="1">
        <f t="array" ref="Q1853">SUMPRODUCT(([1]OUT_FinalEnergyCons!$B$4:$B$10000="var_cap")*1, (ISNUMBER(SEARCH("RH*-WHCOABR",[1]OUT_FinalEnergyCons!$A$4:$A$10000)))*1,[1]OUT_FinalEnergyCons!O$4:O$10000)</f>
        <v>0</v>
      </c>
      <c r="S1853" s="3"/>
    </row>
    <row r="1854" spans="2:19" x14ac:dyDescent="0.5">
      <c r="B1854" s="5" t="str">
        <f t="shared" ref="B1854:C1854" si="2078">B1853</f>
        <v>SPS1</v>
      </c>
      <c r="C1854" s="5" t="str">
        <f t="shared" si="2078"/>
        <v>CH</v>
      </c>
      <c r="D1854" t="s">
        <v>1890</v>
      </c>
      <c r="E1854" t="str">
        <f t="shared" si="2015"/>
        <v>GWth/yr.</v>
      </c>
      <c r="F1854" s="1">
        <f>F1855</f>
        <v>3.5322010722483803E-2</v>
      </c>
      <c r="G1854" s="1">
        <f t="shared" ref="G1854" si="2079">G1855</f>
        <v>4.0434395081848741E-2</v>
      </c>
      <c r="H1854" s="1">
        <f t="shared" ref="H1854" si="2080">H1855</f>
        <v>4.0428527182960083E-2</v>
      </c>
      <c r="I1854" s="1">
        <f t="shared" ref="I1854" si="2081">I1855</f>
        <v>4.0423841692042543E-2</v>
      </c>
      <c r="J1854" s="1">
        <f t="shared" ref="J1854" si="2082">J1855</f>
        <v>1.8217296874975336E-2</v>
      </c>
      <c r="K1854" s="1">
        <f t="shared" ref="K1854:O1854" si="2083">K1855</f>
        <v>1.306299538203686E-2</v>
      </c>
      <c r="L1854" s="1">
        <f t="shared" si="2083"/>
        <v>1.3062436954576113E-2</v>
      </c>
      <c r="M1854" s="1">
        <f t="shared" si="2083"/>
        <v>1.1196850257581967E-2</v>
      </c>
      <c r="N1854" s="1">
        <f t="shared" si="2083"/>
        <v>8.9595928025285754E-3</v>
      </c>
      <c r="O1854" s="1">
        <f t="shared" si="2083"/>
        <v>8.1752780021971914E-3</v>
      </c>
      <c r="P1854" s="1">
        <f>P1855</f>
        <v>8.3567602369782265E-3</v>
      </c>
      <c r="Q1854" s="1">
        <f>Q1855</f>
        <v>6.4248204707333762E-3</v>
      </c>
      <c r="S1854" s="3"/>
    </row>
    <row r="1855" spans="2:19" x14ac:dyDescent="0.5">
      <c r="B1855" s="5" t="str">
        <f t="shared" ref="B1855:C1855" si="2084">B1854</f>
        <v>SPS1</v>
      </c>
      <c r="C1855" s="5" t="str">
        <f t="shared" si="2084"/>
        <v>CH</v>
      </c>
      <c r="D1855" t="s">
        <v>1891</v>
      </c>
      <c r="E1855" t="str">
        <f t="shared" si="2015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4.0434395081848741E-2</v>
      </c>
      <c r="H1855" s="1" cm="1">
        <f t="array" ref="H1855">SUMPRODUCT(([1]OUT_FinalEnergyCons!$B$4:$B$10000="var_cap")*1, (ISNUMBER(SEARCH("RH*-WHWODBR",[1]OUT_FinalEnergyCons!$A$4:$A$10000)))*1,[1]OUT_FinalEnergyCons!F$4:F$10000)</f>
        <v>4.0428527182960083E-2</v>
      </c>
      <c r="I1855" s="1" cm="1">
        <f t="array" ref="I1855">SUMPRODUCT(([1]OUT_FinalEnergyCons!$B$4:$B$10000="var_cap")*1, (ISNUMBER(SEARCH("RH*-WHWODBR",[1]OUT_FinalEnergyCons!$A$4:$A$10000)))*1,[1]OUT_FinalEnergyCons!G$4:G$10000)</f>
        <v>4.0423841692042543E-2</v>
      </c>
      <c r="J1855" s="1" cm="1">
        <f t="array" ref="J1855">SUMPRODUCT(([1]OUT_FinalEnergyCons!$B$4:$B$10000="var_cap")*1, (ISNUMBER(SEARCH("RH*-WHWODBR",[1]OUT_FinalEnergyCons!$A$4:$A$10000)))*1,[1]OUT_FinalEnergyCons!H$4:H$10000)</f>
        <v>1.8217296874975336E-2</v>
      </c>
      <c r="K1855" s="1" cm="1">
        <f t="array" ref="K1855">SUMPRODUCT(([1]OUT_FinalEnergyCons!$B$4:$B$10000="var_cap")*1, (ISNUMBER(SEARCH("RH*-WHWODBR",[1]OUT_FinalEnergyCons!$A$4:$A$10000)))*1,[1]OUT_FinalEnergyCons!I$4:I$10000)</f>
        <v>1.306299538203686E-2</v>
      </c>
      <c r="L1855" s="1" cm="1">
        <f t="array" ref="L1855">SUMPRODUCT(([1]OUT_FinalEnergyCons!$B$4:$B$10000="var_cap")*1, (ISNUMBER(SEARCH("RH*-WHWODBR",[1]OUT_FinalEnergyCons!$A$4:$A$10000)))*1,[1]OUT_FinalEnergyCons!J$4:J$10000)</f>
        <v>1.3062436954576113E-2</v>
      </c>
      <c r="M1855" s="1" cm="1">
        <f t="array" ref="M1855">SUMPRODUCT(([1]OUT_FinalEnergyCons!$B$4:$B$10000="var_cap")*1, (ISNUMBER(SEARCH("RH*-WHWODBR",[1]OUT_FinalEnergyCons!$A$4:$A$10000)))*1,[1]OUT_FinalEnergyCons!K$4:K$10000)</f>
        <v>1.1196850257581967E-2</v>
      </c>
      <c r="N1855" s="1" cm="1">
        <f t="array" ref="N1855">SUMPRODUCT(([1]OUT_FinalEnergyCons!$B$4:$B$10000="var_cap")*1, (ISNUMBER(SEARCH("RH*-WHWODBR",[1]OUT_FinalEnergyCons!$A$4:$A$10000)))*1,[1]OUT_FinalEnergyCons!L$4:L$10000)</f>
        <v>8.9595928025285754E-3</v>
      </c>
      <c r="O1855" s="1" cm="1">
        <f t="array" ref="O1855">SUMPRODUCT(([1]OUT_FinalEnergyCons!$B$4:$B$10000="var_cap")*1, (ISNUMBER(SEARCH("RH*-WHWODBR",[1]OUT_FinalEnergyCons!$A$4:$A$10000)))*1,[1]OUT_FinalEnergyCons!M$4:M$10000)</f>
        <v>8.1752780021971914E-3</v>
      </c>
      <c r="P1855" s="1" cm="1">
        <f t="array" ref="P1855">SUMPRODUCT(([1]OUT_FinalEnergyCons!$B$4:$B$10000="var_cap")*1, (ISNUMBER(SEARCH("RH*-WHWODBR",[1]OUT_FinalEnergyCons!$A$4:$A$10000)))*1,[1]OUT_FinalEnergyCons!N$4:N$10000)</f>
        <v>8.3567602369782265E-3</v>
      </c>
      <c r="Q1855" s="1" cm="1">
        <f t="array" ref="Q1855">SUMPRODUCT(([1]OUT_FinalEnergyCons!$B$4:$B$10000="var_cap")*1, (ISNUMBER(SEARCH("RH*-WHWODBR",[1]OUT_FinalEnergyCons!$A$4:$A$10000)))*1,[1]OUT_FinalEnergyCons!O$4:O$10000)</f>
        <v>6.4248204707333762E-3</v>
      </c>
      <c r="S1855" s="3"/>
    </row>
    <row r="1856" spans="2:19" x14ac:dyDescent="0.5">
      <c r="B1856" s="5" t="str">
        <f t="shared" ref="B1856:C1856" si="2085">B1855</f>
        <v>SPS1</v>
      </c>
      <c r="C1856" s="5" t="str">
        <f t="shared" si="2085"/>
        <v>CH</v>
      </c>
      <c r="D1856" t="s">
        <v>1892</v>
      </c>
      <c r="E1856" t="str">
        <f t="shared" si="2015"/>
        <v>GWth/yr.</v>
      </c>
      <c r="F1856" s="1">
        <f>F1857</f>
        <v>1.12410901121583E-2</v>
      </c>
      <c r="G1856" s="1">
        <f t="shared" ref="G1856" si="2086">G1857</f>
        <v>1.3191322313949103E-2</v>
      </c>
      <c r="H1856" s="1">
        <f t="shared" ref="H1856" si="2087">H1857</f>
        <v>1.3190253448461925E-2</v>
      </c>
      <c r="I1856" s="1">
        <f t="shared" ref="I1856" si="2088">I1857</f>
        <v>1.3189835597791145E-2</v>
      </c>
      <c r="J1856" s="1">
        <f t="shared" ref="J1856" si="2089">J1857</f>
        <v>9.5037738123408787E-3</v>
      </c>
      <c r="K1856" s="1">
        <f t="shared" ref="K1856:O1856" si="2090">K1857</f>
        <v>9.7682470346929836E-3</v>
      </c>
      <c r="L1856" s="1">
        <f t="shared" si="2090"/>
        <v>9.9853081837632252E-3</v>
      </c>
      <c r="M1856" s="1">
        <f t="shared" si="2090"/>
        <v>1.0194590529535539E-2</v>
      </c>
      <c r="N1856" s="1">
        <f t="shared" si="2090"/>
        <v>1.0338619711249055E-2</v>
      </c>
      <c r="O1856" s="1">
        <f t="shared" si="2090"/>
        <v>1.0510726279353694E-2</v>
      </c>
      <c r="P1856" s="1">
        <f>P1857</f>
        <v>1.0508997604909353E-2</v>
      </c>
      <c r="Q1856" s="1">
        <f>Q1857</f>
        <v>1.1076210164017632E-2</v>
      </c>
      <c r="S1856" s="3"/>
    </row>
    <row r="1857" spans="2:19" x14ac:dyDescent="0.5">
      <c r="B1857" s="5" t="str">
        <f t="shared" ref="B1857:C1857" si="2091">B1856</f>
        <v>SPS1</v>
      </c>
      <c r="C1857" s="5" t="str">
        <f t="shared" si="2091"/>
        <v>CH</v>
      </c>
      <c r="D1857" t="s">
        <v>1893</v>
      </c>
      <c r="E1857" t="str">
        <f t="shared" si="2015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1.3191322313949103E-2</v>
      </c>
      <c r="H1857" s="1" cm="1">
        <f t="array" ref="H1857">SUMPRODUCT(([1]OUT_FinalEnergyCons!$B$4:$B$10000="var_cap")*1, (ISNUMBER(SEARCH("RH*-WHPLTBR",[1]OUT_FinalEnergyCons!$A$4:$A$10000)))*1,[1]OUT_FinalEnergyCons!F$4:F$10000)</f>
        <v>1.3190253448461925E-2</v>
      </c>
      <c r="I1857" s="1" cm="1">
        <f t="array" ref="I1857">SUMPRODUCT(([1]OUT_FinalEnergyCons!$B$4:$B$10000="var_cap")*1, (ISNUMBER(SEARCH("RH*-WHPLTBR",[1]OUT_FinalEnergyCons!$A$4:$A$10000)))*1,[1]OUT_FinalEnergyCons!G$4:G$10000)</f>
        <v>1.3189835597791145E-2</v>
      </c>
      <c r="J1857" s="1" cm="1">
        <f t="array" ref="J1857">SUMPRODUCT(([1]OUT_FinalEnergyCons!$B$4:$B$10000="var_cap")*1, (ISNUMBER(SEARCH("RH*-WHPLTBR",[1]OUT_FinalEnergyCons!$A$4:$A$10000)))*1,[1]OUT_FinalEnergyCons!H$4:H$10000)</f>
        <v>9.5037738123408787E-3</v>
      </c>
      <c r="K1857" s="1" cm="1">
        <f t="array" ref="K1857">SUMPRODUCT(([1]OUT_FinalEnergyCons!$B$4:$B$10000="var_cap")*1, (ISNUMBER(SEARCH("RH*-WHPLTBR",[1]OUT_FinalEnergyCons!$A$4:$A$10000)))*1,[1]OUT_FinalEnergyCons!I$4:I$10000)</f>
        <v>9.7682470346929836E-3</v>
      </c>
      <c r="L1857" s="1" cm="1">
        <f t="array" ref="L1857">SUMPRODUCT(([1]OUT_FinalEnergyCons!$B$4:$B$10000="var_cap")*1, (ISNUMBER(SEARCH("RH*-WHPLTBR",[1]OUT_FinalEnergyCons!$A$4:$A$10000)))*1,[1]OUT_FinalEnergyCons!J$4:J$10000)</f>
        <v>9.9853081837632252E-3</v>
      </c>
      <c r="M1857" s="1" cm="1">
        <f t="array" ref="M1857">SUMPRODUCT(([1]OUT_FinalEnergyCons!$B$4:$B$10000="var_cap")*1, (ISNUMBER(SEARCH("RH*-WHPLTBR",[1]OUT_FinalEnergyCons!$A$4:$A$10000)))*1,[1]OUT_FinalEnergyCons!K$4:K$10000)</f>
        <v>1.0194590529535539E-2</v>
      </c>
      <c r="N1857" s="1" cm="1">
        <f t="array" ref="N1857">SUMPRODUCT(([1]OUT_FinalEnergyCons!$B$4:$B$10000="var_cap")*1, (ISNUMBER(SEARCH("RH*-WHPLTBR",[1]OUT_FinalEnergyCons!$A$4:$A$10000)))*1,[1]OUT_FinalEnergyCons!L$4:L$10000)</f>
        <v>1.0338619711249055E-2</v>
      </c>
      <c r="O1857" s="1" cm="1">
        <f t="array" ref="O1857">SUMPRODUCT(([1]OUT_FinalEnergyCons!$B$4:$B$10000="var_cap")*1, (ISNUMBER(SEARCH("RH*-WHPLTBR",[1]OUT_FinalEnergyCons!$A$4:$A$10000)))*1,[1]OUT_FinalEnergyCons!M$4:M$10000)</f>
        <v>1.0510726279353694E-2</v>
      </c>
      <c r="P1857" s="1" cm="1">
        <f t="array" ref="P1857">SUMPRODUCT(([1]OUT_FinalEnergyCons!$B$4:$B$10000="var_cap")*1, (ISNUMBER(SEARCH("RH*-WHPLTBR",[1]OUT_FinalEnergyCons!$A$4:$A$10000)))*1,[1]OUT_FinalEnergyCons!N$4:N$10000)</f>
        <v>1.0508997604909353E-2</v>
      </c>
      <c r="Q1857" s="1" cm="1">
        <f t="array" ref="Q1857">SUMPRODUCT(([1]OUT_FinalEnergyCons!$B$4:$B$10000="var_cap")*1, (ISNUMBER(SEARCH("RH*-WHPLTBR",[1]OUT_FinalEnergyCons!$A$4:$A$10000)))*1,[1]OUT_FinalEnergyCons!O$4:O$10000)</f>
        <v>1.1076210164017632E-2</v>
      </c>
      <c r="S1857" s="3"/>
    </row>
    <row r="1858" spans="2:19" x14ac:dyDescent="0.5">
      <c r="B1858" s="5" t="str">
        <f t="shared" ref="B1858:C1858" si="2092">B1857</f>
        <v>SPS1</v>
      </c>
      <c r="C1858" s="5" t="str">
        <f t="shared" si="2092"/>
        <v>CH</v>
      </c>
      <c r="D1858" t="s">
        <v>1894</v>
      </c>
      <c r="E1858" t="str">
        <f t="shared" si="2015"/>
        <v>GWth/yr.</v>
      </c>
      <c r="F1858" s="1">
        <f>F1859</f>
        <v>0.25000991745774798</v>
      </c>
      <c r="G1858" s="1">
        <f t="shared" ref="G1858" si="2093">G1859</f>
        <v>0.33256556011604416</v>
      </c>
      <c r="H1858" s="1">
        <f t="shared" ref="H1858" si="2094">H1859</f>
        <v>0.33256580554199699</v>
      </c>
      <c r="I1858" s="1">
        <f t="shared" ref="I1858" si="2095">I1859</f>
        <v>0.33256679175608267</v>
      </c>
      <c r="J1858" s="1">
        <f t="shared" ref="J1858" si="2096">J1859</f>
        <v>0.22041324775590038</v>
      </c>
      <c r="K1858" s="1">
        <f t="shared" ref="K1858:O1858" si="2097">K1859</f>
        <v>0.15623249908998099</v>
      </c>
      <c r="L1858" s="1">
        <f t="shared" si="2097"/>
        <v>0.15623581094706099</v>
      </c>
      <c r="M1858" s="1">
        <f t="shared" si="2097"/>
        <v>0.67715875568696005</v>
      </c>
      <c r="N1858" s="1">
        <f t="shared" si="2097"/>
        <v>0.65204812334708295</v>
      </c>
      <c r="O1858" s="1">
        <f t="shared" si="2097"/>
        <v>0.65437980380939398</v>
      </c>
      <c r="P1858" s="1">
        <f>P1859</f>
        <v>0.51385320659855704</v>
      </c>
      <c r="Q1858" s="1">
        <f>Q1859</f>
        <v>0.39386343299943299</v>
      </c>
      <c r="S1858" s="3"/>
    </row>
    <row r="1859" spans="2:19" x14ac:dyDescent="0.5">
      <c r="B1859" s="5" t="str">
        <f t="shared" ref="B1859:C1859" si="2098">B1858</f>
        <v>SPS1</v>
      </c>
      <c r="C1859" s="5" t="str">
        <f t="shared" si="2098"/>
        <v>CH</v>
      </c>
      <c r="D1859" t="s">
        <v>1895</v>
      </c>
      <c r="E1859" t="str">
        <f t="shared" si="2015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0.33256556011604416</v>
      </c>
      <c r="H1859" s="1" cm="1">
        <f t="array" ref="H1859">SUMPRODUCT(([1]OUT_FinalEnergyCons!$B$4:$B$10000="var_cap")*1, (ISNUMBER(SEARCH("RH*-WHSOLBR",[1]OUT_FinalEnergyCons!$A$4:$A$10000)))*1,[1]OUT_FinalEnergyCons!F$4:F$10000)</f>
        <v>0.33256580554199699</v>
      </c>
      <c r="I1859" s="1" cm="1">
        <f t="array" ref="I1859">SUMPRODUCT(([1]OUT_FinalEnergyCons!$B$4:$B$10000="var_cap")*1, (ISNUMBER(SEARCH("RH*-WHSOLBR",[1]OUT_FinalEnergyCons!$A$4:$A$10000)))*1,[1]OUT_FinalEnergyCons!G$4:G$10000)</f>
        <v>0.33256679175608267</v>
      </c>
      <c r="J1859" s="1" cm="1">
        <f t="array" ref="J1859">SUMPRODUCT(([1]OUT_FinalEnergyCons!$B$4:$B$10000="var_cap")*1, (ISNUMBER(SEARCH("RH*-WHSOLBR",[1]OUT_FinalEnergyCons!$A$4:$A$10000)))*1,[1]OUT_FinalEnergyCons!H$4:H$10000)</f>
        <v>0.22041324775590038</v>
      </c>
      <c r="K1859" s="1" cm="1">
        <f t="array" ref="K1859">SUMPRODUCT(([1]OUT_FinalEnergyCons!$B$4:$B$10000="var_cap")*1, (ISNUMBER(SEARCH("RH*-WHSOLBR",[1]OUT_FinalEnergyCons!$A$4:$A$10000)))*1,[1]OUT_FinalEnergyCons!I$4:I$10000)</f>
        <v>0.15623249908998099</v>
      </c>
      <c r="L1859" s="1" cm="1">
        <f t="array" ref="L1859">SUMPRODUCT(([1]OUT_FinalEnergyCons!$B$4:$B$10000="var_cap")*1, (ISNUMBER(SEARCH("RH*-WHSOLBR",[1]OUT_FinalEnergyCons!$A$4:$A$10000)))*1,[1]OUT_FinalEnergyCons!J$4:J$10000)</f>
        <v>0.15623581094706099</v>
      </c>
      <c r="M1859" s="1" cm="1">
        <f t="array" ref="M1859">SUMPRODUCT(([1]OUT_FinalEnergyCons!$B$4:$B$10000="var_cap")*1, (ISNUMBER(SEARCH("RH*-WHSOLBR",[1]OUT_FinalEnergyCons!$A$4:$A$10000)))*1,[1]OUT_FinalEnergyCons!K$4:K$10000)</f>
        <v>0.67715875568696005</v>
      </c>
      <c r="N1859" s="1" cm="1">
        <f t="array" ref="N1859">SUMPRODUCT(([1]OUT_FinalEnergyCons!$B$4:$B$10000="var_cap")*1, (ISNUMBER(SEARCH("RH*-WHSOLBR",[1]OUT_FinalEnergyCons!$A$4:$A$10000)))*1,[1]OUT_FinalEnergyCons!L$4:L$10000)</f>
        <v>0.65204812334708295</v>
      </c>
      <c r="O1859" s="1" cm="1">
        <f t="array" ref="O1859">SUMPRODUCT(([1]OUT_FinalEnergyCons!$B$4:$B$10000="var_cap")*1, (ISNUMBER(SEARCH("RH*-WHSOLBR",[1]OUT_FinalEnergyCons!$A$4:$A$10000)))*1,[1]OUT_FinalEnergyCons!M$4:M$10000)</f>
        <v>0.65437980380939398</v>
      </c>
      <c r="P1859" s="1" cm="1">
        <f t="array" ref="P1859">SUMPRODUCT(([1]OUT_FinalEnergyCons!$B$4:$B$10000="var_cap")*1, (ISNUMBER(SEARCH("RH*-WHSOLBR",[1]OUT_FinalEnergyCons!$A$4:$A$10000)))*1,[1]OUT_FinalEnergyCons!N$4:N$10000)</f>
        <v>0.51385320659855704</v>
      </c>
      <c r="Q1859" s="1" cm="1">
        <f t="array" ref="Q1859">SUMPRODUCT(([1]OUT_FinalEnergyCons!$B$4:$B$10000="var_cap")*1, (ISNUMBER(SEARCH("RH*-WHSOLBR",[1]OUT_FinalEnergyCons!$A$4:$A$10000)))*1,[1]OUT_FinalEnergyCons!O$4:O$10000)</f>
        <v>0.39386343299943299</v>
      </c>
      <c r="S1859" s="3"/>
    </row>
    <row r="1860" spans="2:19" x14ac:dyDescent="0.5">
      <c r="B1860" s="5" t="str">
        <f t="shared" ref="B1860:C1860" si="2099">B1859</f>
        <v>SPS1</v>
      </c>
      <c r="C1860" s="5" t="str">
        <f t="shared" si="2099"/>
        <v>CH</v>
      </c>
      <c r="D1860" t="s">
        <v>1896</v>
      </c>
      <c r="E1860" t="str">
        <f t="shared" si="2015"/>
        <v>GWth/yr.</v>
      </c>
      <c r="F1860" s="1">
        <f>F1861</f>
        <v>0</v>
      </c>
      <c r="G1860" s="1">
        <f t="shared" ref="G1860" si="2100">G1861</f>
        <v>0</v>
      </c>
      <c r="H1860" s="1">
        <f t="shared" ref="H1860" si="2101">H1861</f>
        <v>0</v>
      </c>
      <c r="I1860" s="1">
        <f t="shared" ref="I1860" si="2102">I1861</f>
        <v>0</v>
      </c>
      <c r="J1860" s="1">
        <f t="shared" ref="J1860" si="2103">J1861</f>
        <v>0</v>
      </c>
      <c r="K1860" s="1">
        <f t="shared" ref="K1860:O1860" si="2104">K1861</f>
        <v>0</v>
      </c>
      <c r="L1860" s="1">
        <f t="shared" si="2104"/>
        <v>0</v>
      </c>
      <c r="M1860" s="1">
        <f t="shared" si="2104"/>
        <v>0</v>
      </c>
      <c r="N1860" s="1">
        <f t="shared" si="2104"/>
        <v>0</v>
      </c>
      <c r="O1860" s="1">
        <f t="shared" si="2104"/>
        <v>0</v>
      </c>
      <c r="P1860" s="1">
        <f>P1861</f>
        <v>0</v>
      </c>
      <c r="Q1860" s="1">
        <f>Q1861</f>
        <v>0</v>
      </c>
      <c r="S1860" s="3"/>
    </row>
    <row r="1861" spans="2:19" x14ac:dyDescent="0.5">
      <c r="B1861" s="5" t="str">
        <f t="shared" ref="B1861:C1865" si="2105">B1860</f>
        <v>SPS1</v>
      </c>
      <c r="C1861" s="5" t="str">
        <f t="shared" si="2105"/>
        <v>CH</v>
      </c>
      <c r="D1861" t="s">
        <v>1897</v>
      </c>
      <c r="E1861" t="str">
        <f t="shared" si="2015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SUMPRODUCT(([1]OUT_FinalEnergyCons!$B$4:$B$10000="var_cap")*1, (ISNUMBER(SEARCH("RH*-WHH2BR",[1]OUT_FinalEnergyCons!$A$4:$A$10000)))*1,[1]OUT_FinalEnergyCons!H$4:H$10000)</f>
        <v>0</v>
      </c>
      <c r="K1861" s="1" cm="1">
        <f t="array" ref="K1861">SUMPRODUCT(([1]OUT_FinalEnergyCons!$B$4:$B$10000="var_cap")*1, (ISNUMBER(SEARCH("RH*-WHH2BR",[1]OUT_FinalEnergyCons!$A$4:$A$10000)))*1,[1]OUT_FinalEnergyCons!I$4:I$10000)</f>
        <v>0</v>
      </c>
      <c r="L1861" s="1" cm="1">
        <f t="array" ref="L1861">SUMPRODUCT(([1]OUT_FinalEnergyCons!$B$4:$B$10000="var_cap")*1, (ISNUMBER(SEARCH("RH*-WHH2BR",[1]OUT_FinalEnergyCons!$A$4:$A$10000)))*1,[1]OUT_FinalEnergyCons!J$4:J$10000)</f>
        <v>0</v>
      </c>
      <c r="M1861" s="1" cm="1">
        <f t="array" ref="M1861">SUMPRODUCT(([1]OUT_FinalEnergyCons!$B$4:$B$10000="var_cap")*1, (ISNUMBER(SEARCH("RH*-WHH2BR",[1]OUT_FinalEnergyCons!$A$4:$A$10000)))*1,[1]OUT_FinalEnergyCons!K$4:K$10000)</f>
        <v>0</v>
      </c>
      <c r="N1861" s="1" cm="1">
        <f t="array" ref="N1861">SUMPRODUCT(([1]OUT_FinalEnergyCons!$B$4:$B$10000="var_cap")*1, (ISNUMBER(SEARCH("RH*-WHH2BR",[1]OUT_FinalEnergyCons!$A$4:$A$10000)))*1,[1]OUT_FinalEnergyCons!L$4:L$10000)</f>
        <v>0</v>
      </c>
      <c r="O1861" s="1" cm="1">
        <f t="array" ref="O1861">SUMPRODUCT(([1]OUT_FinalEnergyCons!$B$4:$B$10000="var_cap")*1, (ISNUMBER(SEARCH("RH*-WHH2BR",[1]OUT_FinalEnergyCons!$A$4:$A$10000)))*1,[1]OUT_FinalEnergyCons!M$4:M$10000)</f>
        <v>0</v>
      </c>
      <c r="P1861" s="1" cm="1">
        <f t="array" ref="P1861">SUMPRODUCT(([1]OUT_FinalEnergyCons!$B$4:$B$10000="var_cap")*1, (ISNUMBER(SEARCH("RH*-WHH2BR",[1]OUT_FinalEnergyCons!$A$4:$A$10000)))*1,[1]OUT_FinalEnergyCons!N$4:N$10000)</f>
        <v>0</v>
      </c>
      <c r="Q1861" s="1" cm="1">
        <f t="array" ref="Q1861">SUMPRODUCT(([1]OUT_FinalEnergyCons!$B$4:$B$10000="var_cap")*1, (ISNUMBER(SEARCH("RH*-WHH2BR",[1]OUT_FinalEnergyCons!$A$4:$A$10000)))*1,[1]OUT_FinalEnergyCons!O$4:O$10000)</f>
        <v>0</v>
      </c>
      <c r="S1861" s="3"/>
    </row>
    <row r="1862" spans="2:19" x14ac:dyDescent="0.5">
      <c r="B1862" s="9" t="str">
        <f t="shared" si="2105"/>
        <v>SPS1</v>
      </c>
      <c r="C1862" s="9" t="str">
        <f t="shared" si="2105"/>
        <v>CH</v>
      </c>
      <c r="D1862" s="2" t="s">
        <v>1899</v>
      </c>
      <c r="E1862" s="9" t="str">
        <f t="shared" si="2015"/>
        <v>GWth/yr.</v>
      </c>
      <c r="F1862" s="17">
        <f>SUM(F1863,F1866,F1869,F1873,F1875,F1877,F1879,F1881,F1883)</f>
        <v>3.6001762341933032</v>
      </c>
      <c r="G1862" s="17">
        <f t="shared" ref="G1862:K1862" si="2106">SUM(G1863,G1866,G1869,G1873,G1875,G1877,G1879,G1881,G1883)</f>
        <v>3.66686404938998</v>
      </c>
      <c r="H1862" s="17">
        <f t="shared" si="2106"/>
        <v>3.5813174291229077</v>
      </c>
      <c r="I1862" s="17">
        <f t="shared" si="2106"/>
        <v>3.7556125716802593</v>
      </c>
      <c r="J1862" s="17">
        <f t="shared" si="2106"/>
        <v>4.138854804839462</v>
      </c>
      <c r="K1862" s="17">
        <f t="shared" si="2106"/>
        <v>3.8433785644495608</v>
      </c>
      <c r="L1862" s="17">
        <f t="shared" ref="L1862:O1862" si="2107">SUM(L1863,L1866,L1869,L1873,L1875,L1877,L1879,L1881,L1883)</f>
        <v>3.7305127827807194</v>
      </c>
      <c r="M1862" s="17">
        <f t="shared" si="2107"/>
        <v>3.6752104667309116</v>
      </c>
      <c r="N1862" s="17">
        <f t="shared" si="2107"/>
        <v>3.6764358728579216</v>
      </c>
      <c r="O1862" s="17">
        <f t="shared" si="2107"/>
        <v>3.7719397350954083</v>
      </c>
      <c r="P1862" s="17">
        <f>SUM(P1863,P1866,P1869,P1873,P1875,P1877,P1879,P1881,P1883)</f>
        <v>3.6702303637451417</v>
      </c>
      <c r="Q1862" s="17">
        <f>SUM(Q1863,Q1866,Q1869,Q1873,Q1875,Q1877,Q1879,Q1881,Q1883)</f>
        <v>3.6003098748667277</v>
      </c>
      <c r="S1862" s="3"/>
    </row>
    <row r="1863" spans="2:19" x14ac:dyDescent="0.5">
      <c r="B1863" s="5" t="str">
        <f>B1862</f>
        <v>SPS1</v>
      </c>
      <c r="C1863" s="5" t="str">
        <f t="shared" si="2105"/>
        <v>CH</v>
      </c>
      <c r="D1863" t="s">
        <v>2093</v>
      </c>
      <c r="E1863" t="str">
        <f t="shared" si="2015"/>
        <v>GWth/yr.</v>
      </c>
      <c r="F1863" s="18">
        <f>SUM(F1864:F1865)</f>
        <v>0.61671309762324311</v>
      </c>
      <c r="G1863" s="18">
        <f t="shared" ref="G1863:K1863" si="2108">SUM(G1864:G1865)</f>
        <v>0.79971917416877447</v>
      </c>
      <c r="H1863" s="18">
        <f t="shared" si="2108"/>
        <v>0.91937718490138187</v>
      </c>
      <c r="I1863" s="18">
        <f t="shared" si="2108"/>
        <v>1.2210835879757196</v>
      </c>
      <c r="J1863" s="18">
        <f t="shared" si="2108"/>
        <v>1.6225252055097057</v>
      </c>
      <c r="K1863" s="18">
        <f t="shared" si="2108"/>
        <v>1.6131199527835514</v>
      </c>
      <c r="L1863" s="18">
        <f t="shared" ref="L1863:O1863" si="2109">SUM(L1864:L1865)</f>
        <v>1.8509210469500519</v>
      </c>
      <c r="M1863" s="18">
        <f t="shared" si="2109"/>
        <v>1.8747498207148421</v>
      </c>
      <c r="N1863" s="18">
        <f t="shared" si="2109"/>
        <v>1.900834368030198</v>
      </c>
      <c r="O1863" s="18">
        <f t="shared" si="2109"/>
        <v>1.8914101379871409</v>
      </c>
      <c r="P1863" s="18">
        <f>SUM(P1864:P1865)</f>
        <v>1.8689269052468249</v>
      </c>
      <c r="Q1863" s="18">
        <f>SUM(Q1864:Q1865)</f>
        <v>1.8603003282057753</v>
      </c>
      <c r="S1863" s="3"/>
    </row>
    <row r="1864" spans="2:19" x14ac:dyDescent="0.5">
      <c r="B1864" s="5" t="str">
        <f t="shared" ref="B1864:B1865" si="2110">B1863</f>
        <v>SPS1</v>
      </c>
      <c r="C1864" s="5" t="str">
        <f t="shared" si="2105"/>
        <v>CH</v>
      </c>
      <c r="D1864" t="s">
        <v>2094</v>
      </c>
      <c r="E1864" t="str">
        <f t="shared" si="2015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0.72350263631951695</v>
      </c>
      <c r="H1864" s="1" cm="1">
        <f t="array" ref="H1864">SUMPRODUCT(([1]OUT_FinalEnergyCons!$B$4:$B$10000="Var_cap")*1,  (ISNUMBER(SEARCH("ITOT-SWHELCBR",[1]OUT_FinalEnergyCons!$A$4:$A$10000)))*1,[1]OUT_FinalEnergyCons!F$4:F$10000)</f>
        <v>0.72358102228294829</v>
      </c>
      <c r="I1864" s="1" cm="1">
        <f t="array" ref="I1864">SUMPRODUCT(([1]OUT_FinalEnergyCons!$B$4:$B$10000="Var_cap")*1,  (ISNUMBER(SEARCH("ITOT-SWHELCBR",[1]OUT_FinalEnergyCons!$A$4:$A$10000)))*1,[1]OUT_FinalEnergyCons!G$4:G$10000)</f>
        <v>0.89773539737487562</v>
      </c>
      <c r="J1864" s="1" cm="1">
        <f t="array" ref="J1864">SUMPRODUCT(([1]OUT_FinalEnergyCons!$B$4:$B$10000="Var_cap")*1,  (ISNUMBER(SEARCH("ITOT-SWHELCBR",[1]OUT_FinalEnergyCons!$A$4:$A$10000)))*1,[1]OUT_FinalEnergyCons!H$4:H$10000)</f>
        <v>1.1740611515629713</v>
      </c>
      <c r="K1864" s="1" cm="1">
        <f t="array" ref="K1864">SUMPRODUCT(([1]OUT_FinalEnergyCons!$B$4:$B$10000="Var_cap")*1,  (ISNUMBER(SEARCH("ITOT-SWHELCBR",[1]OUT_FinalEnergyCons!$A$4:$A$10000)))*1,[1]OUT_FinalEnergyCons!I$4:I$10000)</f>
        <v>1.1650079024201889</v>
      </c>
      <c r="L1864" s="1" cm="1">
        <f t="array" ref="L1864">SUMPRODUCT(([1]OUT_FinalEnergyCons!$B$4:$B$10000="Var_cap")*1,  (ISNUMBER(SEARCH("ITOT-SWHELCBR",[1]OUT_FinalEnergyCons!$A$4:$A$10000)))*1,[1]OUT_FinalEnergyCons!J$4:J$10000)</f>
        <v>1.1896794234025139</v>
      </c>
      <c r="M1864" s="1" cm="1">
        <f t="array" ref="M1864">SUMPRODUCT(([1]OUT_FinalEnergyCons!$B$4:$B$10000="Var_cap")*1,  (ISNUMBER(SEARCH("ITOT-SWHELCBR",[1]OUT_FinalEnergyCons!$A$4:$A$10000)))*1,[1]OUT_FinalEnergyCons!K$4:K$10000)</f>
        <v>1.184701584879982</v>
      </c>
      <c r="N1864" s="1" cm="1">
        <f t="array" ref="N1864">SUMPRODUCT(([1]OUT_FinalEnergyCons!$B$4:$B$10000="Var_cap")*1,  (ISNUMBER(SEARCH("ITOT-SWHELCBR",[1]OUT_FinalEnergyCons!$A$4:$A$10000)))*1,[1]OUT_FinalEnergyCons!L$4:L$10000)</f>
        <v>1.1756377133722484</v>
      </c>
      <c r="O1864" s="1" cm="1">
        <f t="array" ref="O1864">SUMPRODUCT(([1]OUT_FinalEnergyCons!$B$4:$B$10000="Var_cap")*1,  (ISNUMBER(SEARCH("ITOT-SWHELCBR",[1]OUT_FinalEnergyCons!$A$4:$A$10000)))*1,[1]OUT_FinalEnergyCons!M$4:M$10000)</f>
        <v>1.1672377247952679</v>
      </c>
      <c r="P1864" s="1" cm="1">
        <f t="array" ref="P1864">SUMPRODUCT(([1]OUT_FinalEnergyCons!$B$4:$B$10000="Var_cap")*1,  (ISNUMBER(SEARCH("ITOT-SWHELCBR",[1]OUT_FinalEnergyCons!$A$4:$A$10000)))*1,[1]OUT_FinalEnergyCons!N$4:N$10000)</f>
        <v>1.150369211400627</v>
      </c>
      <c r="Q1864" s="1" cm="1">
        <f t="array" ref="Q1864">SUMPRODUCT(([1]OUT_FinalEnergyCons!$B$4:$B$10000="Var_cap")*1,  (ISNUMBER(SEARCH("ITOT-SWHELCBR",[1]OUT_FinalEnergyCons!$A$4:$A$10000)))*1,[1]OUT_FinalEnergyCons!O$4:O$10000)</f>
        <v>1.1417413565940513</v>
      </c>
      <c r="S1864" s="3"/>
    </row>
    <row r="1865" spans="2:19" x14ac:dyDescent="0.5">
      <c r="B1865" s="5" t="str">
        <f t="shared" si="2110"/>
        <v>SPS1</v>
      </c>
      <c r="C1865" s="5" t="str">
        <f t="shared" si="2105"/>
        <v>CH</v>
      </c>
      <c r="D1865" t="s">
        <v>2095</v>
      </c>
      <c r="E1865" t="str">
        <f t="shared" si="2015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7.6216537849257499E-2</v>
      </c>
      <c r="H1865" s="1" cm="1">
        <f t="array" ref="H1865">SUMPRODUCT(([1]OUT_FinalEnergyCons!$B$4:$B$10000="Var_cap")*1,  (ISNUMBER(SEARCH("ITOT-SWHELCHP",[1]OUT_FinalEnergyCons!$A$4:$A$10000)))*1,[1]OUT_FinalEnergyCons!F$4:F$10000)</f>
        <v>0.19579616261843355</v>
      </c>
      <c r="I1865" s="1" cm="1">
        <f t="array" ref="I1865">SUMPRODUCT(([1]OUT_FinalEnergyCons!$B$4:$B$10000="Var_cap")*1,  (ISNUMBER(SEARCH("ITOT-SWHELCHP",[1]OUT_FinalEnergyCons!$A$4:$A$10000)))*1,[1]OUT_FinalEnergyCons!G$4:G$10000)</f>
        <v>0.32334819060084397</v>
      </c>
      <c r="J1865" s="1" cm="1">
        <f t="array" ref="J1865">SUMPRODUCT(([1]OUT_FinalEnergyCons!$B$4:$B$10000="Var_cap")*1,  (ISNUMBER(SEARCH("ITOT-SWHELCHP",[1]OUT_FinalEnergyCons!$A$4:$A$10000)))*1,[1]OUT_FinalEnergyCons!H$4:H$10000)</f>
        <v>0.44846405394673444</v>
      </c>
      <c r="K1865" s="1" cm="1">
        <f t="array" ref="K1865">SUMPRODUCT(([1]OUT_FinalEnergyCons!$B$4:$B$10000="Var_cap")*1,  (ISNUMBER(SEARCH("ITOT-SWHELCHP",[1]OUT_FinalEnergyCons!$A$4:$A$10000)))*1,[1]OUT_FinalEnergyCons!I$4:I$10000)</f>
        <v>0.44811205036336232</v>
      </c>
      <c r="L1865" s="1" cm="1">
        <f t="array" ref="L1865">SUMPRODUCT(([1]OUT_FinalEnergyCons!$B$4:$B$10000="Var_cap")*1,  (ISNUMBER(SEARCH("ITOT-SWHELCHP",[1]OUT_FinalEnergyCons!$A$4:$A$10000)))*1,[1]OUT_FinalEnergyCons!J$4:J$10000)</f>
        <v>0.66124162354753802</v>
      </c>
      <c r="M1865" s="1" cm="1">
        <f t="array" ref="M1865">SUMPRODUCT(([1]OUT_FinalEnergyCons!$B$4:$B$10000="Var_cap")*1,  (ISNUMBER(SEARCH("ITOT-SWHELCHP",[1]OUT_FinalEnergyCons!$A$4:$A$10000)))*1,[1]OUT_FinalEnergyCons!K$4:K$10000)</f>
        <v>0.69004823583486008</v>
      </c>
      <c r="N1865" s="1" cm="1">
        <f t="array" ref="N1865">SUMPRODUCT(([1]OUT_FinalEnergyCons!$B$4:$B$10000="Var_cap")*1,  (ISNUMBER(SEARCH("ITOT-SWHELCHP",[1]OUT_FinalEnergyCons!$A$4:$A$10000)))*1,[1]OUT_FinalEnergyCons!L$4:L$10000)</f>
        <v>0.72519665465794969</v>
      </c>
      <c r="O1865" s="1" cm="1">
        <f t="array" ref="O1865">SUMPRODUCT(([1]OUT_FinalEnergyCons!$B$4:$B$10000="Var_cap")*1,  (ISNUMBER(SEARCH("ITOT-SWHELCHP",[1]OUT_FinalEnergyCons!$A$4:$A$10000)))*1,[1]OUT_FinalEnergyCons!M$4:M$10000)</f>
        <v>0.72417241319187309</v>
      </c>
      <c r="P1865" s="1" cm="1">
        <f t="array" ref="P1865">SUMPRODUCT(([1]OUT_FinalEnergyCons!$B$4:$B$10000="Var_cap")*1,  (ISNUMBER(SEARCH("ITOT-SWHELCHP",[1]OUT_FinalEnergyCons!$A$4:$A$10000)))*1,[1]OUT_FinalEnergyCons!N$4:N$10000)</f>
        <v>0.71855769384619794</v>
      </c>
      <c r="Q1865" s="1" cm="1">
        <f t="array" ref="Q1865">SUMPRODUCT(([1]OUT_FinalEnergyCons!$B$4:$B$10000="Var_cap")*1,  (ISNUMBER(SEARCH("ITOT-SWHELCHP",[1]OUT_FinalEnergyCons!$A$4:$A$10000)))*1,[1]OUT_FinalEnergyCons!O$4:O$10000)</f>
        <v>0.718558971611724</v>
      </c>
      <c r="S1865" s="3"/>
    </row>
    <row r="1866" spans="2:19" x14ac:dyDescent="0.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2015"/>
        <v>GWth/yr.</v>
      </c>
      <c r="F1866" s="18">
        <f>SUM(F1867:F1868)</f>
        <v>0.47709692824393368</v>
      </c>
      <c r="G1866" s="18">
        <f t="shared" ref="G1866:K1866" si="2111">SUM(G1867:G1868)</f>
        <v>0.47710371773069815</v>
      </c>
      <c r="H1866" s="18">
        <f t="shared" si="2111"/>
        <v>0.37642867106595668</v>
      </c>
      <c r="I1866" s="18">
        <f t="shared" si="2111"/>
        <v>0.3763525349918459</v>
      </c>
      <c r="J1866" s="18">
        <f t="shared" si="2111"/>
        <v>0.2291214234783206</v>
      </c>
      <c r="K1866" s="18">
        <f t="shared" si="2111"/>
        <v>0.20805254078791732</v>
      </c>
      <c r="L1866" s="18">
        <f t="shared" ref="L1866:O1866" si="2112">SUM(L1867:L1868)</f>
        <v>0.12500625779472097</v>
      </c>
      <c r="M1866" s="18">
        <f t="shared" si="2112"/>
        <v>8.8934384499868943E-2</v>
      </c>
      <c r="N1866" s="18">
        <f t="shared" si="2112"/>
        <v>8.8462644704879564E-2</v>
      </c>
      <c r="O1866" s="18">
        <f t="shared" si="2112"/>
        <v>7.7233657488262983E-2</v>
      </c>
      <c r="P1866" s="18">
        <f>SUM(P1867:P1868)</f>
        <v>4.6744035939292848E-2</v>
      </c>
      <c r="Q1866" s="18">
        <f>SUM(Q1867:Q1868)</f>
        <v>4.2845173310444483E-2</v>
      </c>
      <c r="S1866" s="3"/>
    </row>
    <row r="1867" spans="2:19" x14ac:dyDescent="0.5">
      <c r="B1867" s="5" t="str">
        <f t="shared" ref="B1867:B1884" si="2113">B1866</f>
        <v>SPS1</v>
      </c>
      <c r="C1867" s="5" t="str">
        <f t="shared" ref="C1867:C1884" si="2114">C1866</f>
        <v>CH</v>
      </c>
      <c r="D1867" t="s">
        <v>2097</v>
      </c>
      <c r="E1867" t="str">
        <f t="shared" si="2015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0.37637029132342947</v>
      </c>
      <c r="H1867" s="1" cm="1">
        <f t="array" ref="H1867">SUMPRODUCT(([1]OUT_FinalEnergyCons!$B$4:$B$10000="Var_cap")*1,  (ISNUMBER(SEARCH("ITOT-SWHLFOBR",[1]OUT_FinalEnergyCons!$A$4:$A$10000)))*1,[1]OUT_FinalEnergyCons!F$4:F$10000)</f>
        <v>0.37636768997841769</v>
      </c>
      <c r="I1867" s="1" cm="1">
        <f t="array" ref="I1867">SUMPRODUCT(([1]OUT_FinalEnergyCons!$B$4:$B$10000="Var_cap")*1,  (ISNUMBER(SEARCH("ITOT-SWHLFOBR",[1]OUT_FinalEnergyCons!$A$4:$A$10000)))*1,[1]OUT_FinalEnergyCons!G$4:G$10000)</f>
        <v>0.37634382101601832</v>
      </c>
      <c r="J1867" s="1" cm="1">
        <f t="array" ref="J1867">SUMPRODUCT(([1]OUT_FinalEnergyCons!$B$4:$B$10000="Var_cap")*1,  (ISNUMBER(SEARCH("ITOT-SWHLFOBR",[1]OUT_FinalEnergyCons!$A$4:$A$10000)))*1,[1]OUT_FinalEnergyCons!H$4:H$10000)</f>
        <v>0.22911584444089289</v>
      </c>
      <c r="K1867" s="1" cm="1">
        <f t="array" ref="K1867">SUMPRODUCT(([1]OUT_FinalEnergyCons!$B$4:$B$10000="Var_cap")*1,  (ISNUMBER(SEARCH("ITOT-SWHLFOBR",[1]OUT_FinalEnergyCons!$A$4:$A$10000)))*1,[1]OUT_FinalEnergyCons!I$4:I$10000)</f>
        <v>0.20801552708204071</v>
      </c>
      <c r="L1867" s="1" cm="1">
        <f t="array" ref="L1867">SUMPRODUCT(([1]OUT_FinalEnergyCons!$B$4:$B$10000="Var_cap")*1,  (ISNUMBER(SEARCH("ITOT-SWHLFOBR",[1]OUT_FinalEnergyCons!$A$4:$A$10000)))*1,[1]OUT_FinalEnergyCons!J$4:J$10000)</f>
        <v>0.12498324606302789</v>
      </c>
      <c r="M1867" s="1" cm="1">
        <f t="array" ref="M1867">SUMPRODUCT(([1]OUT_FinalEnergyCons!$B$4:$B$10000="Var_cap")*1,  (ISNUMBER(SEARCH("ITOT-SWHLFOBR",[1]OUT_FinalEnergyCons!$A$4:$A$10000)))*1,[1]OUT_FinalEnergyCons!K$4:K$10000)</f>
        <v>8.8934384499868943E-2</v>
      </c>
      <c r="N1867" s="1" cm="1">
        <f t="array" ref="N1867">SUMPRODUCT(([1]OUT_FinalEnergyCons!$B$4:$B$10000="Var_cap")*1,  (ISNUMBER(SEARCH("ITOT-SWHLFOBR",[1]OUT_FinalEnergyCons!$A$4:$A$10000)))*1,[1]OUT_FinalEnergyCons!L$4:L$10000)</f>
        <v>8.8462644704879564E-2</v>
      </c>
      <c r="O1867" s="1" cm="1">
        <f t="array" ref="O1867">SUMPRODUCT(([1]OUT_FinalEnergyCons!$B$4:$B$10000="Var_cap")*1,  (ISNUMBER(SEARCH("ITOT-SWHLFOBR",[1]OUT_FinalEnergyCons!$A$4:$A$10000)))*1,[1]OUT_FinalEnergyCons!M$4:M$10000)</f>
        <v>7.7233657488262983E-2</v>
      </c>
      <c r="P1867" s="1" cm="1">
        <f t="array" ref="P1867">SUMPRODUCT(([1]OUT_FinalEnergyCons!$B$4:$B$10000="Var_cap")*1,  (ISNUMBER(SEARCH("ITOT-SWHLFOBR",[1]OUT_FinalEnergyCons!$A$4:$A$10000)))*1,[1]OUT_FinalEnergyCons!N$4:N$10000)</f>
        <v>4.6744035939292848E-2</v>
      </c>
      <c r="Q1867" s="1" cm="1">
        <f t="array" ref="Q1867">SUMPRODUCT(([1]OUT_FinalEnergyCons!$B$4:$B$10000="Var_cap")*1,  (ISNUMBER(SEARCH("ITOT-SWHLFOBR",[1]OUT_FinalEnergyCons!$A$4:$A$10000)))*1,[1]OUT_FinalEnergyCons!O$4:O$10000)</f>
        <v>4.2845173310444483E-2</v>
      </c>
      <c r="S1867" s="3"/>
    </row>
    <row r="1868" spans="2:19" x14ac:dyDescent="0.5">
      <c r="B1868" s="5" t="str">
        <f t="shared" si="2113"/>
        <v>SPS1</v>
      </c>
      <c r="C1868" s="5" t="str">
        <f t="shared" si="2114"/>
        <v>CH</v>
      </c>
      <c r="D1868" t="s">
        <v>2098</v>
      </c>
      <c r="E1868" t="str">
        <f t="shared" si="2015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0.10076148861310168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0.10073342640726866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6.0981087538991563E-5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8.7139758275928125E-6</v>
      </c>
      <c r="J1868" s="1" cm="1">
        <f t="array" ref="J1868">IF(SUMPRODUCT(([1]OUT_FinalEnergyCons!$B$4:$B$10000="Var_cap")*1,  (ISNUMBER(SEARCH("ITOT-SWHHFOBR",[1]OUT_FinalEnergyCons!$A$4:$A$10000)))*1,[1]OUT_FinalEnergyCons!H$4:H$10000)&lt;0,0,SUMPRODUCT(([1]OUT_FinalEnergyCons!$B$4:$B$10000="Var_cap")*1,  (ISNUMBER(SEARCH("ITOT-SWHHFOBR",[1]OUT_FinalEnergyCons!$A$4:$A$10000)))*1,[1]OUT_FinalEnergyCons!H$4:H$10000))</f>
        <v>5.5790374277088495E-6</v>
      </c>
      <c r="K1868" s="1" cm="1">
        <f t="array" ref="K1868">IF(SUMPRODUCT(([1]OUT_FinalEnergyCons!$B$4:$B$10000="Var_cap")*1,  (ISNUMBER(SEARCH("ITOT-SWHHFOBR",[1]OUT_FinalEnergyCons!$A$4:$A$10000)))*1,[1]OUT_FinalEnergyCons!I$4:I$10000)&lt;0,0,SUMPRODUCT(([1]OUT_FinalEnergyCons!$B$4:$B$10000="Var_cap")*1,  (ISNUMBER(SEARCH("ITOT-SWHHFOBR",[1]OUT_FinalEnergyCons!$A$4:$A$10000)))*1,[1]OUT_FinalEnergyCons!I$4:I$10000))</f>
        <v>3.7013705876597068E-5</v>
      </c>
      <c r="L1868" s="1" cm="1">
        <f t="array" ref="L1868">IF(SUMPRODUCT(([1]OUT_FinalEnergyCons!$B$4:$B$10000="Var_cap")*1,  (ISNUMBER(SEARCH("ITOT-SWHHFOBR",[1]OUT_FinalEnergyCons!$A$4:$A$10000)))*1,[1]OUT_FinalEnergyCons!J$4:J$10000)&lt;0,0,SUMPRODUCT(([1]OUT_FinalEnergyCons!$B$4:$B$10000="Var_cap")*1,  (ISNUMBER(SEARCH("ITOT-SWHHFOBR",[1]OUT_FinalEnergyCons!$A$4:$A$10000)))*1,[1]OUT_FinalEnergyCons!J$4:J$10000))</f>
        <v>2.3011731693074301E-5</v>
      </c>
      <c r="M1868" s="1" cm="1">
        <f t="array" ref="M1868">IF(SUMPRODUCT(([1]OUT_FinalEnergyCons!$B$4:$B$10000="Var_cap")*1,  (ISNUMBER(SEARCH("ITOT-SWHHFOBR",[1]OUT_FinalEnergyCons!$A$4:$A$10000)))*1,[1]OUT_FinalEnergyCons!K$4:K$10000)&lt;0,0,SUMPRODUCT(([1]OUT_FinalEnergyCons!$B$4:$B$10000="Var_cap")*1,  (ISNUMBER(SEARCH("ITOT-SWHHFOBR",[1]OUT_FinalEnergyCons!$A$4:$A$10000)))*1,[1]OUT_FinalEnergyCons!K$4:K$10000))</f>
        <v>0</v>
      </c>
      <c r="N1868" s="1" cm="1">
        <f t="array" ref="N1868">IF(SUMPRODUCT(([1]OUT_FinalEnergyCons!$B$4:$B$10000="Var_cap")*1,  (ISNUMBER(SEARCH("ITOT-SWHHFOBR",[1]OUT_FinalEnergyCons!$A$4:$A$10000)))*1,[1]OUT_FinalEnergyCons!L$4:L$10000)&lt;0,0,SUMPRODUCT(([1]OUT_FinalEnergyCons!$B$4:$B$10000="Var_cap")*1,  (ISNUMBER(SEARCH("ITOT-SWHHFOBR",[1]OUT_FinalEnergyCons!$A$4:$A$10000)))*1,[1]OUT_FinalEnergyCons!L$4:L$10000))</f>
        <v>0</v>
      </c>
      <c r="O1868" s="1" cm="1">
        <f t="array" ref="O1868">IF(SUMPRODUCT(([1]OUT_FinalEnergyCons!$B$4:$B$10000="Var_cap")*1,  (ISNUMBER(SEARCH("ITOT-SWHHFOBR",[1]OUT_FinalEnergyCons!$A$4:$A$10000)))*1,[1]OUT_FinalEnergyCons!M$4:M$10000)&lt;0,0,SUMPRODUCT(([1]OUT_FinalEnergyCons!$B$4:$B$10000="Var_cap")*1,  (ISNUMBER(SEARCH("ITOT-SWHHFOBR",[1]OUT_FinalEnergyCons!$A$4:$A$10000)))*1,[1]OUT_FinalEnergyCons!M$4:M$10000))</f>
        <v>0</v>
      </c>
      <c r="P1868" s="1" cm="1">
        <f t="array" ref="P1868">IF(SUMPRODUCT(([1]OUT_FinalEnergyCons!$B$4:$B$10000="Var_cap")*1,  (ISNUMBER(SEARCH("ITOT-SWHHFOBR",[1]OUT_FinalEnergyCons!$A$4:$A$10000)))*1,[1]OUT_FinalEnergyCons!N$4:N$10000)&lt;0,0,SUMPRODUCT(([1]OUT_FinalEnergyCons!$B$4:$B$10000="Var_cap")*1,  (ISNUMBER(SEARCH("ITOT-SWHHFOBR",[1]OUT_FinalEnergyCons!$A$4:$A$10000)))*1,[1]OUT_FinalEnergyCons!N$4:N$10000))</f>
        <v>0</v>
      </c>
      <c r="Q1868" s="1" cm="1">
        <f t="array" ref="Q1868">IF(SUMPRODUCT(([1]OUT_FinalEnergyCons!$B$4:$B$10000="Var_cap")*1,  (ISNUMBER(SEARCH("ITOT-SWHHFOBR",[1]OUT_FinalEnergyCons!$A$4:$A$10000)))*1,[1]OUT_FinalEnergyCons!O$4:O$10000)&lt;0,0,SUMPRODUCT(([1]OUT_FinalEnergyCons!$B$4:$B$10000="Var_cap")*1,  (ISNUMBER(SEARCH("ITOT-SWHHFOBR",[1]OUT_FinalEnergyCons!$A$4:$A$10000)))*1,[1]OUT_FinalEnergyCons!O$4:O$10000))</f>
        <v>0</v>
      </c>
      <c r="S1868" s="3"/>
    </row>
    <row r="1869" spans="2:19" x14ac:dyDescent="0.5">
      <c r="B1869" s="5" t="str">
        <f t="shared" si="2113"/>
        <v>SPS1</v>
      </c>
      <c r="C1869" s="5" t="str">
        <f t="shared" si="2114"/>
        <v>CH</v>
      </c>
      <c r="D1869" t="s">
        <v>2099</v>
      </c>
      <c r="E1869" t="str">
        <f t="shared" si="2015"/>
        <v>GWth/yr.</v>
      </c>
      <c r="F1869" s="18">
        <f>SUM(F1870:F1871)</f>
        <v>1.556581895256</v>
      </c>
      <c r="G1869" s="18">
        <f t="shared" ref="G1869:K1869" si="2115">SUM(G1870:G1871)</f>
        <v>1.5567419151009529</v>
      </c>
      <c r="H1869" s="18">
        <f t="shared" si="2115"/>
        <v>1.556742188892978</v>
      </c>
      <c r="I1869" s="18">
        <f t="shared" si="2115"/>
        <v>1.4244291404208114</v>
      </c>
      <c r="J1869" s="18">
        <f t="shared" si="2115"/>
        <v>0.7724751646811554</v>
      </c>
      <c r="K1869" s="18">
        <f t="shared" si="2115"/>
        <v>0.7326994049505724</v>
      </c>
      <c r="L1869" s="18">
        <f t="shared" ref="L1869:O1869" si="2116">SUM(L1870:L1871)</f>
        <v>0.65727081731427583</v>
      </c>
      <c r="M1869" s="18">
        <f t="shared" si="2116"/>
        <v>0.13383069287637916</v>
      </c>
      <c r="N1869" s="18">
        <f t="shared" si="2116"/>
        <v>3.8688636823736224E-2</v>
      </c>
      <c r="O1869" s="18">
        <f t="shared" si="2116"/>
        <v>5.2603152922189651E-2</v>
      </c>
      <c r="P1869" s="18">
        <f>SUM(P1870:P1871)</f>
        <v>4.5978539110874982E-2</v>
      </c>
      <c r="Q1869" s="18">
        <f>SUM(Q1870:Q1871)</f>
        <v>3.4569280204151724E-2</v>
      </c>
      <c r="S1869" s="3"/>
    </row>
    <row r="1870" spans="2:19" x14ac:dyDescent="0.5">
      <c r="B1870" s="5" t="str">
        <f t="shared" si="2113"/>
        <v>SPS1</v>
      </c>
      <c r="C1870" s="5" t="str">
        <f t="shared" si="2114"/>
        <v>CH</v>
      </c>
      <c r="D1870" t="s">
        <v>2100</v>
      </c>
      <c r="E1870" t="str">
        <f t="shared" si="2015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1.5565827815336739</v>
      </c>
      <c r="H1870" s="1" cm="1">
        <f t="array" ref="H1870">SUMPRODUCT(([1]OUT_FinalEnergyCons!$B$4:$B$10000="Var_cap")*1,  (ISNUMBER(SEARCH("ITOT-SWHNGA*BR",[1]OUT_FinalEnergyCons!$A$4:$A$10000)))*1,[1]OUT_FinalEnergyCons!F$4:F$10000)</f>
        <v>1.5565816965959407</v>
      </c>
      <c r="I1870" s="1" cm="1">
        <f t="array" ref="I1870">SUMPRODUCT(([1]OUT_FinalEnergyCons!$B$4:$B$10000="Var_cap")*1,  (ISNUMBER(SEARCH("ITOT-SWHNGA*BR",[1]OUT_FinalEnergyCons!$A$4:$A$10000)))*1,[1]OUT_FinalEnergyCons!G$4:G$10000)</f>
        <v>1.4243101857228628</v>
      </c>
      <c r="J1870" s="1" cm="1">
        <f t="array" ref="J1870">SUMPRODUCT(([1]OUT_FinalEnergyCons!$B$4:$B$10000="Var_cap")*1,  (ISNUMBER(SEARCH("ITOT-SWHNGA*BR",[1]OUT_FinalEnergyCons!$A$4:$A$10000)))*1,[1]OUT_FinalEnergyCons!H$4:H$10000)</f>
        <v>0.77237964479022692</v>
      </c>
      <c r="K1870" s="1" cm="1">
        <f t="array" ref="K1870">SUMPRODUCT(([1]OUT_FinalEnergyCons!$B$4:$B$10000="Var_cap")*1,  (ISNUMBER(SEARCH("ITOT-SWHNGA*BR",[1]OUT_FinalEnergyCons!$A$4:$A$10000)))*1,[1]OUT_FinalEnergyCons!I$4:I$10000)</f>
        <v>0.68615388316580117</v>
      </c>
      <c r="L1870" s="1" cm="1">
        <f t="array" ref="L1870">SUMPRODUCT(([1]OUT_FinalEnergyCons!$B$4:$B$10000="Var_cap")*1,  (ISNUMBER(SEARCH("ITOT-SWHNGA*BR",[1]OUT_FinalEnergyCons!$A$4:$A$10000)))*1,[1]OUT_FinalEnergyCons!J$4:J$10000)</f>
        <v>0.61072216999280049</v>
      </c>
      <c r="M1870" s="1" cm="1">
        <f t="array" ref="M1870">SUMPRODUCT(([1]OUT_FinalEnergyCons!$B$4:$B$10000="Var_cap")*1,  (ISNUMBER(SEARCH("ITOT-SWHNGA*BR",[1]OUT_FinalEnergyCons!$A$4:$A$10000)))*1,[1]OUT_FinalEnergyCons!K$4:K$10000)</f>
        <v>8.7315517613513E-2</v>
      </c>
      <c r="N1870" s="1" cm="1">
        <f t="array" ref="N1870">SUMPRODUCT(([1]OUT_FinalEnergyCons!$B$4:$B$10000="Var_cap")*1,  (ISNUMBER(SEARCH("ITOT-SWHNGA*BR",[1]OUT_FinalEnergyCons!$A$4:$A$10000)))*1,[1]OUT_FinalEnergyCons!L$4:L$10000)</f>
        <v>3.1533922053323803E-2</v>
      </c>
      <c r="O1870" s="1" cm="1">
        <f t="array" ref="O1870">SUMPRODUCT(([1]OUT_FinalEnergyCons!$B$4:$B$10000="Var_cap")*1,  (ISNUMBER(SEARCH("ITOT-SWHNGA*BR",[1]OUT_FinalEnergyCons!$A$4:$A$10000)))*1,[1]OUT_FinalEnergyCons!M$4:M$10000)</f>
        <v>5.1582972630949797E-2</v>
      </c>
      <c r="P1870" s="1" cm="1">
        <f t="array" ref="P1870">SUMPRODUCT(([1]OUT_FinalEnergyCons!$B$4:$B$10000="Var_cap")*1,  (ISNUMBER(SEARCH("ITOT-SWHNGA*BR",[1]OUT_FinalEnergyCons!$A$4:$A$10000)))*1,[1]OUT_FinalEnergyCons!N$4:N$10000)</f>
        <v>4.4951292451618205E-2</v>
      </c>
      <c r="Q1870" s="1" cm="1">
        <f t="array" ref="Q1870">SUMPRODUCT(([1]OUT_FinalEnergyCons!$B$4:$B$10000="Var_cap")*1,  (ISNUMBER(SEARCH("ITOT-SWHNGA*BR",[1]OUT_FinalEnergyCons!$A$4:$A$10000)))*1,[1]OUT_FinalEnergyCons!O$4:O$10000)</f>
        <v>3.3426408686212231E-2</v>
      </c>
      <c r="S1870" s="3"/>
    </row>
    <row r="1871" spans="2:19" x14ac:dyDescent="0.5">
      <c r="B1871" s="5" t="str">
        <f t="shared" si="2113"/>
        <v>SPS1</v>
      </c>
      <c r="C1871" s="5" t="str">
        <f t="shared" si="2114"/>
        <v>CH</v>
      </c>
      <c r="D1871" t="s">
        <v>2101</v>
      </c>
      <c r="E1871" t="str">
        <f t="shared" si="2015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1.5913356727910701E-4</v>
      </c>
      <c r="H1871" s="1" cm="1">
        <f t="array" ref="H1871">SUMPRODUCT(([1]OUT_FinalEnergyCons!$B$4:$B$10000="Var_cap")*1,  (ISNUMBER(SEARCH("ITOT-SWHNGAHP",[1]OUT_FinalEnergyCons!$A$4:$A$10000)))*1,[1]OUT_FinalEnergyCons!F$4:F$10000)</f>
        <v>1.6049229703738032E-4</v>
      </c>
      <c r="I1871" s="1" cm="1">
        <f t="array" ref="I1871">SUMPRODUCT(([1]OUT_FinalEnergyCons!$B$4:$B$10000="Var_cap")*1,  (ISNUMBER(SEARCH("ITOT-SWHNGAHP",[1]OUT_FinalEnergyCons!$A$4:$A$10000)))*1,[1]OUT_FinalEnergyCons!G$4:G$10000)</f>
        <v>1.189546979485637E-4</v>
      </c>
      <c r="J1871" s="1" cm="1">
        <f t="array" ref="J1871">SUMPRODUCT(([1]OUT_FinalEnergyCons!$B$4:$B$10000="Var_cap")*1,  (ISNUMBER(SEARCH("ITOT-SWHNGAHP",[1]OUT_FinalEnergyCons!$A$4:$A$10000)))*1,[1]OUT_FinalEnergyCons!H$4:H$10000)</f>
        <v>9.5519890928447897E-5</v>
      </c>
      <c r="K1871" s="1" cm="1">
        <f t="array" ref="K1871">SUMPRODUCT(([1]OUT_FinalEnergyCons!$B$4:$B$10000="Var_cap")*1,  (ISNUMBER(SEARCH("ITOT-SWHNGAHP",[1]OUT_FinalEnergyCons!$A$4:$A$10000)))*1,[1]OUT_FinalEnergyCons!I$4:I$10000)</f>
        <v>4.6545521784771275E-2</v>
      </c>
      <c r="L1871" s="1" cm="1">
        <f t="array" ref="L1871">SUMPRODUCT(([1]OUT_FinalEnergyCons!$B$4:$B$10000="Var_cap")*1,  (ISNUMBER(SEARCH("ITOT-SWHNGAHP",[1]OUT_FinalEnergyCons!$A$4:$A$10000)))*1,[1]OUT_FinalEnergyCons!J$4:J$10000)</f>
        <v>4.6548647321475393E-2</v>
      </c>
      <c r="M1871" s="1" cm="1">
        <f t="array" ref="M1871">SUMPRODUCT(([1]OUT_FinalEnergyCons!$B$4:$B$10000="Var_cap")*1,  (ISNUMBER(SEARCH("ITOT-SWHNGAHP",[1]OUT_FinalEnergyCons!$A$4:$A$10000)))*1,[1]OUT_FinalEnergyCons!K$4:K$10000)</f>
        <v>4.6515175262866172E-2</v>
      </c>
      <c r="N1871" s="1" cm="1">
        <f t="array" ref="N1871">SUMPRODUCT(([1]OUT_FinalEnergyCons!$B$4:$B$10000="Var_cap")*1,  (ISNUMBER(SEARCH("ITOT-SWHNGAHP",[1]OUT_FinalEnergyCons!$A$4:$A$10000)))*1,[1]OUT_FinalEnergyCons!L$4:L$10000)</f>
        <v>7.15471477041242E-3</v>
      </c>
      <c r="O1871" s="1" cm="1">
        <f t="array" ref="O1871">SUMPRODUCT(([1]OUT_FinalEnergyCons!$B$4:$B$10000="Var_cap")*1,  (ISNUMBER(SEARCH("ITOT-SWHNGAHP",[1]OUT_FinalEnergyCons!$A$4:$A$10000)))*1,[1]OUT_FinalEnergyCons!M$4:M$10000)</f>
        <v>1.0201802912398531E-3</v>
      </c>
      <c r="P1871" s="1" cm="1">
        <f t="array" ref="P1871">SUMPRODUCT(([1]OUT_FinalEnergyCons!$B$4:$B$10000="Var_cap")*1,  (ISNUMBER(SEARCH("ITOT-SWHNGAHP",[1]OUT_FinalEnergyCons!$A$4:$A$10000)))*1,[1]OUT_FinalEnergyCons!N$4:N$10000)</f>
        <v>1.0272466592567793E-3</v>
      </c>
      <c r="Q1871" s="1" cm="1">
        <f t="array" ref="Q1871">SUMPRODUCT(([1]OUT_FinalEnergyCons!$B$4:$B$10000="Var_cap")*1,  (ISNUMBER(SEARCH("ITOT-SWHNGAHP",[1]OUT_FinalEnergyCons!$A$4:$A$10000)))*1,[1]OUT_FinalEnergyCons!O$4:O$10000)</f>
        <v>1.1428715179394918E-3</v>
      </c>
      <c r="S1871" s="3"/>
    </row>
    <row r="1872" spans="2:19" x14ac:dyDescent="0.5">
      <c r="B1872" s="5" t="str">
        <f t="shared" si="2113"/>
        <v>SPS1</v>
      </c>
      <c r="C1872" s="5" t="str">
        <f t="shared" si="2114"/>
        <v>CH</v>
      </c>
      <c r="D1872" t="s">
        <v>2102</v>
      </c>
      <c r="E1872" t="str">
        <f t="shared" si="2015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2.5250380248942498E-2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0.12902323517181544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0.24495095728755323</v>
      </c>
      <c r="J1872" s="1" cm="1">
        <f t="array" ref="J1872">SUMPRODUCT(([1]OUT_FinalEnergyCons!$B$4:$B$10000="Var_cap")*1,  (("ITOT-SWHBIOBR"=[1]OUT_FinalEnergyCons!$A$4:$A$10000)*1+("ITOT-SWHBNGABR"=[1]OUT_FinalEnergyCons!$A$4:$A$10000))*1,[1]OUT_FinalEnergyCons!H$4:H$10000)</f>
        <v>0.2624283340665613</v>
      </c>
      <c r="K1872" s="1" cm="1">
        <f t="array" ref="K1872">SUMPRODUCT(([1]OUT_FinalEnergyCons!$B$4:$B$10000="Var_cap")*1,  (("ITOT-SWHBIOBR"=[1]OUT_FinalEnergyCons!$A$4:$A$10000)*1+("ITOT-SWHBNGABR"=[1]OUT_FinalEnergyCons!$A$4:$A$10000))*1,[1]OUT_FinalEnergyCons!I$4:I$10000)</f>
        <v>0.38119613253973661</v>
      </c>
      <c r="L1872" s="1" cm="1">
        <f t="array" ref="L1872">SUMPRODUCT(([1]OUT_FinalEnergyCons!$B$4:$B$10000="Var_cap")*1,  (("ITOT-SWHBIOBR"=[1]OUT_FinalEnergyCons!$A$4:$A$10000)*1+("ITOT-SWHBNGABR"=[1]OUT_FinalEnergyCons!$A$4:$A$10000))*1,[1]OUT_FinalEnergyCons!J$4:J$10000)</f>
        <v>0.30843867192473978</v>
      </c>
      <c r="M1872" s="1" cm="1">
        <f t="array" ref="M1872">SUMPRODUCT(([1]OUT_FinalEnergyCons!$B$4:$B$10000="Var_cap")*1,  (("ITOT-SWHBIOBR"=[1]OUT_FinalEnergyCons!$A$4:$A$10000)*1+("ITOT-SWHBNGABR"=[1]OUT_FinalEnergyCons!$A$4:$A$10000))*1,[1]OUT_FinalEnergyCons!K$4:K$10000)</f>
        <v>0.32830013420400539</v>
      </c>
      <c r="N1872" s="1" cm="1">
        <f t="array" ref="N1872">SUMPRODUCT(([1]OUT_FinalEnergyCons!$B$4:$B$10000="Var_cap")*1,  (("ITOT-SWHBIOBR"=[1]OUT_FinalEnergyCons!$A$4:$A$10000)*1+("ITOT-SWHBNGABR"=[1]OUT_FinalEnergyCons!$A$4:$A$10000))*1,[1]OUT_FinalEnergyCons!L$4:L$10000)</f>
        <v>0.31880183770172837</v>
      </c>
      <c r="O1872" s="1" cm="1">
        <f t="array" ref="O1872">SUMPRODUCT(([1]OUT_FinalEnergyCons!$B$4:$B$10000="Var_cap")*1,  (("ITOT-SWHBIOBR"=[1]OUT_FinalEnergyCons!$A$4:$A$10000)*1+("ITOT-SWHBNGABR"=[1]OUT_FinalEnergyCons!$A$4:$A$10000))*1,[1]OUT_FinalEnergyCons!M$4:M$10000)</f>
        <v>0.30519783522909716</v>
      </c>
      <c r="P1872" s="1" cm="1">
        <f t="array" ref="P1872">SUMPRODUCT(([1]OUT_FinalEnergyCons!$B$4:$B$10000="Var_cap")*1,  (("ITOT-SWHBIOBR"=[1]OUT_FinalEnergyCons!$A$4:$A$10000)*1+("ITOT-SWHBNGABR"=[1]OUT_FinalEnergyCons!$A$4:$A$10000))*1,[1]OUT_FinalEnergyCons!N$4:N$10000)</f>
        <v>0.28528804327573715</v>
      </c>
      <c r="Q1872" s="1" cm="1">
        <f t="array" ref="Q1872">SUMPRODUCT(([1]OUT_FinalEnergyCons!$B$4:$B$10000="Var_cap")*1,  (("ITOT-SWHBIOBR"=[1]OUT_FinalEnergyCons!$A$4:$A$10000)*1+("ITOT-SWHBNGABR"=[1]OUT_FinalEnergyCons!$A$4:$A$10000))*1,[1]OUT_FinalEnergyCons!O$4:O$10000)</f>
        <v>0.27845059512260273</v>
      </c>
      <c r="S1872" s="3"/>
    </row>
    <row r="1873" spans="2:19" x14ac:dyDescent="0.5">
      <c r="B1873" s="5" t="str">
        <f t="shared" si="2113"/>
        <v>SPS1</v>
      </c>
      <c r="C1873" s="5" t="str">
        <f t="shared" si="2114"/>
        <v>CH</v>
      </c>
      <c r="D1873" t="s">
        <v>2103</v>
      </c>
      <c r="E1873" t="str">
        <f t="shared" si="2015"/>
        <v>GWth/yr.</v>
      </c>
      <c r="F1873" s="1">
        <f>F1874</f>
        <v>0.26172155007150499</v>
      </c>
      <c r="G1873" s="1">
        <f t="shared" ref="G1873:O1873" si="2117">G1874</f>
        <v>0.1339024934567844</v>
      </c>
      <c r="H1873" s="1">
        <f t="shared" si="2117"/>
        <v>2.9967653482057155E-2</v>
      </c>
      <c r="I1873" s="1">
        <f t="shared" si="2117"/>
        <v>6.6065767894696314E-6</v>
      </c>
      <c r="J1873" s="1">
        <f t="shared" si="2117"/>
        <v>3.8966371151832879E-6</v>
      </c>
      <c r="K1873" s="1">
        <f t="shared" si="2117"/>
        <v>2.8370549155403779E-5</v>
      </c>
      <c r="L1873" s="1">
        <f t="shared" si="2117"/>
        <v>1.5936352176662298E-5</v>
      </c>
      <c r="M1873" s="1">
        <f t="shared" si="2117"/>
        <v>8.7056730812285994E-6</v>
      </c>
      <c r="N1873" s="1">
        <f t="shared" si="2117"/>
        <v>1.1220890955941739E-5</v>
      </c>
      <c r="O1873" s="1">
        <f t="shared" si="2117"/>
        <v>6.9640550618175811E-6</v>
      </c>
      <c r="P1873" s="1">
        <f>P1874</f>
        <v>7.7487483564827814E-6</v>
      </c>
      <c r="Q1873" s="1">
        <f>Q1874</f>
        <v>3.3936373674066001E-6</v>
      </c>
      <c r="S1873" s="3"/>
    </row>
    <row r="1874" spans="2:19" x14ac:dyDescent="0.5">
      <c r="B1874" s="5" t="str">
        <f t="shared" si="2113"/>
        <v>SPS1</v>
      </c>
      <c r="C1874" s="5" t="str">
        <f t="shared" si="2114"/>
        <v>CH</v>
      </c>
      <c r="D1874" t="s">
        <v>2104</v>
      </c>
      <c r="E1874" t="str">
        <f t="shared" si="2015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0.1339024934567844</v>
      </c>
      <c r="H1874" s="1" cm="1">
        <f t="array" ref="H1874">SUMPRODUCT(([1]OUT_FinalEnergyCons!$B$4:$B$10000="Var_cap")*1,  (ISNUMBER(SEARCH("ITOT-SWHCOA*BR",[1]OUT_FinalEnergyCons!$A$4:$A$10000)))*1,[1]OUT_FinalEnergyCons!F$4:F$10000)</f>
        <v>2.9967653482057155E-2</v>
      </c>
      <c r="I1874" s="1" cm="1">
        <f t="array" ref="I1874">SUMPRODUCT(([1]OUT_FinalEnergyCons!$B$4:$B$10000="Var_cap")*1,  (ISNUMBER(SEARCH("ITOT-SWHCOA*BR",[1]OUT_FinalEnergyCons!$A$4:$A$10000)))*1,[1]OUT_FinalEnergyCons!G$4:G$10000)</f>
        <v>6.6065767894696314E-6</v>
      </c>
      <c r="J1874" s="1" cm="1">
        <f t="array" ref="J1874">SUMPRODUCT(([1]OUT_FinalEnergyCons!$B$4:$B$10000="Var_cap")*1,  (ISNUMBER(SEARCH("ITOT-SWHCOA*BR",[1]OUT_FinalEnergyCons!$A$4:$A$10000)))*1,[1]OUT_FinalEnergyCons!H$4:H$10000)</f>
        <v>3.8966371151832879E-6</v>
      </c>
      <c r="K1874" s="1" cm="1">
        <f t="array" ref="K1874">SUMPRODUCT(([1]OUT_FinalEnergyCons!$B$4:$B$10000="Var_cap")*1,  (ISNUMBER(SEARCH("ITOT-SWHCOA*BR",[1]OUT_FinalEnergyCons!$A$4:$A$10000)))*1,[1]OUT_FinalEnergyCons!I$4:I$10000)</f>
        <v>2.8370549155403779E-5</v>
      </c>
      <c r="L1874" s="1" cm="1">
        <f t="array" ref="L1874">SUMPRODUCT(([1]OUT_FinalEnergyCons!$B$4:$B$10000="Var_cap")*1,  (ISNUMBER(SEARCH("ITOT-SWHCOA*BR",[1]OUT_FinalEnergyCons!$A$4:$A$10000)))*1,[1]OUT_FinalEnergyCons!J$4:J$10000)</f>
        <v>1.5936352176662298E-5</v>
      </c>
      <c r="M1874" s="1" cm="1">
        <f t="array" ref="M1874">SUMPRODUCT(([1]OUT_FinalEnergyCons!$B$4:$B$10000="Var_cap")*1,  (ISNUMBER(SEARCH("ITOT-SWHCOA*BR",[1]OUT_FinalEnergyCons!$A$4:$A$10000)))*1,[1]OUT_FinalEnergyCons!K$4:K$10000)</f>
        <v>8.7056730812285994E-6</v>
      </c>
      <c r="N1874" s="1" cm="1">
        <f t="array" ref="N1874">SUMPRODUCT(([1]OUT_FinalEnergyCons!$B$4:$B$10000="Var_cap")*1,  (ISNUMBER(SEARCH("ITOT-SWHCOA*BR",[1]OUT_FinalEnergyCons!$A$4:$A$10000)))*1,[1]OUT_FinalEnergyCons!L$4:L$10000)</f>
        <v>1.1220890955941739E-5</v>
      </c>
      <c r="O1874" s="1" cm="1">
        <f t="array" ref="O1874">SUMPRODUCT(([1]OUT_FinalEnergyCons!$B$4:$B$10000="Var_cap")*1,  (ISNUMBER(SEARCH("ITOT-SWHCOA*BR",[1]OUT_FinalEnergyCons!$A$4:$A$10000)))*1,[1]OUT_FinalEnergyCons!M$4:M$10000)</f>
        <v>6.9640550618175811E-6</v>
      </c>
      <c r="P1874" s="1" cm="1">
        <f t="array" ref="P1874">SUMPRODUCT(([1]OUT_FinalEnergyCons!$B$4:$B$10000="Var_cap")*1,  (ISNUMBER(SEARCH("ITOT-SWHCOA*BR",[1]OUT_FinalEnergyCons!$A$4:$A$10000)))*1,[1]OUT_FinalEnergyCons!N$4:N$10000)</f>
        <v>7.7487483564827814E-6</v>
      </c>
      <c r="Q1874" s="1" cm="1">
        <f t="array" ref="Q1874">SUMPRODUCT(([1]OUT_FinalEnergyCons!$B$4:$B$10000="Var_cap")*1,  (ISNUMBER(SEARCH("ITOT-SWHCOA*BR",[1]OUT_FinalEnergyCons!$A$4:$A$10000)))*1,[1]OUT_FinalEnergyCons!O$4:O$10000)</f>
        <v>3.3936373674066001E-6</v>
      </c>
      <c r="S1874" s="3"/>
    </row>
    <row r="1875" spans="2:19" x14ac:dyDescent="0.5">
      <c r="B1875" s="5" t="str">
        <f t="shared" si="2113"/>
        <v>SPS1</v>
      </c>
      <c r="C1875" s="5" t="str">
        <f t="shared" si="2114"/>
        <v>CH</v>
      </c>
      <c r="D1875" t="s">
        <v>2105</v>
      </c>
      <c r="E1875" t="str">
        <f t="shared" si="2015"/>
        <v>GWth/yr.</v>
      </c>
      <c r="F1875" s="1">
        <f>F1876</f>
        <v>0.28883369534761499</v>
      </c>
      <c r="G1875" s="1">
        <f t="shared" ref="G1875:O1875" si="2118">G1876</f>
        <v>0.34098634496094593</v>
      </c>
      <c r="H1875" s="1">
        <f t="shared" si="2118"/>
        <v>0.34099047035644203</v>
      </c>
      <c r="I1875" s="1">
        <f t="shared" si="2118"/>
        <v>0.37073771234164749</v>
      </c>
      <c r="J1875" s="1">
        <f t="shared" si="2118"/>
        <v>0.41978106728386189</v>
      </c>
      <c r="K1875" s="1">
        <f t="shared" si="2118"/>
        <v>0.35037906008720604</v>
      </c>
      <c r="L1875" s="1">
        <f t="shared" si="2118"/>
        <v>0.36375115012178794</v>
      </c>
      <c r="M1875" s="1">
        <f t="shared" si="2118"/>
        <v>0.36920270637937791</v>
      </c>
      <c r="N1875" s="1">
        <f t="shared" si="2118"/>
        <v>0.36455988111888554</v>
      </c>
      <c r="O1875" s="1">
        <f t="shared" si="2118"/>
        <v>0.40238250187402808</v>
      </c>
      <c r="P1875" s="1">
        <f>P1876</f>
        <v>0.35920843938049268</v>
      </c>
      <c r="Q1875" s="1">
        <f>Q1876</f>
        <v>0.35502727810195889</v>
      </c>
      <c r="S1875" s="3"/>
    </row>
    <row r="1876" spans="2:19" x14ac:dyDescent="0.5">
      <c r="B1876" s="5" t="str">
        <f t="shared" si="2113"/>
        <v>SPS1</v>
      </c>
      <c r="C1876" s="5" t="str">
        <f t="shared" si="2114"/>
        <v>CH</v>
      </c>
      <c r="D1876" t="s">
        <v>2106</v>
      </c>
      <c r="E1876" t="str">
        <f t="shared" si="2015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0.34098634496094593</v>
      </c>
      <c r="H1876" s="1" cm="1">
        <f t="array" ref="H1876">SUMPRODUCT(([1]OUT_FinalEnergyCons!$B$4:$B$10000="Var_cap")*1,  (ISNUMBER(SEARCH("ITOT-SWHWOD*BR",[1]OUT_FinalEnergyCons!$A$4:$A$10000)))*1,[1]OUT_FinalEnergyCons!F$4:F$10000)</f>
        <v>0.34099047035644203</v>
      </c>
      <c r="I1876" s="1" cm="1">
        <f t="array" ref="I1876">SUMPRODUCT(([1]OUT_FinalEnergyCons!$B$4:$B$10000="Var_cap")*1,  (ISNUMBER(SEARCH("ITOT-SWHWOD*BR",[1]OUT_FinalEnergyCons!$A$4:$A$10000)))*1,[1]OUT_FinalEnergyCons!G$4:G$10000)</f>
        <v>0.37073771234164749</v>
      </c>
      <c r="J1876" s="1" cm="1">
        <f t="array" ref="J1876">SUMPRODUCT(([1]OUT_FinalEnergyCons!$B$4:$B$10000="Var_cap")*1,  (ISNUMBER(SEARCH("ITOT-SWHWOD*BR",[1]OUT_FinalEnergyCons!$A$4:$A$10000)))*1,[1]OUT_FinalEnergyCons!H$4:H$10000)</f>
        <v>0.41978106728386189</v>
      </c>
      <c r="K1876" s="1" cm="1">
        <f t="array" ref="K1876">SUMPRODUCT(([1]OUT_FinalEnergyCons!$B$4:$B$10000="Var_cap")*1,  (ISNUMBER(SEARCH("ITOT-SWHWOD*BR",[1]OUT_FinalEnergyCons!$A$4:$A$10000)))*1,[1]OUT_FinalEnergyCons!I$4:I$10000)</f>
        <v>0.35037906008720604</v>
      </c>
      <c r="L1876" s="1" cm="1">
        <f t="array" ref="L1876">SUMPRODUCT(([1]OUT_FinalEnergyCons!$B$4:$B$10000="Var_cap")*1,  (ISNUMBER(SEARCH("ITOT-SWHWOD*BR",[1]OUT_FinalEnergyCons!$A$4:$A$10000)))*1,[1]OUT_FinalEnergyCons!J$4:J$10000)</f>
        <v>0.36375115012178794</v>
      </c>
      <c r="M1876" s="1" cm="1">
        <f t="array" ref="M1876">SUMPRODUCT(([1]OUT_FinalEnergyCons!$B$4:$B$10000="Var_cap")*1,  (ISNUMBER(SEARCH("ITOT-SWHWOD*BR",[1]OUT_FinalEnergyCons!$A$4:$A$10000)))*1,[1]OUT_FinalEnergyCons!K$4:K$10000)</f>
        <v>0.36920270637937791</v>
      </c>
      <c r="N1876" s="1" cm="1">
        <f t="array" ref="N1876">SUMPRODUCT(([1]OUT_FinalEnergyCons!$B$4:$B$10000="Var_cap")*1,  (ISNUMBER(SEARCH("ITOT-SWHWOD*BR",[1]OUT_FinalEnergyCons!$A$4:$A$10000)))*1,[1]OUT_FinalEnergyCons!L$4:L$10000)</f>
        <v>0.36455988111888554</v>
      </c>
      <c r="O1876" s="1" cm="1">
        <f t="array" ref="O1876">SUMPRODUCT(([1]OUT_FinalEnergyCons!$B$4:$B$10000="Var_cap")*1,  (ISNUMBER(SEARCH("ITOT-SWHWOD*BR",[1]OUT_FinalEnergyCons!$A$4:$A$10000)))*1,[1]OUT_FinalEnergyCons!M$4:M$10000)</f>
        <v>0.40238250187402808</v>
      </c>
      <c r="P1876" s="1" cm="1">
        <f t="array" ref="P1876">SUMPRODUCT(([1]OUT_FinalEnergyCons!$B$4:$B$10000="Var_cap")*1,  (ISNUMBER(SEARCH("ITOT-SWHWOD*BR",[1]OUT_FinalEnergyCons!$A$4:$A$10000)))*1,[1]OUT_FinalEnergyCons!N$4:N$10000)</f>
        <v>0.35920843938049268</v>
      </c>
      <c r="Q1876" s="1" cm="1">
        <f t="array" ref="Q1876">SUMPRODUCT(([1]OUT_FinalEnergyCons!$B$4:$B$10000="Var_cap")*1,  (ISNUMBER(SEARCH("ITOT-SWHWOD*BR",[1]OUT_FinalEnergyCons!$A$4:$A$10000)))*1,[1]OUT_FinalEnergyCons!O$4:O$10000)</f>
        <v>0.35502727810195889</v>
      </c>
      <c r="S1876" s="3"/>
    </row>
    <row r="1877" spans="2:19" x14ac:dyDescent="0.5">
      <c r="B1877" s="5" t="str">
        <f t="shared" si="2113"/>
        <v>SPS1</v>
      </c>
      <c r="C1877" s="5" t="str">
        <f t="shared" si="2114"/>
        <v>CH</v>
      </c>
      <c r="D1877" t="s">
        <v>2107</v>
      </c>
      <c r="E1877" t="str">
        <f t="shared" si="2015"/>
        <v>GWth/yr.</v>
      </c>
      <c r="F1877" s="1">
        <f>F1878</f>
        <v>2.9860759506449799E-2</v>
      </c>
      <c r="G1877" s="1">
        <f t="shared" ref="G1877:O1877" si="2119">G1878</f>
        <v>3.7404058916969178E-2</v>
      </c>
      <c r="H1877" s="1">
        <f t="shared" si="2119"/>
        <v>3.7409937979915979E-2</v>
      </c>
      <c r="I1877" s="1">
        <f t="shared" si="2119"/>
        <v>4.1883605821718718E-2</v>
      </c>
      <c r="J1877" s="1">
        <f t="shared" si="2119"/>
        <v>4.1742111489570702E-2</v>
      </c>
      <c r="K1877" s="1">
        <f t="shared" si="2119"/>
        <v>4.12927030089449E-2</v>
      </c>
      <c r="L1877" s="1">
        <f t="shared" si="2119"/>
        <v>4.0737953780227244E-2</v>
      </c>
      <c r="M1877" s="1">
        <f t="shared" si="2119"/>
        <v>3.8774017501446781E-2</v>
      </c>
      <c r="N1877" s="1">
        <f t="shared" si="2119"/>
        <v>4.3028505084750063E-2</v>
      </c>
      <c r="O1877" s="1">
        <f t="shared" si="2119"/>
        <v>4.1366048318550577E-2</v>
      </c>
      <c r="P1877" s="1">
        <f>P1878</f>
        <v>4.1816901280034853E-2</v>
      </c>
      <c r="Q1877" s="1">
        <f>Q1878</f>
        <v>3.6482380725757664E-2</v>
      </c>
      <c r="S1877" s="3"/>
    </row>
    <row r="1878" spans="2:19" x14ac:dyDescent="0.5">
      <c r="B1878" s="5" t="str">
        <f t="shared" si="2113"/>
        <v>SPS1</v>
      </c>
      <c r="C1878" s="5" t="str">
        <f t="shared" si="2114"/>
        <v>CH</v>
      </c>
      <c r="D1878" t="s">
        <v>2108</v>
      </c>
      <c r="E1878" t="str">
        <f t="shared" si="2015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3.7404058916969178E-2</v>
      </c>
      <c r="H1878" s="1" cm="1">
        <f t="array" ref="H1878">SUMPRODUCT(([1]OUT_FinalEnergyCons!$B$4:$B$10000="Var_cap")*1,  (ISNUMBER(SEARCH("ITOT-SWHPLT*BR",[1]OUT_FinalEnergyCons!$A$4:$A$10000)))*1,[1]OUT_FinalEnergyCons!F$4:F$10000)</f>
        <v>3.7409937979915979E-2</v>
      </c>
      <c r="I1878" s="1" cm="1">
        <f t="array" ref="I1878">SUMPRODUCT(([1]OUT_FinalEnergyCons!$B$4:$B$10000="Var_cap")*1,  (ISNUMBER(SEARCH("ITOT-SWHPLT*BR",[1]OUT_FinalEnergyCons!$A$4:$A$10000)))*1,[1]OUT_FinalEnergyCons!G$4:G$10000)</f>
        <v>4.1883605821718718E-2</v>
      </c>
      <c r="J1878" s="1" cm="1">
        <f t="array" ref="J1878">SUMPRODUCT(([1]OUT_FinalEnergyCons!$B$4:$B$10000="Var_cap")*1,  (ISNUMBER(SEARCH("ITOT-SWHPLT*BR",[1]OUT_FinalEnergyCons!$A$4:$A$10000)))*1,[1]OUT_FinalEnergyCons!H$4:H$10000)</f>
        <v>4.1742111489570702E-2</v>
      </c>
      <c r="K1878" s="1" cm="1">
        <f t="array" ref="K1878">SUMPRODUCT(([1]OUT_FinalEnergyCons!$B$4:$B$10000="Var_cap")*1,  (ISNUMBER(SEARCH("ITOT-SWHPLT*BR",[1]OUT_FinalEnergyCons!$A$4:$A$10000)))*1,[1]OUT_FinalEnergyCons!I$4:I$10000)</f>
        <v>4.12927030089449E-2</v>
      </c>
      <c r="L1878" s="1" cm="1">
        <f t="array" ref="L1878">SUMPRODUCT(([1]OUT_FinalEnergyCons!$B$4:$B$10000="Var_cap")*1,  (ISNUMBER(SEARCH("ITOT-SWHPLT*BR",[1]OUT_FinalEnergyCons!$A$4:$A$10000)))*1,[1]OUT_FinalEnergyCons!J$4:J$10000)</f>
        <v>4.0737953780227244E-2</v>
      </c>
      <c r="M1878" s="1" cm="1">
        <f t="array" ref="M1878">SUMPRODUCT(([1]OUT_FinalEnergyCons!$B$4:$B$10000="Var_cap")*1,  (ISNUMBER(SEARCH("ITOT-SWHPLT*BR",[1]OUT_FinalEnergyCons!$A$4:$A$10000)))*1,[1]OUT_FinalEnergyCons!K$4:K$10000)</f>
        <v>3.8774017501446781E-2</v>
      </c>
      <c r="N1878" s="1" cm="1">
        <f t="array" ref="N1878">SUMPRODUCT(([1]OUT_FinalEnergyCons!$B$4:$B$10000="Var_cap")*1,  (ISNUMBER(SEARCH("ITOT-SWHPLT*BR",[1]OUT_FinalEnergyCons!$A$4:$A$10000)))*1,[1]OUT_FinalEnergyCons!L$4:L$10000)</f>
        <v>4.3028505084750063E-2</v>
      </c>
      <c r="O1878" s="1" cm="1">
        <f t="array" ref="O1878">SUMPRODUCT(([1]OUT_FinalEnergyCons!$B$4:$B$10000="Var_cap")*1,  (ISNUMBER(SEARCH("ITOT-SWHPLT*BR",[1]OUT_FinalEnergyCons!$A$4:$A$10000)))*1,[1]OUT_FinalEnergyCons!M$4:M$10000)</f>
        <v>4.1366048318550577E-2</v>
      </c>
      <c r="P1878" s="1" cm="1">
        <f t="array" ref="P1878">SUMPRODUCT(([1]OUT_FinalEnergyCons!$B$4:$B$10000="Var_cap")*1,  (ISNUMBER(SEARCH("ITOT-SWHPLT*BR",[1]OUT_FinalEnergyCons!$A$4:$A$10000)))*1,[1]OUT_FinalEnergyCons!N$4:N$10000)</f>
        <v>4.1816901280034853E-2</v>
      </c>
      <c r="Q1878" s="1" cm="1">
        <f t="array" ref="Q1878">SUMPRODUCT(([1]OUT_FinalEnergyCons!$B$4:$B$10000="Var_cap")*1,  (ISNUMBER(SEARCH("ITOT-SWHPLT*BR",[1]OUT_FinalEnergyCons!$A$4:$A$10000)))*1,[1]OUT_FinalEnergyCons!O$4:O$10000)</f>
        <v>3.6482380725757664E-2</v>
      </c>
      <c r="S1878" s="3"/>
    </row>
    <row r="1879" spans="2:19" x14ac:dyDescent="0.5">
      <c r="B1879" s="5" t="str">
        <f t="shared" si="2113"/>
        <v>SPS1</v>
      </c>
      <c r="C1879" s="5" t="str">
        <f t="shared" si="2114"/>
        <v>CH</v>
      </c>
      <c r="D1879" t="s">
        <v>2109</v>
      </c>
      <c r="E1879" t="str">
        <f t="shared" si="2015"/>
        <v>GWth/yr.</v>
      </c>
      <c r="F1879" s="1">
        <f>F1880</f>
        <v>0.35954682816669398</v>
      </c>
      <c r="G1879" s="1">
        <f t="shared" ref="G1879:O1879" si="2120">G1880</f>
        <v>0.3085649334091507</v>
      </c>
      <c r="H1879" s="1">
        <f t="shared" si="2120"/>
        <v>0.30795989589624923</v>
      </c>
      <c r="I1879" s="1">
        <f t="shared" si="2120"/>
        <v>0.30720990284724392</v>
      </c>
      <c r="J1879" s="1">
        <f t="shared" si="2120"/>
        <v>0.1891246851358811</v>
      </c>
      <c r="K1879" s="1">
        <f t="shared" si="2120"/>
        <v>0.16715686464994903</v>
      </c>
      <c r="L1879" s="1">
        <f t="shared" si="2120"/>
        <v>1.3095783345498657E-4</v>
      </c>
      <c r="M1879" s="1">
        <f t="shared" si="2120"/>
        <v>1.0579952645903279E-5</v>
      </c>
      <c r="N1879" s="1">
        <f t="shared" si="2120"/>
        <v>3.4964036581781183E-5</v>
      </c>
      <c r="O1879" s="1">
        <f t="shared" si="2120"/>
        <v>8.5667499205888966E-6</v>
      </c>
      <c r="P1879" s="1">
        <f>P1880</f>
        <v>1.21797346044067E-5</v>
      </c>
      <c r="Q1879" s="1">
        <f>Q1880</f>
        <v>2.5844830115532505E-6</v>
      </c>
      <c r="S1879" s="3"/>
    </row>
    <row r="1880" spans="2:19" x14ac:dyDescent="0.5">
      <c r="B1880" s="5" t="str">
        <f t="shared" si="2113"/>
        <v>SPS1</v>
      </c>
      <c r="C1880" s="5" t="str">
        <f t="shared" si="2114"/>
        <v>CH</v>
      </c>
      <c r="D1880" t="s">
        <v>2110</v>
      </c>
      <c r="E1880" t="str">
        <f t="shared" si="2015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0.3085649334091507</v>
      </c>
      <c r="H1880" s="1" cm="1">
        <f t="array" ref="H1880">SUMPRODUCT(([1]OUT_FinalEnergyCons!$B$4:$B$10000="Var_cap")*1,  (ISNUMBER(SEARCH("ITOT-SWHWST*BR",[1]OUT_FinalEnergyCons!$A$4:$A$10000)))*1,[1]OUT_FinalEnergyCons!F$4:F$10000)</f>
        <v>0.30795989589624923</v>
      </c>
      <c r="I1880" s="1" cm="1">
        <f t="array" ref="I1880">SUMPRODUCT(([1]OUT_FinalEnergyCons!$B$4:$B$10000="Var_cap")*1,  (ISNUMBER(SEARCH("ITOT-SWHWST*BR",[1]OUT_FinalEnergyCons!$A$4:$A$10000)))*1,[1]OUT_FinalEnergyCons!G$4:G$10000)</f>
        <v>0.30720990284724392</v>
      </c>
      <c r="J1880" s="1" cm="1">
        <f t="array" ref="J1880">SUMPRODUCT(([1]OUT_FinalEnergyCons!$B$4:$B$10000="Var_cap")*1,  (ISNUMBER(SEARCH("ITOT-SWHWST*BR",[1]OUT_FinalEnergyCons!$A$4:$A$10000)))*1,[1]OUT_FinalEnergyCons!H$4:H$10000)</f>
        <v>0.1891246851358811</v>
      </c>
      <c r="K1880" s="1" cm="1">
        <f t="array" ref="K1880">SUMPRODUCT(([1]OUT_FinalEnergyCons!$B$4:$B$10000="Var_cap")*1,  (ISNUMBER(SEARCH("ITOT-SWHWST*BR",[1]OUT_FinalEnergyCons!$A$4:$A$10000)))*1,[1]OUT_FinalEnergyCons!I$4:I$10000)</f>
        <v>0.16715686464994903</v>
      </c>
      <c r="L1880" s="1" cm="1">
        <f t="array" ref="L1880">SUMPRODUCT(([1]OUT_FinalEnergyCons!$B$4:$B$10000="Var_cap")*1,  (ISNUMBER(SEARCH("ITOT-SWHWST*BR",[1]OUT_FinalEnergyCons!$A$4:$A$10000)))*1,[1]OUT_FinalEnergyCons!J$4:J$10000)</f>
        <v>1.3095783345498657E-4</v>
      </c>
      <c r="M1880" s="1" cm="1">
        <f t="array" ref="M1880">SUMPRODUCT(([1]OUT_FinalEnergyCons!$B$4:$B$10000="Var_cap")*1,  (ISNUMBER(SEARCH("ITOT-SWHWST*BR",[1]OUT_FinalEnergyCons!$A$4:$A$10000)))*1,[1]OUT_FinalEnergyCons!K$4:K$10000)</f>
        <v>1.0579952645903279E-5</v>
      </c>
      <c r="N1880" s="1" cm="1">
        <f t="array" ref="N1880">SUMPRODUCT(([1]OUT_FinalEnergyCons!$B$4:$B$10000="Var_cap")*1,  (ISNUMBER(SEARCH("ITOT-SWHWST*BR",[1]OUT_FinalEnergyCons!$A$4:$A$10000)))*1,[1]OUT_FinalEnergyCons!L$4:L$10000)</f>
        <v>3.4964036581781183E-5</v>
      </c>
      <c r="O1880" s="1" cm="1">
        <f t="array" ref="O1880">SUMPRODUCT(([1]OUT_FinalEnergyCons!$B$4:$B$10000="Var_cap")*1,  (ISNUMBER(SEARCH("ITOT-SWHWST*BR",[1]OUT_FinalEnergyCons!$A$4:$A$10000)))*1,[1]OUT_FinalEnergyCons!M$4:M$10000)</f>
        <v>8.5667499205888966E-6</v>
      </c>
      <c r="P1880" s="1" cm="1">
        <f t="array" ref="P1880">SUMPRODUCT(([1]OUT_FinalEnergyCons!$B$4:$B$10000="Var_cap")*1,  (ISNUMBER(SEARCH("ITOT-SWHWST*BR",[1]OUT_FinalEnergyCons!$A$4:$A$10000)))*1,[1]OUT_FinalEnergyCons!N$4:N$10000)</f>
        <v>1.21797346044067E-5</v>
      </c>
      <c r="Q1880" s="1" cm="1">
        <f t="array" ref="Q1880">SUMPRODUCT(([1]OUT_FinalEnergyCons!$B$4:$B$10000="Var_cap")*1,  (ISNUMBER(SEARCH("ITOT-SWHWST*BR",[1]OUT_FinalEnergyCons!$A$4:$A$10000)))*1,[1]OUT_FinalEnergyCons!O$4:O$10000)</f>
        <v>2.5844830115532505E-6</v>
      </c>
      <c r="S1880" s="3"/>
    </row>
    <row r="1881" spans="2:19" x14ac:dyDescent="0.5">
      <c r="B1881" s="5" t="str">
        <f t="shared" si="2113"/>
        <v>SPS1</v>
      </c>
      <c r="C1881" s="5" t="str">
        <f t="shared" si="2114"/>
        <v>CH</v>
      </c>
      <c r="D1881" t="s">
        <v>2111</v>
      </c>
      <c r="E1881" t="str">
        <f t="shared" si="2015"/>
        <v>GWth/yr.</v>
      </c>
      <c r="F1881" s="1">
        <f>F1882</f>
        <v>9.8214799778629808E-3</v>
      </c>
      <c r="G1881" s="1">
        <f t="shared" ref="G1881:O1881" si="2121">G1882</f>
        <v>1.2441411645704462E-2</v>
      </c>
      <c r="H1881" s="1">
        <f t="shared" si="2121"/>
        <v>1.2441426547927421E-2</v>
      </c>
      <c r="I1881" s="1">
        <f t="shared" si="2121"/>
        <v>1.2441470333419781E-2</v>
      </c>
      <c r="J1881" s="1">
        <f t="shared" si="2121"/>
        <v>1.244124337277475E-2</v>
      </c>
      <c r="K1881" s="1">
        <f t="shared" si="2121"/>
        <v>1.2441100693787E-2</v>
      </c>
      <c r="L1881" s="1">
        <f t="shared" si="2121"/>
        <v>1.2441147937561899E-2</v>
      </c>
      <c r="M1881" s="1">
        <f t="shared" si="2121"/>
        <v>1.2441186788571999E-2</v>
      </c>
      <c r="N1881" s="1">
        <f t="shared" si="2121"/>
        <v>1.24410716024379E-2</v>
      </c>
      <c r="O1881" s="1">
        <f t="shared" si="2121"/>
        <v>1.2441528829855501E-2</v>
      </c>
      <c r="P1881" s="1">
        <f>P1882</f>
        <v>1.2441301693365599E-2</v>
      </c>
      <c r="Q1881" s="1">
        <f>Q1882</f>
        <v>1.24610273161511E-2</v>
      </c>
      <c r="S1881" s="3"/>
    </row>
    <row r="1882" spans="2:19" x14ac:dyDescent="0.5">
      <c r="B1882" s="5" t="str">
        <f t="shared" si="2113"/>
        <v>SPS1</v>
      </c>
      <c r="C1882" s="5" t="str">
        <f t="shared" si="2114"/>
        <v>CH</v>
      </c>
      <c r="D1882" t="s">
        <v>2112</v>
      </c>
      <c r="E1882" t="str">
        <f t="shared" si="2015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1.2441411645704462E-2</v>
      </c>
      <c r="H1882" s="1" cm="1">
        <f t="array" ref="H1882">SUMPRODUCT(([1]OUT_FinalEnergyCons!$B$4:$B$10000="Var_cap")*1, (ISNUMBER(SEARCH("ITOT-SWHSOLBR",[1]OUT_FinalEnergyCons!$A$4:$A$10000)))*1,[1]OUT_FinalEnergyCons!F$4:F$10000)</f>
        <v>1.2441426547927421E-2</v>
      </c>
      <c r="I1882" s="1" cm="1">
        <f t="array" ref="I1882">SUMPRODUCT(([1]OUT_FinalEnergyCons!$B$4:$B$10000="Var_cap")*1, (ISNUMBER(SEARCH("ITOT-SWHSOLBR",[1]OUT_FinalEnergyCons!$A$4:$A$10000)))*1,[1]OUT_FinalEnergyCons!G$4:G$10000)</f>
        <v>1.2441470333419781E-2</v>
      </c>
      <c r="J1882" s="1" cm="1">
        <f t="array" ref="J1882">SUMPRODUCT(([1]OUT_FinalEnergyCons!$B$4:$B$10000="Var_cap")*1, (ISNUMBER(SEARCH("ITOT-SWHSOLBR",[1]OUT_FinalEnergyCons!$A$4:$A$10000)))*1,[1]OUT_FinalEnergyCons!H$4:H$10000)</f>
        <v>1.244124337277475E-2</v>
      </c>
      <c r="K1882" s="1" cm="1">
        <f t="array" ref="K1882">SUMPRODUCT(([1]OUT_FinalEnergyCons!$B$4:$B$10000="Var_cap")*1, (ISNUMBER(SEARCH("ITOT-SWHSOLBR",[1]OUT_FinalEnergyCons!$A$4:$A$10000)))*1,[1]OUT_FinalEnergyCons!I$4:I$10000)</f>
        <v>1.2441100693787E-2</v>
      </c>
      <c r="L1882" s="1" cm="1">
        <f t="array" ref="L1882">SUMPRODUCT(([1]OUT_FinalEnergyCons!$B$4:$B$10000="Var_cap")*1, (ISNUMBER(SEARCH("ITOT-SWHSOLBR",[1]OUT_FinalEnergyCons!$A$4:$A$10000)))*1,[1]OUT_FinalEnergyCons!J$4:J$10000)</f>
        <v>1.2441147937561899E-2</v>
      </c>
      <c r="M1882" s="1" cm="1">
        <f t="array" ref="M1882">SUMPRODUCT(([1]OUT_FinalEnergyCons!$B$4:$B$10000="Var_cap")*1, (ISNUMBER(SEARCH("ITOT-SWHSOLBR",[1]OUT_FinalEnergyCons!$A$4:$A$10000)))*1,[1]OUT_FinalEnergyCons!K$4:K$10000)</f>
        <v>1.2441186788571999E-2</v>
      </c>
      <c r="N1882" s="1" cm="1">
        <f t="array" ref="N1882">SUMPRODUCT(([1]OUT_FinalEnergyCons!$B$4:$B$10000="Var_cap")*1, (ISNUMBER(SEARCH("ITOT-SWHSOLBR",[1]OUT_FinalEnergyCons!$A$4:$A$10000)))*1,[1]OUT_FinalEnergyCons!L$4:L$10000)</f>
        <v>1.24410716024379E-2</v>
      </c>
      <c r="O1882" s="1" cm="1">
        <f t="array" ref="O1882">SUMPRODUCT(([1]OUT_FinalEnergyCons!$B$4:$B$10000="Var_cap")*1, (ISNUMBER(SEARCH("ITOT-SWHSOLBR",[1]OUT_FinalEnergyCons!$A$4:$A$10000)))*1,[1]OUT_FinalEnergyCons!M$4:M$10000)</f>
        <v>1.2441528829855501E-2</v>
      </c>
      <c r="P1882" s="1" cm="1">
        <f t="array" ref="P1882">SUMPRODUCT(([1]OUT_FinalEnergyCons!$B$4:$B$10000="Var_cap")*1, (ISNUMBER(SEARCH("ITOT-SWHSOLBR",[1]OUT_FinalEnergyCons!$A$4:$A$10000)))*1,[1]OUT_FinalEnergyCons!N$4:N$10000)</f>
        <v>1.2441301693365599E-2</v>
      </c>
      <c r="Q1882" s="1" cm="1">
        <f t="array" ref="Q1882">SUMPRODUCT(([1]OUT_FinalEnergyCons!$B$4:$B$10000="Var_cap")*1, (ISNUMBER(SEARCH("ITOT-SWHSOLBR",[1]OUT_FinalEnergyCons!$A$4:$A$10000)))*1,[1]OUT_FinalEnergyCons!O$4:O$10000)</f>
        <v>1.24610273161511E-2</v>
      </c>
      <c r="S1882" s="3"/>
    </row>
    <row r="1883" spans="2:19" x14ac:dyDescent="0.5">
      <c r="B1883" s="5" t="str">
        <f t="shared" si="2113"/>
        <v>SPS1</v>
      </c>
      <c r="C1883" s="5" t="str">
        <f t="shared" si="2114"/>
        <v>CH</v>
      </c>
      <c r="D1883" t="s">
        <v>2113</v>
      </c>
      <c r="E1883" t="str">
        <f t="shared" si="2015"/>
        <v>GWth/yr.</v>
      </c>
      <c r="F1883" s="1">
        <f>F1884</f>
        <v>0</v>
      </c>
      <c r="G1883" s="1">
        <f t="shared" ref="G1883:O1883" si="2122">G1884</f>
        <v>0</v>
      </c>
      <c r="H1883" s="1">
        <f t="shared" si="2122"/>
        <v>0</v>
      </c>
      <c r="I1883" s="1">
        <f t="shared" si="2122"/>
        <v>1.46801037106249E-3</v>
      </c>
      <c r="J1883" s="1">
        <f t="shared" si="2122"/>
        <v>0.85164000725107691</v>
      </c>
      <c r="K1883" s="1">
        <f t="shared" si="2122"/>
        <v>0.71820856693847801</v>
      </c>
      <c r="L1883" s="1">
        <f t="shared" si="2122"/>
        <v>0.68023751469646199</v>
      </c>
      <c r="M1883" s="1">
        <f t="shared" si="2122"/>
        <v>1.1572583723446974</v>
      </c>
      <c r="N1883" s="1">
        <f t="shared" si="2122"/>
        <v>1.2283745805654964</v>
      </c>
      <c r="O1883" s="1">
        <f t="shared" si="2122"/>
        <v>1.2944871768703983</v>
      </c>
      <c r="P1883" s="1">
        <f>P1884</f>
        <v>1.295094312611295</v>
      </c>
      <c r="Q1883" s="1">
        <f>Q1884</f>
        <v>1.2586184288821094</v>
      </c>
      <c r="S1883" s="3"/>
    </row>
    <row r="1884" spans="2:19" x14ac:dyDescent="0.5">
      <c r="B1884" s="5" t="str">
        <f t="shared" si="2113"/>
        <v>SPS1</v>
      </c>
      <c r="C1884" s="5" t="str">
        <f t="shared" si="2114"/>
        <v>CH</v>
      </c>
      <c r="D1884" t="s">
        <v>2114</v>
      </c>
      <c r="E1884" t="str">
        <f t="shared" si="2015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1.46801037106249E-3</v>
      </c>
      <c r="J1884" s="1" cm="1">
        <f t="array" ref="J1884">SUMPRODUCT(([1]OUT_FinalEnergyCons!$B$4:$B$10000="Var_cap")*1, (ISNUMBER(SEARCH("ITOT-SWHH2BR",[1]OUT_FinalEnergyCons!$A$4:$A$10000)))*1,[1]OUT_FinalEnergyCons!H$4:H$10000)</f>
        <v>0.85164000725107691</v>
      </c>
      <c r="K1884" s="1" cm="1">
        <f t="array" ref="K1884">SUMPRODUCT(([1]OUT_FinalEnergyCons!$B$4:$B$10000="Var_cap")*1, (ISNUMBER(SEARCH("ITOT-SWHH2BR",[1]OUT_FinalEnergyCons!$A$4:$A$10000)))*1,[1]OUT_FinalEnergyCons!I$4:I$10000)</f>
        <v>0.71820856693847801</v>
      </c>
      <c r="L1884" s="1" cm="1">
        <f t="array" ref="L1884">SUMPRODUCT(([1]OUT_FinalEnergyCons!$B$4:$B$10000="Var_cap")*1, (ISNUMBER(SEARCH("ITOT-SWHH2BR",[1]OUT_FinalEnergyCons!$A$4:$A$10000)))*1,[1]OUT_FinalEnergyCons!J$4:J$10000)</f>
        <v>0.68023751469646199</v>
      </c>
      <c r="M1884" s="1" cm="1">
        <f t="array" ref="M1884">SUMPRODUCT(([1]OUT_FinalEnergyCons!$B$4:$B$10000="Var_cap")*1, (ISNUMBER(SEARCH("ITOT-SWHH2BR",[1]OUT_FinalEnergyCons!$A$4:$A$10000)))*1,[1]OUT_FinalEnergyCons!K$4:K$10000)</f>
        <v>1.1572583723446974</v>
      </c>
      <c r="N1884" s="1" cm="1">
        <f t="array" ref="N1884">SUMPRODUCT(([1]OUT_FinalEnergyCons!$B$4:$B$10000="Var_cap")*1, (ISNUMBER(SEARCH("ITOT-SWHH2BR",[1]OUT_FinalEnergyCons!$A$4:$A$10000)))*1,[1]OUT_FinalEnergyCons!L$4:L$10000)</f>
        <v>1.2283745805654964</v>
      </c>
      <c r="O1884" s="1" cm="1">
        <f t="array" ref="O1884">SUMPRODUCT(([1]OUT_FinalEnergyCons!$B$4:$B$10000="Var_cap")*1, (ISNUMBER(SEARCH("ITOT-SWHH2BR",[1]OUT_FinalEnergyCons!$A$4:$A$10000)))*1,[1]OUT_FinalEnergyCons!M$4:M$10000)</f>
        <v>1.2944871768703983</v>
      </c>
      <c r="P1884" s="1" cm="1">
        <f t="array" ref="P1884">SUMPRODUCT(([1]OUT_FinalEnergyCons!$B$4:$B$10000="Var_cap")*1, (ISNUMBER(SEARCH("ITOT-SWHH2BR",[1]OUT_FinalEnergyCons!$A$4:$A$10000)))*1,[1]OUT_FinalEnergyCons!N$4:N$10000)</f>
        <v>1.295094312611295</v>
      </c>
      <c r="Q1884" s="1" cm="1">
        <f t="array" ref="Q1884">SUMPRODUCT(([1]OUT_FinalEnergyCons!$B$4:$B$10000="Var_cap")*1, (ISNUMBER(SEARCH("ITOT-SWHH2BR",[1]OUT_FinalEnergyCons!$A$4:$A$10000)))*1,[1]OUT_FinalEnergyCons!O$4:O$10000)</f>
        <v>1.2586184288821094</v>
      </c>
      <c r="S1884" s="3"/>
    </row>
    <row r="1885" spans="2:19" x14ac:dyDescent="0.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2015"/>
        <v>GWth/yr.</v>
      </c>
      <c r="F1885" s="17">
        <f>SUM(F1886,F1889,F1891,F1895,F1897,F1899,F1901)</f>
        <v>6.1441992867562751</v>
      </c>
      <c r="G1885" s="17">
        <f t="shared" ref="G1885:K1885" si="2123">SUM(G1886,G1889,G1891,G1895,G1897,G1899,G1901)</f>
        <v>6.0237061963949019</v>
      </c>
      <c r="H1885" s="17">
        <f t="shared" si="2123"/>
        <v>6.1500823368175022</v>
      </c>
      <c r="I1885" s="17">
        <f t="shared" si="2123"/>
        <v>6.1170796595951247</v>
      </c>
      <c r="J1885" s="17">
        <f t="shared" si="2123"/>
        <v>4.7909410712668308</v>
      </c>
      <c r="K1885" s="17">
        <f t="shared" si="2123"/>
        <v>4.7335294861429018</v>
      </c>
      <c r="L1885" s="17">
        <f t="shared" ref="L1885:O1885" si="2124">SUM(L1886,L1889,L1891,L1895,L1897,L1899,L1901)</f>
        <v>4.6574548169913861</v>
      </c>
      <c r="M1885" s="17">
        <f t="shared" si="2124"/>
        <v>3.7627354583240304</v>
      </c>
      <c r="N1885" s="17">
        <f t="shared" si="2124"/>
        <v>3.6574435234841371</v>
      </c>
      <c r="O1885" s="17">
        <f t="shared" si="2124"/>
        <v>3.4301416671441807</v>
      </c>
      <c r="P1885" s="17">
        <f>SUM(P1886,P1889,P1891,P1895,P1897,P1899,P1901)</f>
        <v>3.375434901120355</v>
      </c>
      <c r="Q1885" s="17">
        <f>SUM(Q1886,Q1889,Q1891,Q1895,Q1897,Q1899,Q1901)</f>
        <v>3.5821587869911773</v>
      </c>
      <c r="S1885" s="3"/>
    </row>
    <row r="1886" spans="2:19" x14ac:dyDescent="0.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2015"/>
        <v>GWth/yr.</v>
      </c>
      <c r="F1886" s="1">
        <f>SUM(F1887:F1888)</f>
        <v>0.61560571252055185</v>
      </c>
      <c r="G1886" s="1">
        <f t="shared" ref="G1886:K1886" si="2125">SUM(G1887:G1888)</f>
        <v>0.48087432073766445</v>
      </c>
      <c r="H1886" s="1">
        <f t="shared" si="2125"/>
        <v>0.60729600391130201</v>
      </c>
      <c r="I1886" s="1">
        <f t="shared" si="2125"/>
        <v>0.60729716867662142</v>
      </c>
      <c r="J1886" s="1">
        <f t="shared" si="2125"/>
        <v>0.62460562430852451</v>
      </c>
      <c r="K1886" s="1">
        <f t="shared" si="2125"/>
        <v>0.62738963090584576</v>
      </c>
      <c r="L1886" s="1">
        <f t="shared" ref="L1886:O1886" si="2126">SUM(L1887:L1888)</f>
        <v>0.60095427689304692</v>
      </c>
      <c r="M1886" s="1">
        <f t="shared" si="2126"/>
        <v>0.97231109273191862</v>
      </c>
      <c r="N1886" s="1">
        <f t="shared" si="2126"/>
        <v>0.95414785412448844</v>
      </c>
      <c r="O1886" s="1">
        <f t="shared" si="2126"/>
        <v>0.83344434058994932</v>
      </c>
      <c r="P1886" s="1">
        <f>SUM(P1887:P1888)</f>
        <v>0.80745363258887604</v>
      </c>
      <c r="Q1886" s="1">
        <f>SUM(Q1887:Q1888)</f>
        <v>0.9383681722938656</v>
      </c>
      <c r="S1886" s="3"/>
    </row>
    <row r="1887" spans="2:19" x14ac:dyDescent="0.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2015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0.18498837924270711</v>
      </c>
      <c r="G1887" s="1" cm="1">
        <f t="array" ref="G1887">SUMPRODUCT(([1]OUT_FinalEnergyCons!$B$4:$B$10000="Var_cap")*1, (ISNUMBER(SEARCH("SCOM-SHELCBR",[1]OUT_FinalEnergyCons!$A$4:$A$10000)))*1,[1]OUT_FinalEnergyCons!E$4:E$10000)</f>
        <v>5.0257340575215248E-2</v>
      </c>
      <c r="H1887" s="1" cm="1">
        <f t="array" ref="H1887">SUMPRODUCT(([1]OUT_FinalEnergyCons!$B$4:$B$10000="Var_cap")*1, (ISNUMBER(SEARCH("SCOM-SHELCBR",[1]OUT_FinalEnergyCons!$A$4:$A$10000)))*1,[1]OUT_FinalEnergyCons!F$4:F$10000)</f>
        <v>0.17667939760814999</v>
      </c>
      <c r="I1887" s="1" cm="1">
        <f t="array" ref="I1887">SUMPRODUCT(([1]OUT_FinalEnergyCons!$B$4:$B$10000="Var_cap")*1, (ISNUMBER(SEARCH("SCOM-SHELCBR",[1]OUT_FinalEnergyCons!$A$4:$A$10000)))*1,[1]OUT_FinalEnergyCons!G$4:G$10000)</f>
        <v>0.17668054800629301</v>
      </c>
      <c r="J1887" s="1" cm="1">
        <f t="array" ref="J1887">SUMPRODUCT(([1]OUT_FinalEnergyCons!$B$4:$B$10000="Var_cap")*1, (ISNUMBER(SEARCH("SCOM-SHELCBR",[1]OUT_FinalEnergyCons!$A$4:$A$10000)))*1,[1]OUT_FinalEnergyCons!H$4:H$10000)</f>
        <v>0.18626437104547519</v>
      </c>
      <c r="K1887" s="1" cm="1">
        <f t="array" ref="K1887">SUMPRODUCT(([1]OUT_FinalEnergyCons!$B$4:$B$10000="Var_cap")*1, (ISNUMBER(SEARCH("SCOM-SHELCBR",[1]OUT_FinalEnergyCons!$A$4:$A$10000)))*1,[1]OUT_FinalEnergyCons!I$4:I$10000)</f>
        <v>0.1554905344891305</v>
      </c>
      <c r="L1887" s="1" cm="1">
        <f t="array" ref="L1887">SUMPRODUCT(([1]OUT_FinalEnergyCons!$B$4:$B$10000="Var_cap")*1, (ISNUMBER(SEARCH("SCOM-SHELCBR",[1]OUT_FinalEnergyCons!$A$4:$A$10000)))*1,[1]OUT_FinalEnergyCons!J$4:J$10000)</f>
        <v>0.1290355592219003</v>
      </c>
      <c r="M1887" s="1" cm="1">
        <f t="array" ref="M1887">SUMPRODUCT(([1]OUT_FinalEnergyCons!$B$4:$B$10000="Var_cap")*1, (ISNUMBER(SEARCH("SCOM-SHELCBR",[1]OUT_FinalEnergyCons!$A$4:$A$10000)))*1,[1]OUT_FinalEnergyCons!K$4:K$10000)</f>
        <v>0.2356164595730468</v>
      </c>
      <c r="N1887" s="1" cm="1">
        <f t="array" ref="N1887">SUMPRODUCT(([1]OUT_FinalEnergyCons!$B$4:$B$10000="Var_cap")*1, (ISNUMBER(SEARCH("SCOM-SHELCBR",[1]OUT_FinalEnergyCons!$A$4:$A$10000)))*1,[1]OUT_FinalEnergyCons!L$4:L$10000)</f>
        <v>0.21744555773899385</v>
      </c>
      <c r="O1887" s="1" cm="1">
        <f t="array" ref="O1887">SUMPRODUCT(([1]OUT_FinalEnergyCons!$B$4:$B$10000="Var_cap")*1, (ISNUMBER(SEARCH("SCOM-SHELCBR",[1]OUT_FinalEnergyCons!$A$4:$A$10000)))*1,[1]OUT_FinalEnergyCons!M$4:M$10000)</f>
        <v>9.7666863996408004E-2</v>
      </c>
      <c r="P1887" s="1" cm="1">
        <f t="array" ref="P1887">SUMPRODUCT(([1]OUT_FinalEnergyCons!$B$4:$B$10000="Var_cap")*1, (ISNUMBER(SEARCH("SCOM-SHELCBR",[1]OUT_FinalEnergyCons!$A$4:$A$10000)))*1,[1]OUT_FinalEnergyCons!N$4:N$10000)</f>
        <v>7.6184056679943907E-2</v>
      </c>
      <c r="Q1887" s="1" cm="1">
        <f t="array" ref="Q1887">SUMPRODUCT(([1]OUT_FinalEnergyCons!$B$4:$B$10000="Var_cap")*1, (ISNUMBER(SEARCH("SCOM-SHELCBR",[1]OUT_FinalEnergyCons!$A$4:$A$10000)))*1,[1]OUT_FinalEnergyCons!O$4:O$10000)</f>
        <v>7.6166185384235738E-2</v>
      </c>
      <c r="S1887" s="3"/>
    </row>
    <row r="1888" spans="2:19" x14ac:dyDescent="0.5">
      <c r="B1888" s="5" t="str">
        <f t="shared" ref="B1888:C1888" si="2127">B1887</f>
        <v>SPS1</v>
      </c>
      <c r="C1888" s="5" t="str">
        <f t="shared" si="2127"/>
        <v>CH</v>
      </c>
      <c r="D1888" t="s">
        <v>1903</v>
      </c>
      <c r="E1888" t="str">
        <f t="shared" si="2015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0.43061733327784479</v>
      </c>
      <c r="G1888" s="1" cm="1">
        <f t="array" ref="G1888">SUMPRODUCT(([1]OUT_FinalEnergyCons!$B$4:$B$10000="Var_cap")*1, (ISNUMBER(SEARCH("SCOM-SHELCHP",[1]OUT_FinalEnergyCons!$A$4:$A$10000)))*1,[1]OUT_FinalEnergyCons!E$4:E$10000)</f>
        <v>0.4306169801624492</v>
      </c>
      <c r="H1888" s="1" cm="1">
        <f t="array" ref="H1888">SUMPRODUCT(([1]OUT_FinalEnergyCons!$B$4:$B$10000="Var_cap")*1, (ISNUMBER(SEARCH("SCOM-SHELCHP",[1]OUT_FinalEnergyCons!$A$4:$A$10000)))*1,[1]OUT_FinalEnergyCons!F$4:F$10000)</f>
        <v>0.43061660630315196</v>
      </c>
      <c r="I1888" s="1" cm="1">
        <f t="array" ref="I1888">SUMPRODUCT(([1]OUT_FinalEnergyCons!$B$4:$B$10000="Var_cap")*1, (ISNUMBER(SEARCH("SCOM-SHELCHP",[1]OUT_FinalEnergyCons!$A$4:$A$10000)))*1,[1]OUT_FinalEnergyCons!G$4:G$10000)</f>
        <v>0.43061662067032841</v>
      </c>
      <c r="J1888" s="1" cm="1">
        <f t="array" ref="J1888">SUMPRODUCT(([1]OUT_FinalEnergyCons!$B$4:$B$10000="Var_cap")*1, (ISNUMBER(SEARCH("SCOM-SHELCHP",[1]OUT_FinalEnergyCons!$A$4:$A$10000)))*1,[1]OUT_FinalEnergyCons!H$4:H$10000)</f>
        <v>0.43834125326304935</v>
      </c>
      <c r="K1888" s="1" cm="1">
        <f t="array" ref="K1888">SUMPRODUCT(([1]OUT_FinalEnergyCons!$B$4:$B$10000="Var_cap")*1, (ISNUMBER(SEARCH("SCOM-SHELCHP",[1]OUT_FinalEnergyCons!$A$4:$A$10000)))*1,[1]OUT_FinalEnergyCons!I$4:I$10000)</f>
        <v>0.47189909641671524</v>
      </c>
      <c r="L1888" s="1" cm="1">
        <f t="array" ref="L1888">SUMPRODUCT(([1]OUT_FinalEnergyCons!$B$4:$B$10000="Var_cap")*1, (ISNUMBER(SEARCH("SCOM-SHELCHP",[1]OUT_FinalEnergyCons!$A$4:$A$10000)))*1,[1]OUT_FinalEnergyCons!J$4:J$10000)</f>
        <v>0.47191871767114657</v>
      </c>
      <c r="M1888" s="1" cm="1">
        <f t="array" ref="M1888">SUMPRODUCT(([1]OUT_FinalEnergyCons!$B$4:$B$10000="Var_cap")*1, (ISNUMBER(SEARCH("SCOM-SHELCHP",[1]OUT_FinalEnergyCons!$A$4:$A$10000)))*1,[1]OUT_FinalEnergyCons!K$4:K$10000)</f>
        <v>0.73669463315887185</v>
      </c>
      <c r="N1888" s="1" cm="1">
        <f t="array" ref="N1888">SUMPRODUCT(([1]OUT_FinalEnergyCons!$B$4:$B$10000="Var_cap")*1, (ISNUMBER(SEARCH("SCOM-SHELCHP",[1]OUT_FinalEnergyCons!$A$4:$A$10000)))*1,[1]OUT_FinalEnergyCons!L$4:L$10000)</f>
        <v>0.73670229638549456</v>
      </c>
      <c r="O1888" s="1" cm="1">
        <f t="array" ref="O1888">SUMPRODUCT(([1]OUT_FinalEnergyCons!$B$4:$B$10000="Var_cap")*1, (ISNUMBER(SEARCH("SCOM-SHELCHP",[1]OUT_FinalEnergyCons!$A$4:$A$10000)))*1,[1]OUT_FinalEnergyCons!M$4:M$10000)</f>
        <v>0.73577747659354131</v>
      </c>
      <c r="P1888" s="1" cm="1">
        <f t="array" ref="P1888">SUMPRODUCT(([1]OUT_FinalEnergyCons!$B$4:$B$10000="Var_cap")*1, (ISNUMBER(SEARCH("SCOM-SHELCHP",[1]OUT_FinalEnergyCons!$A$4:$A$10000)))*1,[1]OUT_FinalEnergyCons!N$4:N$10000)</f>
        <v>0.73126957590893216</v>
      </c>
      <c r="Q1888" s="1" cm="1">
        <f t="array" ref="Q1888">SUMPRODUCT(([1]OUT_FinalEnergyCons!$B$4:$B$10000="Var_cap")*1, (ISNUMBER(SEARCH("SCOM-SHELCHP",[1]OUT_FinalEnergyCons!$A$4:$A$10000)))*1,[1]OUT_FinalEnergyCons!O$4:O$10000)</f>
        <v>0.8622019869096299</v>
      </c>
      <c r="S1888" s="3"/>
    </row>
    <row r="1889" spans="2:19" x14ac:dyDescent="0.5">
      <c r="B1889" s="5" t="str">
        <f t="shared" ref="B1889:C1889" si="2128">B1888</f>
        <v>SPS1</v>
      </c>
      <c r="C1889" s="5" t="str">
        <f t="shared" si="2128"/>
        <v>CH</v>
      </c>
      <c r="D1889" t="s">
        <v>1904</v>
      </c>
      <c r="E1889" t="str">
        <f t="shared" si="2015"/>
        <v>GWth/yr.</v>
      </c>
      <c r="F1889" s="1">
        <f>F1890</f>
        <v>1.9285738199294389</v>
      </c>
      <c r="G1889" s="1">
        <f t="shared" ref="G1889:O1889" si="2129">G1890</f>
        <v>1.9285703960985969</v>
      </c>
      <c r="H1889" s="1">
        <f t="shared" si="2129"/>
        <v>1.9285684438624937</v>
      </c>
      <c r="I1889" s="1">
        <f t="shared" si="2129"/>
        <v>1.9285642263322571</v>
      </c>
      <c r="J1889" s="1">
        <f t="shared" si="2129"/>
        <v>0.93740293427729293</v>
      </c>
      <c r="K1889" s="1">
        <f t="shared" si="2129"/>
        <v>0.49329707158241665</v>
      </c>
      <c r="L1889" s="1">
        <f t="shared" si="2129"/>
        <v>0.32188858420654998</v>
      </c>
      <c r="M1889" s="1">
        <f t="shared" si="2129"/>
        <v>7.5213804860584293E-2</v>
      </c>
      <c r="N1889" s="1">
        <f t="shared" si="2129"/>
        <v>7.5212929730861952E-2</v>
      </c>
      <c r="O1889" s="1">
        <f t="shared" si="2129"/>
        <v>7.5209235078752198E-2</v>
      </c>
      <c r="P1889" s="1">
        <f>P1890</f>
        <v>7.5207893574946422E-2</v>
      </c>
      <c r="Q1889" s="1">
        <f>Q1890</f>
        <v>7.5207529881655674E-2</v>
      </c>
      <c r="S1889" s="3"/>
    </row>
    <row r="1890" spans="2:19" x14ac:dyDescent="0.5">
      <c r="B1890" s="5" t="str">
        <f t="shared" ref="B1890:C1890" si="2130">B1889</f>
        <v>SPS1</v>
      </c>
      <c r="C1890" s="5" t="str">
        <f t="shared" si="2130"/>
        <v>CH</v>
      </c>
      <c r="D1890" t="s">
        <v>1905</v>
      </c>
      <c r="E1890" t="str">
        <f t="shared" ref="E1890:E1902" si="2131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1.9285738199294389</v>
      </c>
      <c r="G1890" s="1" cm="1">
        <f t="array" ref="G1890">SUMPRODUCT(([1]OUT_FinalEnergyCons!$B$4:$B$10000="Var_cap")*1,(ISNUMBER(SEARCH("SCOM-SHLFOBR",[1]OUT_FinalEnergyCons!$A$4:$A$10000)))*1,[1]OUT_FinalEnergyCons!E$4:E$10000)</f>
        <v>1.9285703960985969</v>
      </c>
      <c r="H1890" s="1" cm="1">
        <f t="array" ref="H1890">SUMPRODUCT(([1]OUT_FinalEnergyCons!$B$4:$B$10000="Var_cap")*1,(ISNUMBER(SEARCH("SCOM-SHLFOBR",[1]OUT_FinalEnergyCons!$A$4:$A$10000)))*1,[1]OUT_FinalEnergyCons!F$4:F$10000)</f>
        <v>1.9285684438624937</v>
      </c>
      <c r="I1890" s="1" cm="1">
        <f t="array" ref="I1890">SUMPRODUCT(([1]OUT_FinalEnergyCons!$B$4:$B$10000="Var_cap")*1,(ISNUMBER(SEARCH("SCOM-SHLFOBR",[1]OUT_FinalEnergyCons!$A$4:$A$10000)))*1,[1]OUT_FinalEnergyCons!G$4:G$10000)</f>
        <v>1.9285642263322571</v>
      </c>
      <c r="J1890" s="1" cm="1">
        <f t="array" ref="J1890">SUMPRODUCT(([1]OUT_FinalEnergyCons!$B$4:$B$10000="Var_cap")*1,(ISNUMBER(SEARCH("SCOM-SHLFOBR",[1]OUT_FinalEnergyCons!$A$4:$A$10000)))*1,[1]OUT_FinalEnergyCons!H$4:H$10000)</f>
        <v>0.93740293427729293</v>
      </c>
      <c r="K1890" s="1" cm="1">
        <f t="array" ref="K1890">SUMPRODUCT(([1]OUT_FinalEnergyCons!$B$4:$B$10000="Var_cap")*1,(ISNUMBER(SEARCH("SCOM-SHLFOBR",[1]OUT_FinalEnergyCons!$A$4:$A$10000)))*1,[1]OUT_FinalEnergyCons!I$4:I$10000)</f>
        <v>0.49329707158241665</v>
      </c>
      <c r="L1890" s="1" cm="1">
        <f t="array" ref="L1890">SUMPRODUCT(([1]OUT_FinalEnergyCons!$B$4:$B$10000="Var_cap")*1,(ISNUMBER(SEARCH("SCOM-SHLFOBR",[1]OUT_FinalEnergyCons!$A$4:$A$10000)))*1,[1]OUT_FinalEnergyCons!J$4:J$10000)</f>
        <v>0.32188858420654998</v>
      </c>
      <c r="M1890" s="1" cm="1">
        <f t="array" ref="M1890">SUMPRODUCT(([1]OUT_FinalEnergyCons!$B$4:$B$10000="Var_cap")*1,(ISNUMBER(SEARCH("SCOM-SHLFOBR",[1]OUT_FinalEnergyCons!$A$4:$A$10000)))*1,[1]OUT_FinalEnergyCons!K$4:K$10000)</f>
        <v>7.5213804860584293E-2</v>
      </c>
      <c r="N1890" s="1" cm="1">
        <f t="array" ref="N1890">SUMPRODUCT(([1]OUT_FinalEnergyCons!$B$4:$B$10000="Var_cap")*1,(ISNUMBER(SEARCH("SCOM-SHLFOBR",[1]OUT_FinalEnergyCons!$A$4:$A$10000)))*1,[1]OUT_FinalEnergyCons!L$4:L$10000)</f>
        <v>7.5212929730861952E-2</v>
      </c>
      <c r="O1890" s="1" cm="1">
        <f t="array" ref="O1890">SUMPRODUCT(([1]OUT_FinalEnergyCons!$B$4:$B$10000="Var_cap")*1,(ISNUMBER(SEARCH("SCOM-SHLFOBR",[1]OUT_FinalEnergyCons!$A$4:$A$10000)))*1,[1]OUT_FinalEnergyCons!M$4:M$10000)</f>
        <v>7.5209235078752198E-2</v>
      </c>
      <c r="P1890" s="1" cm="1">
        <f t="array" ref="P1890">SUMPRODUCT(([1]OUT_FinalEnergyCons!$B$4:$B$10000="Var_cap")*1,(ISNUMBER(SEARCH("SCOM-SHLFOBR",[1]OUT_FinalEnergyCons!$A$4:$A$10000)))*1,[1]OUT_FinalEnergyCons!N$4:N$10000)</f>
        <v>7.5207893574946422E-2</v>
      </c>
      <c r="Q1890" s="1" cm="1">
        <f t="array" ref="Q1890">SUMPRODUCT(([1]OUT_FinalEnergyCons!$B$4:$B$10000="Var_cap")*1,(ISNUMBER(SEARCH("SCOM-SHLFOBR",[1]OUT_FinalEnergyCons!$A$4:$A$10000)))*1,[1]OUT_FinalEnergyCons!O$4:O$10000)</f>
        <v>7.5207529881655674E-2</v>
      </c>
      <c r="S1890" s="3"/>
    </row>
    <row r="1891" spans="2:19" x14ac:dyDescent="0.5">
      <c r="B1891" s="5" t="str">
        <f t="shared" ref="B1891:C1891" si="2132">B1890</f>
        <v>SPS1</v>
      </c>
      <c r="C1891" s="5" t="str">
        <f t="shared" si="2132"/>
        <v>CH</v>
      </c>
      <c r="D1891" t="s">
        <v>1906</v>
      </c>
      <c r="E1891" t="str">
        <f t="shared" si="2131"/>
        <v>GWth/yr.</v>
      </c>
      <c r="F1891" s="1">
        <f>SUM(F1892:F1894)</f>
        <v>2.8800231392171782</v>
      </c>
      <c r="G1891" s="1">
        <f t="shared" ref="G1891:K1891" si="2133">SUM(G1892:G1894)</f>
        <v>2.7929792508497027</v>
      </c>
      <c r="H1891" s="1">
        <f t="shared" si="2133"/>
        <v>2.7929363638257816</v>
      </c>
      <c r="I1891" s="1">
        <f t="shared" si="2133"/>
        <v>2.7537509587916529</v>
      </c>
      <c r="J1891" s="1">
        <f t="shared" si="2133"/>
        <v>2.3232113912742354</v>
      </c>
      <c r="K1891" s="1">
        <f t="shared" si="2133"/>
        <v>2.3592302380147432</v>
      </c>
      <c r="L1891" s="1">
        <f t="shared" ref="L1891:O1891" si="2134">SUM(L1892:L1894)</f>
        <v>2.6298917307271896</v>
      </c>
      <c r="M1891" s="1">
        <f t="shared" si="2134"/>
        <v>1.5787643791730153</v>
      </c>
      <c r="N1891" s="1">
        <f t="shared" si="2134"/>
        <v>1.7243343414351595</v>
      </c>
      <c r="O1891" s="1">
        <f t="shared" si="2134"/>
        <v>1.6654263295436715</v>
      </c>
      <c r="P1891" s="1">
        <f>SUM(P1892:P1894)</f>
        <v>1.7541838065512425</v>
      </c>
      <c r="Q1891" s="1">
        <f>SUM(Q1892:Q1894)</f>
        <v>1.665752462121453</v>
      </c>
      <c r="S1891" s="3"/>
    </row>
    <row r="1892" spans="2:19" x14ac:dyDescent="0.5">
      <c r="B1892" s="5" t="str">
        <f t="shared" ref="B1892:C1892" si="2135">B1891</f>
        <v>SPS1</v>
      </c>
      <c r="C1892" s="5" t="str">
        <f t="shared" si="2135"/>
        <v>CH</v>
      </c>
      <c r="D1892" t="s">
        <v>1907</v>
      </c>
      <c r="E1892" t="str">
        <f t="shared" si="2131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2.7746815439309072</v>
      </c>
      <c r="G1892" s="1" cm="1">
        <f t="array" ref="G1892">SUMPRODUCT(([1]OUT_FinalEnergyCons!$B$4:$B$10000="Var_cap")*1, (ISNUMBER(SEARCH("SCOM-SHNGABR",[1]OUT_FinalEnergyCons!$A$4:$A$10000)))*1,[1]OUT_FinalEnergyCons!E$4:E$10000)</f>
        <v>2.6876246143265834</v>
      </c>
      <c r="H1892" s="1" cm="1">
        <f t="array" ref="H1892">SUMPRODUCT(([1]OUT_FinalEnergyCons!$B$4:$B$10000="Var_cap")*1, (ISNUMBER(SEARCH("SCOM-SHNGABR",[1]OUT_FinalEnergyCons!$A$4:$A$10000)))*1,[1]OUT_FinalEnergyCons!F$4:F$10000)</f>
        <v>2.6875444326445517</v>
      </c>
      <c r="I1892" s="1" cm="1">
        <f t="array" ref="I1892">SUMPRODUCT(([1]OUT_FinalEnergyCons!$B$4:$B$10000="Var_cap")*1, (ISNUMBER(SEARCH("SCOM-SHNGABR",[1]OUT_FinalEnergyCons!$A$4:$A$10000)))*1,[1]OUT_FinalEnergyCons!G$4:G$10000)</f>
        <v>2.6483588792119894</v>
      </c>
      <c r="J1892" s="1" cm="1">
        <f t="array" ref="J1892">SUMPRODUCT(([1]OUT_FinalEnergyCons!$B$4:$B$10000="Var_cap")*1, (ISNUMBER(SEARCH("SCOM-SHNGABR",[1]OUT_FinalEnergyCons!$A$4:$A$10000)))*1,[1]OUT_FinalEnergyCons!H$4:H$10000)</f>
        <v>2.1087814760701344</v>
      </c>
      <c r="K1892" s="1" cm="1">
        <f t="array" ref="K1892">SUMPRODUCT(([1]OUT_FinalEnergyCons!$B$4:$B$10000="Var_cap")*1, (ISNUMBER(SEARCH("SCOM-SHNGABR",[1]OUT_FinalEnergyCons!$A$4:$A$10000)))*1,[1]OUT_FinalEnergyCons!I$4:I$10000)</f>
        <v>1.9857755767005938</v>
      </c>
      <c r="L1892" s="1" cm="1">
        <f t="array" ref="L1892">SUMPRODUCT(([1]OUT_FinalEnergyCons!$B$4:$B$10000="Var_cap")*1, (ISNUMBER(SEARCH("SCOM-SHNGABR",[1]OUT_FinalEnergyCons!$A$4:$A$10000)))*1,[1]OUT_FinalEnergyCons!J$4:J$10000)</f>
        <v>2.0443219921041837</v>
      </c>
      <c r="M1892" s="1" cm="1">
        <f t="array" ref="M1892">SUMPRODUCT(([1]OUT_FinalEnergyCons!$B$4:$B$10000="Var_cap")*1, (ISNUMBER(SEARCH("SCOM-SHNGABR",[1]OUT_FinalEnergyCons!$A$4:$A$10000)))*1,[1]OUT_FinalEnergyCons!K$4:K$10000)</f>
        <v>0.56905318799509763</v>
      </c>
      <c r="N1892" s="1" cm="1">
        <f t="array" ref="N1892">SUMPRODUCT(([1]OUT_FinalEnergyCons!$B$4:$B$10000="Var_cap")*1, (ISNUMBER(SEARCH("SCOM-SHNGABR",[1]OUT_FinalEnergyCons!$A$4:$A$10000)))*1,[1]OUT_FinalEnergyCons!L$4:L$10000)</f>
        <v>0.63961550265805001</v>
      </c>
      <c r="O1892" s="1" cm="1">
        <f t="array" ref="O1892">SUMPRODUCT(([1]OUT_FinalEnergyCons!$B$4:$B$10000="Var_cap")*1, (ISNUMBER(SEARCH("SCOM-SHNGABR",[1]OUT_FinalEnergyCons!$A$4:$A$10000)))*1,[1]OUT_FinalEnergyCons!M$4:M$10000)</f>
        <v>0.29082306458865403</v>
      </c>
      <c r="P1892" s="1" cm="1">
        <f t="array" ref="P1892">SUMPRODUCT(([1]OUT_FinalEnergyCons!$B$4:$B$10000="Var_cap")*1, (ISNUMBER(SEARCH("SCOM-SHNGABR",[1]OUT_FinalEnergyCons!$A$4:$A$10000)))*1,[1]OUT_FinalEnergyCons!N$4:N$10000)</f>
        <v>0.13524978788296893</v>
      </c>
      <c r="Q1892" s="1" cm="1">
        <f t="array" ref="Q1892">SUMPRODUCT(([1]OUT_FinalEnergyCons!$B$4:$B$10000="Var_cap")*1, (ISNUMBER(SEARCH("SCOM-SHNGABR",[1]OUT_FinalEnergyCons!$A$4:$A$10000)))*1,[1]OUT_FinalEnergyCons!O$4:O$10000)</f>
        <v>8.8264154470921008E-2</v>
      </c>
      <c r="S1892" s="3"/>
    </row>
    <row r="1893" spans="2:19" x14ac:dyDescent="0.5">
      <c r="B1893" s="5" t="str">
        <f t="shared" ref="B1893:C1893" si="2136">B1892</f>
        <v>SPS1</v>
      </c>
      <c r="C1893" s="5" t="str">
        <f t="shared" si="2136"/>
        <v>CH</v>
      </c>
      <c r="D1893" t="s">
        <v>1908</v>
      </c>
      <c r="E1893" t="str">
        <f t="shared" si="2131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1.47370900743578E-7</v>
      </c>
      <c r="G1893" s="1" cm="1">
        <f t="array" ref="G1893">SUMPRODUCT(([1]OUT_FinalEnergyCons!$B$4:$B$10000="Var_cap")*1, (ISNUMBER(SEARCH("SCOM-SHngahp",[1]OUT_FinalEnergyCons!$A$4:$A$10000)))*1,[1]OUT_FinalEnergyCons!E$4:E$10000)</f>
        <v>1.1575099562228467E-5</v>
      </c>
      <c r="H1893" s="1" cm="1">
        <f t="array" ref="H1893">SUMPRODUCT(([1]OUT_FinalEnergyCons!$B$4:$B$10000="Var_cap")*1, (ISNUMBER(SEARCH("SCOM-SHngahp",[1]OUT_FinalEnergyCons!$A$4:$A$10000)))*1,[1]OUT_FinalEnergyCons!F$4:F$10000)</f>
        <v>4.8012169986114445E-5</v>
      </c>
      <c r="I1893" s="1" cm="1">
        <f t="array" ref="I1893">SUMPRODUCT(([1]OUT_FinalEnergyCons!$B$4:$B$10000="Var_cap")*1, (ISNUMBER(SEARCH("SCOM-SHngahp",[1]OUT_FinalEnergyCons!$A$4:$A$10000)))*1,[1]OUT_FinalEnergyCons!G$4:G$10000)</f>
        <v>4.8434764674681977E-5</v>
      </c>
      <c r="J1893" s="1" cm="1">
        <f t="array" ref="J1893">SUMPRODUCT(([1]OUT_FinalEnergyCons!$B$4:$B$10000="Var_cap")*1, (ISNUMBER(SEARCH("SCOM-SHngahp",[1]OUT_FinalEnergyCons!$A$4:$A$10000)))*1,[1]OUT_FinalEnergyCons!H$4:H$10000)</f>
        <v>6.7025174189908943E-4</v>
      </c>
      <c r="K1893" s="1" cm="1">
        <f t="array" ref="K1893">SUMPRODUCT(([1]OUT_FinalEnergyCons!$B$4:$B$10000="Var_cap")*1, (ISNUMBER(SEARCH("SCOM-SHngahp",[1]OUT_FinalEnergyCons!$A$4:$A$10000)))*1,[1]OUT_FinalEnergyCons!I$4:I$10000)</f>
        <v>1.0574186185581824E-3</v>
      </c>
      <c r="L1893" s="1" cm="1">
        <f t="array" ref="L1893">SUMPRODUCT(([1]OUT_FinalEnergyCons!$B$4:$B$10000="Var_cap")*1, (ISNUMBER(SEARCH("SCOM-SHngahp",[1]OUT_FinalEnergyCons!$A$4:$A$10000)))*1,[1]OUT_FinalEnergyCons!J$4:J$10000)</f>
        <v>3.7115750866703885E-2</v>
      </c>
      <c r="M1893" s="1" cm="1">
        <f t="array" ref="M1893">SUMPRODUCT(([1]OUT_FinalEnergyCons!$B$4:$B$10000="Var_cap")*1, (ISNUMBER(SEARCH("SCOM-SHngahp",[1]OUT_FinalEnergyCons!$A$4:$A$10000)))*1,[1]OUT_FinalEnergyCons!K$4:K$10000)</f>
        <v>9.6267687761240714E-2</v>
      </c>
      <c r="N1893" s="1" cm="1">
        <f t="array" ref="N1893">SUMPRODUCT(([1]OUT_FinalEnergyCons!$B$4:$B$10000="Var_cap")*1, (ISNUMBER(SEARCH("SCOM-SHngahp",[1]OUT_FinalEnergyCons!$A$4:$A$10000)))*1,[1]OUT_FinalEnergyCons!L$4:L$10000)</f>
        <v>0.16011678437859653</v>
      </c>
      <c r="O1893" s="1" cm="1">
        <f t="array" ref="O1893">SUMPRODUCT(([1]OUT_FinalEnergyCons!$B$4:$B$10000="Var_cap")*1, (ISNUMBER(SEARCH("SCOM-SHngahp",[1]OUT_FinalEnergyCons!$A$4:$A$10000)))*1,[1]OUT_FinalEnergyCons!M$4:M$10000)</f>
        <v>0.22889573489839724</v>
      </c>
      <c r="P1893" s="1" cm="1">
        <f t="array" ref="P1893">SUMPRODUCT(([1]OUT_FinalEnergyCons!$B$4:$B$10000="Var_cap")*1, (ISNUMBER(SEARCH("SCOM-SHngahp",[1]OUT_FinalEnergyCons!$A$4:$A$10000)))*1,[1]OUT_FinalEnergyCons!N$4:N$10000)</f>
        <v>0.3029822050821509</v>
      </c>
      <c r="Q1893" s="1" cm="1">
        <f t="array" ref="Q1893">SUMPRODUCT(([1]OUT_FinalEnergyCons!$B$4:$B$10000="Var_cap")*1, (ISNUMBER(SEARCH("SCOM-SHngahp",[1]OUT_FinalEnergyCons!$A$4:$A$10000)))*1,[1]OUT_FinalEnergyCons!O$4:O$10000)</f>
        <v>0.32926615866503761</v>
      </c>
      <c r="S1893" s="3"/>
    </row>
    <row r="1894" spans="2:19" x14ac:dyDescent="0.5">
      <c r="B1894" s="5" t="str">
        <f t="shared" ref="B1894:C1894" si="2137">B1893</f>
        <v>SPS1</v>
      </c>
      <c r="C1894" s="5" t="str">
        <f t="shared" si="2137"/>
        <v>CH</v>
      </c>
      <c r="D1894" t="s">
        <v>1909</v>
      </c>
      <c r="E1894" t="str">
        <f t="shared" si="2131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0.10534144791537044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0.10534306142355683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0.10534391901124379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0.10534364481498898</v>
      </c>
      <c r="J1894" s="1" cm="1">
        <f t="array" ref="J1894">SUMPRODUCT(([1]OUT_FinalEnergyCons!$B$4:$B$10000="Var_cap")*1, (("SCOM-SHBIOBR"=[1]OUT_FinalEnergyCons!$A$4:$A$10000)*1+("SCOM-SHBNGABR"=[1]OUT_FinalEnergyCons!$A$4:$A$10000)*1),[1]OUT_FinalEnergyCons!H$4:H$10000)</f>
        <v>0.21375966346220154</v>
      </c>
      <c r="K1894" s="1" cm="1">
        <f t="array" ref="K1894">SUMPRODUCT(([1]OUT_FinalEnergyCons!$B$4:$B$10000="Var_cap")*1, (("SCOM-SHBIOBR"=[1]OUT_FinalEnergyCons!$A$4:$A$10000)*1+("SCOM-SHBNGABR"=[1]OUT_FinalEnergyCons!$A$4:$A$10000)*1),[1]OUT_FinalEnergyCons!I$4:I$10000)</f>
        <v>0.37239724269559149</v>
      </c>
      <c r="L1894" s="1" cm="1">
        <f t="array" ref="L1894">SUMPRODUCT(([1]OUT_FinalEnergyCons!$B$4:$B$10000="Var_cap")*1, (("SCOM-SHBIOBR"=[1]OUT_FinalEnergyCons!$A$4:$A$10000)*1+("SCOM-SHBNGABR"=[1]OUT_FinalEnergyCons!$A$4:$A$10000)*1),[1]OUT_FinalEnergyCons!J$4:J$10000)</f>
        <v>0.54845398775630216</v>
      </c>
      <c r="M1894" s="1" cm="1">
        <f t="array" ref="M1894">SUMPRODUCT(([1]OUT_FinalEnergyCons!$B$4:$B$10000="Var_cap")*1, (("SCOM-SHBIOBR"=[1]OUT_FinalEnergyCons!$A$4:$A$10000)*1+("SCOM-SHBNGABR"=[1]OUT_FinalEnergyCons!$A$4:$A$10000)*1),[1]OUT_FinalEnergyCons!K$4:K$10000)</f>
        <v>0.91344350341667702</v>
      </c>
      <c r="N1894" s="1" cm="1">
        <f t="array" ref="N1894">SUMPRODUCT(([1]OUT_FinalEnergyCons!$B$4:$B$10000="Var_cap")*1, (("SCOM-SHBIOBR"=[1]OUT_FinalEnergyCons!$A$4:$A$10000)*1+("SCOM-SHBNGABR"=[1]OUT_FinalEnergyCons!$A$4:$A$10000)*1),[1]OUT_FinalEnergyCons!L$4:L$10000)</f>
        <v>0.92460205439851306</v>
      </c>
      <c r="O1894" s="1" cm="1">
        <f t="array" ref="O1894">SUMPRODUCT(([1]OUT_FinalEnergyCons!$B$4:$B$10000="Var_cap")*1, (("SCOM-SHBIOBR"=[1]OUT_FinalEnergyCons!$A$4:$A$10000)*1+("SCOM-SHBNGABR"=[1]OUT_FinalEnergyCons!$A$4:$A$10000)*1),[1]OUT_FinalEnergyCons!M$4:M$10000)</f>
        <v>1.1457075300566202</v>
      </c>
      <c r="P1894" s="1" cm="1">
        <f t="array" ref="P1894">SUMPRODUCT(([1]OUT_FinalEnergyCons!$B$4:$B$10000="Var_cap")*1, (("SCOM-SHBIOBR"=[1]OUT_FinalEnergyCons!$A$4:$A$10000)*1+("SCOM-SHBNGABR"=[1]OUT_FinalEnergyCons!$A$4:$A$10000)*1),[1]OUT_FinalEnergyCons!N$4:N$10000)</f>
        <v>1.3159518135861228</v>
      </c>
      <c r="Q1894" s="1" cm="1">
        <f t="array" ref="Q1894">SUMPRODUCT(([1]OUT_FinalEnergyCons!$B$4:$B$10000="Var_cap")*1, (("SCOM-SHBIOBR"=[1]OUT_FinalEnergyCons!$A$4:$A$10000)*1+("SCOM-SHBNGABR"=[1]OUT_FinalEnergyCons!$A$4:$A$10000)*1),[1]OUT_FinalEnergyCons!O$4:O$10000)</f>
        <v>1.2482221489854943</v>
      </c>
      <c r="S1894" s="3"/>
    </row>
    <row r="1895" spans="2:19" x14ac:dyDescent="0.5">
      <c r="B1895" s="5" t="str">
        <f t="shared" ref="B1895:C1895" si="2138">B1894</f>
        <v>SPS1</v>
      </c>
      <c r="C1895" s="5" t="str">
        <f t="shared" si="2138"/>
        <v>CH</v>
      </c>
      <c r="D1895" t="s">
        <v>1910</v>
      </c>
      <c r="E1895" t="str">
        <f t="shared" si="2131"/>
        <v>GWth/yr.</v>
      </c>
      <c r="F1895" s="1">
        <f>F1896</f>
        <v>0.47842168433497789</v>
      </c>
      <c r="G1895" s="1">
        <f t="shared" ref="G1895:O1895" si="2139">G1896</f>
        <v>0.54714843871729768</v>
      </c>
      <c r="H1895" s="1">
        <f t="shared" si="2139"/>
        <v>0.54714636729721233</v>
      </c>
      <c r="I1895" s="1">
        <f t="shared" si="2139"/>
        <v>0.54715443411561215</v>
      </c>
      <c r="J1895" s="1">
        <f t="shared" si="2139"/>
        <v>0.46551961859120944</v>
      </c>
      <c r="K1895" s="1">
        <f t="shared" si="2139"/>
        <v>0.52480005698278398</v>
      </c>
      <c r="L1895" s="1">
        <f t="shared" si="2139"/>
        <v>0.35720225939786998</v>
      </c>
      <c r="M1895" s="1">
        <f t="shared" si="2139"/>
        <v>0.24841277274553084</v>
      </c>
      <c r="N1895" s="1">
        <f t="shared" si="2139"/>
        <v>6.1434092403446973E-2</v>
      </c>
      <c r="O1895" s="1">
        <f t="shared" si="2139"/>
        <v>2.985746790563213E-2</v>
      </c>
      <c r="P1895" s="1">
        <f>P1896</f>
        <v>2.9852297972500066E-2</v>
      </c>
      <c r="Q1895" s="1">
        <f>Q1896</f>
        <v>6.5190708180583853E-2</v>
      </c>
      <c r="S1895" s="3"/>
    </row>
    <row r="1896" spans="2:19" x14ac:dyDescent="0.5">
      <c r="B1896" s="5" t="str">
        <f t="shared" ref="B1896:C1896" si="2140">B1895</f>
        <v>SPS1</v>
      </c>
      <c r="C1896" s="5" t="str">
        <f t="shared" si="2140"/>
        <v>CH</v>
      </c>
      <c r="D1896" t="s">
        <v>1911</v>
      </c>
      <c r="E1896" t="str">
        <f t="shared" si="2131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0.47842168433497789</v>
      </c>
      <c r="G1896" s="1" cm="1">
        <f t="array" ref="G1896">SUMPRODUCT(([1]OUT_FinalEnergyCons!$B$4:$B$10000="Var_cap")*1, (ISNUMBER(SEARCH("SCOM-SHWODBR",[1]OUT_FinalEnergyCons!$A$4:$A$10000)))*1,[1]OUT_FinalEnergyCons!E$4:E$10000)</f>
        <v>0.54714843871729768</v>
      </c>
      <c r="H1896" s="1" cm="1">
        <f t="array" ref="H1896">SUMPRODUCT(([1]OUT_FinalEnergyCons!$B$4:$B$10000="Var_cap")*1, (ISNUMBER(SEARCH("SCOM-SHWODBR",[1]OUT_FinalEnergyCons!$A$4:$A$10000)))*1,[1]OUT_FinalEnergyCons!F$4:F$10000)</f>
        <v>0.54714636729721233</v>
      </c>
      <c r="I1896" s="1" cm="1">
        <f t="array" ref="I1896">SUMPRODUCT(([1]OUT_FinalEnergyCons!$B$4:$B$10000="Var_cap")*1, (ISNUMBER(SEARCH("SCOM-SHWODBR",[1]OUT_FinalEnergyCons!$A$4:$A$10000)))*1,[1]OUT_FinalEnergyCons!G$4:G$10000)</f>
        <v>0.54715443411561215</v>
      </c>
      <c r="J1896" s="1" cm="1">
        <f t="array" ref="J1896">SUMPRODUCT(([1]OUT_FinalEnergyCons!$B$4:$B$10000="Var_cap")*1, (ISNUMBER(SEARCH("SCOM-SHWODBR",[1]OUT_FinalEnergyCons!$A$4:$A$10000)))*1,[1]OUT_FinalEnergyCons!H$4:H$10000)</f>
        <v>0.46551961859120944</v>
      </c>
      <c r="K1896" s="1" cm="1">
        <f t="array" ref="K1896">SUMPRODUCT(([1]OUT_FinalEnergyCons!$B$4:$B$10000="Var_cap")*1, (ISNUMBER(SEARCH("SCOM-SHWODBR",[1]OUT_FinalEnergyCons!$A$4:$A$10000)))*1,[1]OUT_FinalEnergyCons!I$4:I$10000)</f>
        <v>0.52480005698278398</v>
      </c>
      <c r="L1896" s="1" cm="1">
        <f t="array" ref="L1896">SUMPRODUCT(([1]OUT_FinalEnergyCons!$B$4:$B$10000="Var_cap")*1, (ISNUMBER(SEARCH("SCOM-SHWODBR",[1]OUT_FinalEnergyCons!$A$4:$A$10000)))*1,[1]OUT_FinalEnergyCons!J$4:J$10000)</f>
        <v>0.35720225939786998</v>
      </c>
      <c r="M1896" s="1" cm="1">
        <f t="array" ref="M1896">SUMPRODUCT(([1]OUT_FinalEnergyCons!$B$4:$B$10000="Var_cap")*1, (ISNUMBER(SEARCH("SCOM-SHWODBR",[1]OUT_FinalEnergyCons!$A$4:$A$10000)))*1,[1]OUT_FinalEnergyCons!K$4:K$10000)</f>
        <v>0.24841277274553084</v>
      </c>
      <c r="N1896" s="1" cm="1">
        <f t="array" ref="N1896">SUMPRODUCT(([1]OUT_FinalEnergyCons!$B$4:$B$10000="Var_cap")*1, (ISNUMBER(SEARCH("SCOM-SHWODBR",[1]OUT_FinalEnergyCons!$A$4:$A$10000)))*1,[1]OUT_FinalEnergyCons!L$4:L$10000)</f>
        <v>6.1434092403446973E-2</v>
      </c>
      <c r="O1896" s="1" cm="1">
        <f t="array" ref="O1896">SUMPRODUCT(([1]OUT_FinalEnergyCons!$B$4:$B$10000="Var_cap")*1, (ISNUMBER(SEARCH("SCOM-SHWODBR",[1]OUT_FinalEnergyCons!$A$4:$A$10000)))*1,[1]OUT_FinalEnergyCons!M$4:M$10000)</f>
        <v>2.985746790563213E-2</v>
      </c>
      <c r="P1896" s="1" cm="1">
        <f t="array" ref="P1896">SUMPRODUCT(([1]OUT_FinalEnergyCons!$B$4:$B$10000="Var_cap")*1, (ISNUMBER(SEARCH("SCOM-SHWODBR",[1]OUT_FinalEnergyCons!$A$4:$A$10000)))*1,[1]OUT_FinalEnergyCons!N$4:N$10000)</f>
        <v>2.9852297972500066E-2</v>
      </c>
      <c r="Q1896" s="1" cm="1">
        <f t="array" ref="Q1896">SUMPRODUCT(([1]OUT_FinalEnergyCons!$B$4:$B$10000="Var_cap")*1, (ISNUMBER(SEARCH("SCOM-SHWODBR",[1]OUT_FinalEnergyCons!$A$4:$A$10000)))*1,[1]OUT_FinalEnergyCons!O$4:O$10000)</f>
        <v>6.5190708180583853E-2</v>
      </c>
      <c r="S1896" s="3"/>
    </row>
    <row r="1897" spans="2:19" x14ac:dyDescent="0.5">
      <c r="B1897" s="5" t="str">
        <f t="shared" ref="B1897:C1897" si="2141">B1896</f>
        <v>SPS1</v>
      </c>
      <c r="C1897" s="5" t="str">
        <f t="shared" si="2141"/>
        <v>CH</v>
      </c>
      <c r="D1897" t="s">
        <v>1912</v>
      </c>
      <c r="E1897" t="str">
        <f t="shared" si="2131"/>
        <v>GWth/yr.</v>
      </c>
      <c r="F1897" s="1">
        <f>F1898</f>
        <v>0.15051143026863667</v>
      </c>
      <c r="G1897" s="1">
        <f t="shared" ref="G1897:O1897" si="2142">G1898</f>
        <v>0.17430703563645017</v>
      </c>
      <c r="H1897" s="1">
        <f t="shared" si="2142"/>
        <v>0.17430746595899771</v>
      </c>
      <c r="I1897" s="1">
        <f t="shared" si="2142"/>
        <v>0.17922484172650194</v>
      </c>
      <c r="J1897" s="1">
        <f t="shared" si="2142"/>
        <v>0.19110279979777631</v>
      </c>
      <c r="K1897" s="1">
        <f t="shared" si="2142"/>
        <v>0.21260913592850553</v>
      </c>
      <c r="L1897" s="1">
        <f t="shared" si="2142"/>
        <v>0.20866267609779754</v>
      </c>
      <c r="M1897" s="1">
        <f t="shared" si="2142"/>
        <v>0.22950405760033016</v>
      </c>
      <c r="N1897" s="1">
        <f t="shared" si="2142"/>
        <v>0.19594069770209477</v>
      </c>
      <c r="O1897" s="1">
        <f t="shared" si="2142"/>
        <v>0.18459810167093513</v>
      </c>
      <c r="P1897" s="1">
        <f>P1898</f>
        <v>0.18775615978849386</v>
      </c>
      <c r="Q1897" s="1">
        <f>Q1898</f>
        <v>0.33518094725706582</v>
      </c>
      <c r="S1897" s="3"/>
    </row>
    <row r="1898" spans="2:19" x14ac:dyDescent="0.5">
      <c r="B1898" s="5" t="str">
        <f t="shared" ref="B1898:C1898" si="2143">B1897</f>
        <v>SPS1</v>
      </c>
      <c r="C1898" s="5" t="str">
        <f t="shared" si="2143"/>
        <v>CH</v>
      </c>
      <c r="D1898" t="s">
        <v>1913</v>
      </c>
      <c r="E1898" t="str">
        <f t="shared" si="2131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0.15051143026863667</v>
      </c>
      <c r="G1898" s="1" cm="1">
        <f t="array" ref="G1898">SUMPRODUCT(([1]OUT_FinalEnergyCons!$B$4:$B$10000="Var_cap")*1,(ISNUMBER(SEARCH("SCOM-SHPLTBR",[1]OUT_FinalEnergyCons!$A$4:$A$10000)))*1,[1]OUT_FinalEnergyCons!E$4:E$10000)</f>
        <v>0.17430703563645017</v>
      </c>
      <c r="H1898" s="1" cm="1">
        <f t="array" ref="H1898">SUMPRODUCT(([1]OUT_FinalEnergyCons!$B$4:$B$10000="Var_cap")*1,(ISNUMBER(SEARCH("SCOM-SHPLTBR",[1]OUT_FinalEnergyCons!$A$4:$A$10000)))*1,[1]OUT_FinalEnergyCons!F$4:F$10000)</f>
        <v>0.17430746595899771</v>
      </c>
      <c r="I1898" s="1" cm="1">
        <f t="array" ref="I1898">SUMPRODUCT(([1]OUT_FinalEnergyCons!$B$4:$B$10000="Var_cap")*1,(ISNUMBER(SEARCH("SCOM-SHPLTBR",[1]OUT_FinalEnergyCons!$A$4:$A$10000)))*1,[1]OUT_FinalEnergyCons!G$4:G$10000)</f>
        <v>0.17922484172650194</v>
      </c>
      <c r="J1898" s="1" cm="1">
        <f t="array" ref="J1898">SUMPRODUCT(([1]OUT_FinalEnergyCons!$B$4:$B$10000="Var_cap")*1,(ISNUMBER(SEARCH("SCOM-SHPLTBR",[1]OUT_FinalEnergyCons!$A$4:$A$10000)))*1,[1]OUT_FinalEnergyCons!H$4:H$10000)</f>
        <v>0.19110279979777631</v>
      </c>
      <c r="K1898" s="1" cm="1">
        <f t="array" ref="K1898">SUMPRODUCT(([1]OUT_FinalEnergyCons!$B$4:$B$10000="Var_cap")*1,(ISNUMBER(SEARCH("SCOM-SHPLTBR",[1]OUT_FinalEnergyCons!$A$4:$A$10000)))*1,[1]OUT_FinalEnergyCons!I$4:I$10000)</f>
        <v>0.21260913592850553</v>
      </c>
      <c r="L1898" s="1" cm="1">
        <f t="array" ref="L1898">SUMPRODUCT(([1]OUT_FinalEnergyCons!$B$4:$B$10000="Var_cap")*1,(ISNUMBER(SEARCH("SCOM-SHPLTBR",[1]OUT_FinalEnergyCons!$A$4:$A$10000)))*1,[1]OUT_FinalEnergyCons!J$4:J$10000)</f>
        <v>0.20866267609779754</v>
      </c>
      <c r="M1898" s="1" cm="1">
        <f t="array" ref="M1898">SUMPRODUCT(([1]OUT_FinalEnergyCons!$B$4:$B$10000="Var_cap")*1,(ISNUMBER(SEARCH("SCOM-SHPLTBR",[1]OUT_FinalEnergyCons!$A$4:$A$10000)))*1,[1]OUT_FinalEnergyCons!K$4:K$10000)</f>
        <v>0.22950405760033016</v>
      </c>
      <c r="N1898" s="1" cm="1">
        <f t="array" ref="N1898">SUMPRODUCT(([1]OUT_FinalEnergyCons!$B$4:$B$10000="Var_cap")*1,(ISNUMBER(SEARCH("SCOM-SHPLTBR",[1]OUT_FinalEnergyCons!$A$4:$A$10000)))*1,[1]OUT_FinalEnergyCons!L$4:L$10000)</f>
        <v>0.19594069770209477</v>
      </c>
      <c r="O1898" s="1" cm="1">
        <f t="array" ref="O1898">SUMPRODUCT(([1]OUT_FinalEnergyCons!$B$4:$B$10000="Var_cap")*1,(ISNUMBER(SEARCH("SCOM-SHPLTBR",[1]OUT_FinalEnergyCons!$A$4:$A$10000)))*1,[1]OUT_FinalEnergyCons!M$4:M$10000)</f>
        <v>0.18459810167093513</v>
      </c>
      <c r="P1898" s="1" cm="1">
        <f t="array" ref="P1898">SUMPRODUCT(([1]OUT_FinalEnergyCons!$B$4:$B$10000="Var_cap")*1,(ISNUMBER(SEARCH("SCOM-SHPLTBR",[1]OUT_FinalEnergyCons!$A$4:$A$10000)))*1,[1]OUT_FinalEnergyCons!N$4:N$10000)</f>
        <v>0.18775615978849386</v>
      </c>
      <c r="Q1898" s="1" cm="1">
        <f t="array" ref="Q1898">SUMPRODUCT(([1]OUT_FinalEnergyCons!$B$4:$B$10000="Var_cap")*1,(ISNUMBER(SEARCH("SCOM-SHPLTBR",[1]OUT_FinalEnergyCons!$A$4:$A$10000)))*1,[1]OUT_FinalEnergyCons!O$4:O$10000)</f>
        <v>0.33518094725706582</v>
      </c>
      <c r="S1898" s="3"/>
    </row>
    <row r="1899" spans="2:19" x14ac:dyDescent="0.5">
      <c r="B1899" s="5" t="str">
        <f t="shared" ref="B1899:C1899" si="2144">B1898</f>
        <v>SPS1</v>
      </c>
      <c r="C1899" s="5" t="str">
        <f t="shared" si="2144"/>
        <v>CH</v>
      </c>
      <c r="D1899" t="s">
        <v>1914</v>
      </c>
      <c r="E1899" t="str">
        <f t="shared" si="2131"/>
        <v>GWth/yr.</v>
      </c>
      <c r="F1899" s="1">
        <f>F1900</f>
        <v>9.1063500485491417E-2</v>
      </c>
      <c r="G1899" s="1">
        <f t="shared" ref="G1899:O1899" si="2145">G1900</f>
        <v>9.9826754355190242E-2</v>
      </c>
      <c r="H1899" s="1">
        <f t="shared" si="2145"/>
        <v>9.9827691961713774E-2</v>
      </c>
      <c r="I1899" s="1">
        <f t="shared" si="2145"/>
        <v>0.1010595210721062</v>
      </c>
      <c r="J1899" s="1">
        <f t="shared" si="2145"/>
        <v>0.243352959949453</v>
      </c>
      <c r="K1899" s="1">
        <f t="shared" si="2145"/>
        <v>0.47944231142777599</v>
      </c>
      <c r="L1899" s="1">
        <f t="shared" si="2145"/>
        <v>0.50211229285052605</v>
      </c>
      <c r="M1899" s="1">
        <f t="shared" si="2145"/>
        <v>0.50211203283960004</v>
      </c>
      <c r="N1899" s="1">
        <f t="shared" si="2145"/>
        <v>0.50211178685444202</v>
      </c>
      <c r="O1899" s="1">
        <f t="shared" si="2145"/>
        <v>0.50211175142374598</v>
      </c>
      <c r="P1899" s="1">
        <f>P1900</f>
        <v>0.50211150274909599</v>
      </c>
      <c r="Q1899" s="1">
        <f>Q1900</f>
        <v>0.50211135001193896</v>
      </c>
      <c r="S1899" s="3"/>
    </row>
    <row r="1900" spans="2:19" x14ac:dyDescent="0.5">
      <c r="B1900" s="5" t="str">
        <f t="shared" ref="B1900:C1900" si="2146">B1899</f>
        <v>SPS1</v>
      </c>
      <c r="C1900" s="5" t="str">
        <f t="shared" si="2146"/>
        <v>CH</v>
      </c>
      <c r="D1900" t="s">
        <v>1915</v>
      </c>
      <c r="E1900" t="str">
        <f t="shared" si="2131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9.1063500485491417E-2</v>
      </c>
      <c r="G1900" s="1" cm="1">
        <f t="array" ref="G1900">SUMPRODUCT(([1]OUT_FinalEnergyCons!$B$4:$B$10000="Var_cap")*1, (ISNUMBER(SEARCH("SCOM-SHSOLBR",[1]OUT_FinalEnergyCons!$A$4:$A$10000)))*1,[1]OUT_FinalEnergyCons!E$4:E$10000)</f>
        <v>9.9826754355190242E-2</v>
      </c>
      <c r="H1900" s="1" cm="1">
        <f t="array" ref="H1900">SUMPRODUCT(([1]OUT_FinalEnergyCons!$B$4:$B$10000="Var_cap")*1, (ISNUMBER(SEARCH("SCOM-SHSOLBR",[1]OUT_FinalEnergyCons!$A$4:$A$10000)))*1,[1]OUT_FinalEnergyCons!F$4:F$10000)</f>
        <v>9.9827691961713774E-2</v>
      </c>
      <c r="I1900" s="1" cm="1">
        <f t="array" ref="I1900">SUMPRODUCT(([1]OUT_FinalEnergyCons!$B$4:$B$10000="Var_cap")*1, (ISNUMBER(SEARCH("SCOM-SHSOLBR",[1]OUT_FinalEnergyCons!$A$4:$A$10000)))*1,[1]OUT_FinalEnergyCons!G$4:G$10000)</f>
        <v>0.1010595210721062</v>
      </c>
      <c r="J1900" s="1" cm="1">
        <f t="array" ref="J1900">SUMPRODUCT(([1]OUT_FinalEnergyCons!$B$4:$B$10000="Var_cap")*1, (ISNUMBER(SEARCH("SCOM-SHSOLBR",[1]OUT_FinalEnergyCons!$A$4:$A$10000)))*1,[1]OUT_FinalEnergyCons!H$4:H$10000)</f>
        <v>0.243352959949453</v>
      </c>
      <c r="K1900" s="1" cm="1">
        <f t="array" ref="K1900">SUMPRODUCT(([1]OUT_FinalEnergyCons!$B$4:$B$10000="Var_cap")*1, (ISNUMBER(SEARCH("SCOM-SHSOLBR",[1]OUT_FinalEnergyCons!$A$4:$A$10000)))*1,[1]OUT_FinalEnergyCons!I$4:I$10000)</f>
        <v>0.47944231142777599</v>
      </c>
      <c r="L1900" s="1" cm="1">
        <f t="array" ref="L1900">SUMPRODUCT(([1]OUT_FinalEnergyCons!$B$4:$B$10000="Var_cap")*1, (ISNUMBER(SEARCH("SCOM-SHSOLBR",[1]OUT_FinalEnergyCons!$A$4:$A$10000)))*1,[1]OUT_FinalEnergyCons!J$4:J$10000)</f>
        <v>0.50211229285052605</v>
      </c>
      <c r="M1900" s="1" cm="1">
        <f t="array" ref="M1900">SUMPRODUCT(([1]OUT_FinalEnergyCons!$B$4:$B$10000="Var_cap")*1, (ISNUMBER(SEARCH("SCOM-SHSOLBR",[1]OUT_FinalEnergyCons!$A$4:$A$10000)))*1,[1]OUT_FinalEnergyCons!K$4:K$10000)</f>
        <v>0.50211203283960004</v>
      </c>
      <c r="N1900" s="1" cm="1">
        <f t="array" ref="N1900">SUMPRODUCT(([1]OUT_FinalEnergyCons!$B$4:$B$10000="Var_cap")*1, (ISNUMBER(SEARCH("SCOM-SHSOLBR",[1]OUT_FinalEnergyCons!$A$4:$A$10000)))*1,[1]OUT_FinalEnergyCons!L$4:L$10000)</f>
        <v>0.50211178685444202</v>
      </c>
      <c r="O1900" s="1" cm="1">
        <f t="array" ref="O1900">SUMPRODUCT(([1]OUT_FinalEnergyCons!$B$4:$B$10000="Var_cap")*1, (ISNUMBER(SEARCH("SCOM-SHSOLBR",[1]OUT_FinalEnergyCons!$A$4:$A$10000)))*1,[1]OUT_FinalEnergyCons!M$4:M$10000)</f>
        <v>0.50211175142374598</v>
      </c>
      <c r="P1900" s="1" cm="1">
        <f t="array" ref="P1900">SUMPRODUCT(([1]OUT_FinalEnergyCons!$B$4:$B$10000="Var_cap")*1, (ISNUMBER(SEARCH("SCOM-SHSOLBR",[1]OUT_FinalEnergyCons!$A$4:$A$10000)))*1,[1]OUT_FinalEnergyCons!N$4:N$10000)</f>
        <v>0.50211150274909599</v>
      </c>
      <c r="Q1900" s="1" cm="1">
        <f t="array" ref="Q1900">SUMPRODUCT(([1]OUT_FinalEnergyCons!$B$4:$B$10000="Var_cap")*1, (ISNUMBER(SEARCH("SCOM-SHSOLBR",[1]OUT_FinalEnergyCons!$A$4:$A$10000)))*1,[1]OUT_FinalEnergyCons!O$4:O$10000)</f>
        <v>0.50211135001193896</v>
      </c>
      <c r="S1900" s="3"/>
    </row>
    <row r="1901" spans="2:19" x14ac:dyDescent="0.5">
      <c r="B1901" s="5" t="str">
        <f t="shared" ref="B1901:C1901" si="2147">B1900</f>
        <v>SPS1</v>
      </c>
      <c r="C1901" s="5" t="str">
        <f t="shared" si="2147"/>
        <v>CH</v>
      </c>
      <c r="D1901" t="s">
        <v>1916</v>
      </c>
      <c r="E1901" t="str">
        <f t="shared" si="2131"/>
        <v>GWth/yr.</v>
      </c>
      <c r="F1901" s="1">
        <f>F1902</f>
        <v>0</v>
      </c>
      <c r="G1901" s="1">
        <f t="shared" ref="G1901:O1901" si="2148">G1902</f>
        <v>0</v>
      </c>
      <c r="H1901" s="1">
        <f t="shared" si="2148"/>
        <v>0</v>
      </c>
      <c r="I1901" s="1">
        <f t="shared" si="2148"/>
        <v>2.8508880372375199E-5</v>
      </c>
      <c r="J1901" s="1">
        <f t="shared" si="2148"/>
        <v>5.7457430683386631E-3</v>
      </c>
      <c r="K1901" s="1">
        <f t="shared" si="2148"/>
        <v>3.6761041300831583E-2</v>
      </c>
      <c r="L1901" s="1">
        <f t="shared" si="2148"/>
        <v>3.6742996818406141E-2</v>
      </c>
      <c r="M1901" s="1">
        <f t="shared" si="2148"/>
        <v>0.15641731837305153</v>
      </c>
      <c r="N1901" s="1">
        <f t="shared" si="2148"/>
        <v>0.14426182123364334</v>
      </c>
      <c r="O1901" s="1">
        <f t="shared" si="2148"/>
        <v>0.1394944409314946</v>
      </c>
      <c r="P1901" s="1">
        <f>P1902</f>
        <v>1.8869607895200605E-2</v>
      </c>
      <c r="Q1901" s="1">
        <f>Q1902</f>
        <v>3.4761724461470879E-4</v>
      </c>
      <c r="S1901" s="3"/>
    </row>
    <row r="1902" spans="2:19" x14ac:dyDescent="0.5">
      <c r="B1902" s="5" t="str">
        <f t="shared" ref="B1902:C1902" si="2149">B1901</f>
        <v>SPS1</v>
      </c>
      <c r="C1902" s="5" t="str">
        <f t="shared" si="2149"/>
        <v>CH</v>
      </c>
      <c r="D1902" t="s">
        <v>1917</v>
      </c>
      <c r="E1902" t="str">
        <f t="shared" si="2131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2.8508880372375199E-5</v>
      </c>
      <c r="J1902" s="1" cm="1">
        <f t="array" ref="J1902">SUMPRODUCT(([1]OUT_FinalEnergyCons!$B$4:$B$10000="Var_cap")*1, (ISNUMBER(SEARCH("SCOM-SHH2BR",[1]OUT_FinalEnergyCons!$A$4:$A$10000)))*1,[1]OUT_FinalEnergyCons!H$4:H$10000)</f>
        <v>5.7457430683386631E-3</v>
      </c>
      <c r="K1902" s="1" cm="1">
        <f t="array" ref="K1902">SUMPRODUCT(([1]OUT_FinalEnergyCons!$B$4:$B$10000="Var_cap")*1, (ISNUMBER(SEARCH("SCOM-SHH2BR",[1]OUT_FinalEnergyCons!$A$4:$A$10000)))*1,[1]OUT_FinalEnergyCons!I$4:I$10000)</f>
        <v>3.6761041300831583E-2</v>
      </c>
      <c r="L1902" s="1" cm="1">
        <f t="array" ref="L1902">SUMPRODUCT(([1]OUT_FinalEnergyCons!$B$4:$B$10000="Var_cap")*1, (ISNUMBER(SEARCH("SCOM-SHH2BR",[1]OUT_FinalEnergyCons!$A$4:$A$10000)))*1,[1]OUT_FinalEnergyCons!J$4:J$10000)</f>
        <v>3.6742996818406141E-2</v>
      </c>
      <c r="M1902" s="1" cm="1">
        <f t="array" ref="M1902">SUMPRODUCT(([1]OUT_FinalEnergyCons!$B$4:$B$10000="Var_cap")*1, (ISNUMBER(SEARCH("SCOM-SHH2BR",[1]OUT_FinalEnergyCons!$A$4:$A$10000)))*1,[1]OUT_FinalEnergyCons!K$4:K$10000)</f>
        <v>0.15641731837305153</v>
      </c>
      <c r="N1902" s="1" cm="1">
        <f t="array" ref="N1902">SUMPRODUCT(([1]OUT_FinalEnergyCons!$B$4:$B$10000="Var_cap")*1, (ISNUMBER(SEARCH("SCOM-SHH2BR",[1]OUT_FinalEnergyCons!$A$4:$A$10000)))*1,[1]OUT_FinalEnergyCons!L$4:L$10000)</f>
        <v>0.14426182123364334</v>
      </c>
      <c r="O1902" s="1" cm="1">
        <f t="array" ref="O1902">SUMPRODUCT(([1]OUT_FinalEnergyCons!$B$4:$B$10000="Var_cap")*1, (ISNUMBER(SEARCH("SCOM-SHH2BR",[1]OUT_FinalEnergyCons!$A$4:$A$10000)))*1,[1]OUT_FinalEnergyCons!M$4:M$10000)</f>
        <v>0.1394944409314946</v>
      </c>
      <c r="P1902" s="1" cm="1">
        <f t="array" ref="P1902">SUMPRODUCT(([1]OUT_FinalEnergyCons!$B$4:$B$10000="Var_cap")*1, (ISNUMBER(SEARCH("SCOM-SHH2BR",[1]OUT_FinalEnergyCons!$A$4:$A$10000)))*1,[1]OUT_FinalEnergyCons!N$4:N$10000)</f>
        <v>1.8869607895200605E-2</v>
      </c>
      <c r="Q1902" s="1" cm="1">
        <f t="array" ref="Q1902">SUMPRODUCT(([1]OUT_FinalEnergyCons!$B$4:$B$10000="Var_cap")*1, (ISNUMBER(SEARCH("SCOM-SHH2BR",[1]OUT_FinalEnergyCons!$A$4:$A$10000)))*1,[1]OUT_FinalEnergyCons!O$4:O$10000)</f>
        <v>3.4761724461470879E-4</v>
      </c>
      <c r="S1902" s="3"/>
    </row>
    <row r="1903" spans="2:19" x14ac:dyDescent="0.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4.6738679128068146</v>
      </c>
      <c r="G1903" s="3">
        <f t="shared" ref="G1903:K1903" si="2150">SUM(G1904:G1953)</f>
        <v>4.7774970700610933</v>
      </c>
      <c r="H1903" s="3">
        <f t="shared" si="2150"/>
        <v>4.9053371764214058</v>
      </c>
      <c r="I1903" s="3">
        <f t="shared" si="2150"/>
        <v>5.2120871658752019</v>
      </c>
      <c r="J1903" s="3">
        <f t="shared" si="2150"/>
        <v>5.3803653800667393</v>
      </c>
      <c r="K1903" s="3">
        <f t="shared" si="2150"/>
        <v>5.5490574751447967</v>
      </c>
      <c r="L1903" s="3">
        <f t="shared" ref="L1903:O1903" si="2151">SUM(L1904:L1953)</f>
        <v>5.652305797843451</v>
      </c>
      <c r="M1903" s="3">
        <f t="shared" si="2151"/>
        <v>5.757279524068716</v>
      </c>
      <c r="N1903" s="3">
        <f t="shared" si="2151"/>
        <v>6.0541908683127801</v>
      </c>
      <c r="O1903" s="3">
        <f t="shared" si="2151"/>
        <v>6.1880615714820744</v>
      </c>
      <c r="P1903" s="3">
        <f>SUM(P1904:P1953)</f>
        <v>6.3338958911377796</v>
      </c>
      <c r="Q1903" s="3">
        <f>SUM(Q1904:Q1953)</f>
        <v>6.5006609044170354</v>
      </c>
      <c r="S1903" s="3"/>
    </row>
    <row r="1904" spans="2:19" x14ac:dyDescent="0.5">
      <c r="B1904" s="5" t="str">
        <f t="shared" ref="B1904:B1953" si="2152">B1903</f>
        <v>SPS1</v>
      </c>
      <c r="C1904" s="5" t="str">
        <f t="shared" ref="C1904:C1953" si="2153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4.2039950158193756E-2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3.6433719700162633E-2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2.8026112769422799E-2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1.40133333333333E-2</v>
      </c>
      <c r="J1904" s="1" cm="1">
        <f t="array" ref="J1904">SUMPRODUCT(("Var_Cap"=[1]OUT_TransportEnergyCons!$B$4:$B$10000)*1,("-"=[1]OUT_TransportEnergyCons!$C$4:$C$10000)*1,ISNUMBER(SEARCH("T_C*bat*ext",[1]OUT_TransportEnergyCons!$A$4:$A$10000))*1,[1]OUT_TransportEnergyCons!H$4:H$10000)</f>
        <v>0</v>
      </c>
      <c r="K1904" s="1" cm="1">
        <f t="array" ref="K1904">SUMPRODUCT(("Var_Cap"=[1]OUT_TransportEnergyCons!$B$4:$B$10000)*1,("-"=[1]OUT_TransportEnergyCons!$C$4:$C$10000)*1,ISNUMBER(SEARCH("T_C*bat*ext",[1]OUT_TransportEnergyCons!$A$4:$A$10000))*1,[1]OUT_TransportEnergyCons!I$4:I$10000)</f>
        <v>0</v>
      </c>
      <c r="L1904" s="1" cm="1">
        <f t="array" ref="L1904">SUMPRODUCT(("Var_Cap"=[1]OUT_TransportEnergyCons!$B$4:$B$10000)*1,("-"=[1]OUT_TransportEnergyCons!$C$4:$C$10000)*1,ISNUMBER(SEARCH("T_C*bat*ext",[1]OUT_TransportEnergyCons!$A$4:$A$10000))*1,[1]OUT_TransportEnergyCons!J$4:J$10000)</f>
        <v>0</v>
      </c>
      <c r="M1904" s="1" cm="1">
        <f t="array" ref="M1904">SUMPRODUCT(("Var_Cap"=[1]OUT_TransportEnergyCons!$B$4:$B$10000)*1,("-"=[1]OUT_TransportEnergyCons!$C$4:$C$10000)*1,ISNUMBER(SEARCH("T_C*bat*ext",[1]OUT_TransportEnergyCons!$A$4:$A$10000))*1,[1]OUT_TransportEnergyCons!K$4:K$10000)</f>
        <v>0</v>
      </c>
      <c r="N1904" s="1" cm="1">
        <f t="array" ref="N1904">SUMPRODUCT(("Var_Cap"=[1]OUT_TransportEnergyCons!$B$4:$B$10000)*1,("-"=[1]OUT_TransportEnergyCons!$C$4:$C$10000)*1,ISNUMBER(SEARCH("T_C*bat*ext",[1]OUT_TransportEnergyCons!$A$4:$A$10000))*1,[1]OUT_TransportEnergyCons!L$4:L$10000)</f>
        <v>0</v>
      </c>
      <c r="O1904" s="1" cm="1">
        <f t="array" ref="O1904">SUMPRODUCT(("Var_Cap"=[1]OUT_TransportEnergyCons!$B$4:$B$10000)*1,("-"=[1]OUT_TransportEnergyCons!$C$4:$C$10000)*1,ISNUMBER(SEARCH("T_C*bat*ext",[1]OUT_TransportEnergyCons!$A$4:$A$10000))*1,[1]OUT_TransportEnergyCons!M$4:M$10000)</f>
        <v>0</v>
      </c>
      <c r="P1904" s="1" cm="1">
        <f t="array" ref="P1904">SUMPRODUCT(("Var_Cap"=[1]OUT_TransportEnergyCons!$B$4:$B$10000)*1,("-"=[1]OUT_TransportEnergyCons!$C$4:$C$10000)*1,ISNUMBER(SEARCH("T_C*bat*ext",[1]OUT_TransportEnergyCons!$A$4:$A$10000))*1,[1]OUT_TransportEnergyCons!N$4:N$10000)</f>
        <v>0</v>
      </c>
      <c r="Q1904" s="1" cm="1">
        <f t="array" ref="Q1904">SUMPRODUCT(("Var_Cap"=[1]OUT_TransportEnergyCons!$B$4:$B$10000)*1,("-"=[1]OUT_TransportEnergyCons!$C$4:$C$10000)*1,ISNUMBER(SEARCH("T_C*bat*ext",[1]OUT_TransportEnergyCons!$A$4:$A$10000))*1,[1]OUT_TransportEnergyCons!O$4:O$10000)</f>
        <v>0</v>
      </c>
      <c r="S1904" s="3"/>
    </row>
    <row r="1905" spans="2:19" x14ac:dyDescent="0.5">
      <c r="B1905" s="5" t="str">
        <f t="shared" si="2152"/>
        <v>SPS1</v>
      </c>
      <c r="C1905" s="5" t="str">
        <f t="shared" si="2153"/>
        <v>CH</v>
      </c>
      <c r="D1905" t="s">
        <v>1922</v>
      </c>
      <c r="E1905" t="str">
        <f t="shared" ref="E1905:E1953" si="2154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1.4934972936504224E-3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2.7343185402527747E-3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3.0908377014335492E-3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0.14494455454973751</v>
      </c>
      <c r="J1905" s="1" cm="1">
        <f t="array" ref="J1905">SUMPRODUCT(("Var_Cap"=[1]OUT_TransportEnergyCons!$B$4:$B$10000)*1,("-"=[1]OUT_TransportEnergyCons!$C$4:$C$10000)*1,ISNUMBER(SEARCH("T_C*bat*s1",[1]OUT_TransportEnergyCons!$A$4:$A$10000))*1,[1]OUT_TransportEnergyCons!H$4:H$10000)</f>
        <v>0.28642277148258882</v>
      </c>
      <c r="K1905" s="1" cm="1">
        <f t="array" ref="K1905">SUMPRODUCT(("Var_Cap"=[1]OUT_TransportEnergyCons!$B$4:$B$10000)*1,("-"=[1]OUT_TransportEnergyCons!$C$4:$C$10000)*1,ISNUMBER(SEARCH("T_C*bat*s1",[1]OUT_TransportEnergyCons!$A$4:$A$10000))*1,[1]OUT_TransportEnergyCons!I$4:I$10000)</f>
        <v>0.35109713163810863</v>
      </c>
      <c r="L1905" s="1" cm="1">
        <f t="array" ref="L1905">SUMPRODUCT(("Var_Cap"=[1]OUT_TransportEnergyCons!$B$4:$B$10000)*1,("-"=[1]OUT_TransportEnergyCons!$C$4:$C$10000)*1,ISNUMBER(SEARCH("T_C*bat*s1",[1]OUT_TransportEnergyCons!$A$4:$A$10000))*1,[1]OUT_TransportEnergyCons!J$4:J$10000)</f>
        <v>0.36609309626456954</v>
      </c>
      <c r="M1905" s="1" cm="1">
        <f t="array" ref="M1905">SUMPRODUCT(("Var_Cap"=[1]OUT_TransportEnergyCons!$B$4:$B$10000)*1,("-"=[1]OUT_TransportEnergyCons!$C$4:$C$10000)*1,ISNUMBER(SEARCH("T_C*bat*s1",[1]OUT_TransportEnergyCons!$A$4:$A$10000))*1,[1]OUT_TransportEnergyCons!K$4:K$10000)</f>
        <v>0.37189183255896441</v>
      </c>
      <c r="N1905" s="1" cm="1">
        <f t="array" ref="N1905">SUMPRODUCT(("Var_Cap"=[1]OUT_TransportEnergyCons!$B$4:$B$10000)*1,("-"=[1]OUT_TransportEnergyCons!$C$4:$C$10000)*1,ISNUMBER(SEARCH("T_C*bat*s1",[1]OUT_TransportEnergyCons!$A$4:$A$10000))*1,[1]OUT_TransportEnergyCons!L$4:L$10000)</f>
        <v>0.3703291199156743</v>
      </c>
      <c r="O1905" s="1" cm="1">
        <f t="array" ref="O1905">SUMPRODUCT(("Var_Cap"=[1]OUT_TransportEnergyCons!$B$4:$B$10000)*1,("-"=[1]OUT_TransportEnergyCons!$C$4:$C$10000)*1,ISNUMBER(SEARCH("T_C*bat*s1",[1]OUT_TransportEnergyCons!$A$4:$A$10000))*1,[1]OUT_TransportEnergyCons!M$4:M$10000)</f>
        <v>0.3693794959369805</v>
      </c>
      <c r="P1905" s="1" cm="1">
        <f t="array" ref="P1905">SUMPRODUCT(("Var_Cap"=[1]OUT_TransportEnergyCons!$B$4:$B$10000)*1,("-"=[1]OUT_TransportEnergyCons!$C$4:$C$10000)*1,ISNUMBER(SEARCH("T_C*bat*s1",[1]OUT_TransportEnergyCons!$A$4:$A$10000))*1,[1]OUT_TransportEnergyCons!N$4:N$10000)</f>
        <v>0.36834497562539625</v>
      </c>
      <c r="Q1905" s="1" cm="1">
        <f t="array" ref="Q1905">SUMPRODUCT(("Var_Cap"=[1]OUT_TransportEnergyCons!$B$4:$B$10000)*1,("-"=[1]OUT_TransportEnergyCons!$C$4:$C$10000)*1,ISNUMBER(SEARCH("T_C*bat*s1",[1]OUT_TransportEnergyCons!$A$4:$A$10000))*1,[1]OUT_TransportEnergyCons!O$4:O$10000)</f>
        <v>0.36806174075407844</v>
      </c>
      <c r="S1905" s="3"/>
    </row>
    <row r="1906" spans="2:19" x14ac:dyDescent="0.5">
      <c r="B1906" s="5" t="str">
        <f t="shared" si="2152"/>
        <v>SPS1</v>
      </c>
      <c r="C1906" s="5" t="str">
        <f t="shared" si="2153"/>
        <v>CH</v>
      </c>
      <c r="D1906" t="s">
        <v>1923</v>
      </c>
      <c r="E1906" t="str">
        <f t="shared" si="2154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7.3523560684385959E-3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1.1378508160965198E-2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0.1161635708108093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0.64387356759931758</v>
      </c>
      <c r="J1906" s="1" cm="1">
        <f t="array" ref="J1906">SUMPRODUCT(("Var_Cap"=[1]OUT_TransportEnergyCons!$B$4:$B$10000)*1,("-"=[1]OUT_TransportEnergyCons!$C$4:$C$10000)*1,ISNUMBER(SEARCH("T_C*bat*s2",[1]OUT_TransportEnergyCons!$A$4:$A$10000))*1,[1]OUT_TransportEnergyCons!H$4:H$10000)</f>
        <v>1.7664148397095905</v>
      </c>
      <c r="K1906" s="1" cm="1">
        <f t="array" ref="K1906">SUMPRODUCT(("Var_Cap"=[1]OUT_TransportEnergyCons!$B$4:$B$10000)*1,("-"=[1]OUT_TransportEnergyCons!$C$4:$C$10000)*1,ISNUMBER(SEARCH("T_C*bat*s2",[1]OUT_TransportEnergyCons!$A$4:$A$10000))*1,[1]OUT_TransportEnergyCons!I$4:I$10000)</f>
        <v>1.9229857734961884</v>
      </c>
      <c r="L1906" s="1" cm="1">
        <f t="array" ref="L1906">SUMPRODUCT(("Var_Cap"=[1]OUT_TransportEnergyCons!$B$4:$B$10000)*1,("-"=[1]OUT_TransportEnergyCons!$C$4:$C$10000)*1,ISNUMBER(SEARCH("T_C*bat*s2",[1]OUT_TransportEnergyCons!$A$4:$A$10000))*1,[1]OUT_TransportEnergyCons!J$4:J$10000)</f>
        <v>1.9217835119935527</v>
      </c>
      <c r="M1906" s="1" cm="1">
        <f t="array" ref="M1906">SUMPRODUCT(("Var_Cap"=[1]OUT_TransportEnergyCons!$B$4:$B$10000)*1,("-"=[1]OUT_TransportEnergyCons!$C$4:$C$10000)*1,ISNUMBER(SEARCH("T_C*bat*s2",[1]OUT_TransportEnergyCons!$A$4:$A$10000))*1,[1]OUT_TransportEnergyCons!K$4:K$10000)</f>
        <v>1.9032876614347605</v>
      </c>
      <c r="N1906" s="1" cm="1">
        <f t="array" ref="N1906">SUMPRODUCT(("Var_Cap"=[1]OUT_TransportEnergyCons!$B$4:$B$10000)*1,("-"=[1]OUT_TransportEnergyCons!$C$4:$C$10000)*1,ISNUMBER(SEARCH("T_C*bat*s2",[1]OUT_TransportEnergyCons!$A$4:$A$10000))*1,[1]OUT_TransportEnergyCons!L$4:L$10000)</f>
        <v>1.8970912412802363</v>
      </c>
      <c r="O1906" s="1" cm="1">
        <f t="array" ref="O1906">SUMPRODUCT(("Var_Cap"=[1]OUT_TransportEnergyCons!$B$4:$B$10000)*1,("-"=[1]OUT_TransportEnergyCons!$C$4:$C$10000)*1,ISNUMBER(SEARCH("T_C*bat*s2",[1]OUT_TransportEnergyCons!$A$4:$A$10000))*1,[1]OUT_TransportEnergyCons!M$4:M$10000)</f>
        <v>1.8909840140365755</v>
      </c>
      <c r="P1906" s="1" cm="1">
        <f t="array" ref="P1906">SUMPRODUCT(("Var_Cap"=[1]OUT_TransportEnergyCons!$B$4:$B$10000)*1,("-"=[1]OUT_TransportEnergyCons!$C$4:$C$10000)*1,ISNUMBER(SEARCH("T_C*bat*s2",[1]OUT_TransportEnergyCons!$A$4:$A$10000))*1,[1]OUT_TransportEnergyCons!N$4:N$10000)</f>
        <v>1.8859217923433635</v>
      </c>
      <c r="Q1906" s="1" cm="1">
        <f t="array" ref="Q1906">SUMPRODUCT(("Var_Cap"=[1]OUT_TransportEnergyCons!$B$4:$B$10000)*1,("-"=[1]OUT_TransportEnergyCons!$C$4:$C$10000)*1,ISNUMBER(SEARCH("T_C*bat*s2",[1]OUT_TransportEnergyCons!$A$4:$A$10000))*1,[1]OUT_TransportEnergyCons!O$4:O$10000)</f>
        <v>1.8849008512279883</v>
      </c>
      <c r="S1906" s="3"/>
    </row>
    <row r="1907" spans="2:19" x14ac:dyDescent="0.5">
      <c r="B1907" s="5" t="str">
        <f t="shared" si="2152"/>
        <v>SPS1</v>
      </c>
      <c r="C1907" s="5" t="str">
        <f t="shared" si="2153"/>
        <v>CH</v>
      </c>
      <c r="D1907" t="s">
        <v>1924</v>
      </c>
      <c r="E1907" t="str">
        <f t="shared" si="2154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4.2654620095566352E-3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8.6958694415253009E-3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8.98623067925358E-3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7.41516952312277E-3</v>
      </c>
      <c r="J1907" s="1" cm="1">
        <f t="array" ref="J1907">SUMPRODUCT(("Var_Cap"=[1]OUT_TransportEnergyCons!$B$4:$B$10000)*1,("-"=[1]OUT_TransportEnergyCons!$C$4:$C$10000)*1,ISNUMBER(SEARCH("T_C*bat*s3",[1]OUT_TransportEnergyCons!$A$4:$A$10000))*1,[1]OUT_TransportEnergyCons!H$4:H$10000)</f>
        <v>5.8372707699285514E-2</v>
      </c>
      <c r="K1907" s="1" cm="1">
        <f t="array" ref="K1907">SUMPRODUCT(("Var_Cap"=[1]OUT_TransportEnergyCons!$B$4:$B$10000)*1,("-"=[1]OUT_TransportEnergyCons!$C$4:$C$10000)*1,ISNUMBER(SEARCH("T_C*bat*s3",[1]OUT_TransportEnergyCons!$A$4:$A$10000))*1,[1]OUT_TransportEnergyCons!I$4:I$10000)</f>
        <v>0.40979375146838654</v>
      </c>
      <c r="L1907" s="1" cm="1">
        <f t="array" ref="L1907">SUMPRODUCT(("Var_Cap"=[1]OUT_TransportEnergyCons!$B$4:$B$10000)*1,("-"=[1]OUT_TransportEnergyCons!$C$4:$C$10000)*1,ISNUMBER(SEARCH("T_C*bat*s3",[1]OUT_TransportEnergyCons!$A$4:$A$10000))*1,[1]OUT_TransportEnergyCons!J$4:J$10000)</f>
        <v>0.36465464072933701</v>
      </c>
      <c r="M1907" s="1" cm="1">
        <f t="array" ref="M1907">SUMPRODUCT(("Var_Cap"=[1]OUT_TransportEnergyCons!$B$4:$B$10000)*1,("-"=[1]OUT_TransportEnergyCons!$C$4:$C$10000)*1,ISNUMBER(SEARCH("T_C*bat*s3",[1]OUT_TransportEnergyCons!$A$4:$A$10000))*1,[1]OUT_TransportEnergyCons!K$4:K$10000)</f>
        <v>0.85694263589048103</v>
      </c>
      <c r="N1907" s="1" cm="1">
        <f t="array" ref="N1907">SUMPRODUCT(("Var_Cap"=[1]OUT_TransportEnergyCons!$B$4:$B$10000)*1,("-"=[1]OUT_TransportEnergyCons!$C$4:$C$10000)*1,ISNUMBER(SEARCH("T_C*bat*s3",[1]OUT_TransportEnergyCons!$A$4:$A$10000))*1,[1]OUT_TransportEnergyCons!L$4:L$10000)</f>
        <v>0.9691172366848928</v>
      </c>
      <c r="O1907" s="1" cm="1">
        <f t="array" ref="O1907">SUMPRODUCT(("Var_Cap"=[1]OUT_TransportEnergyCons!$B$4:$B$10000)*1,("-"=[1]OUT_TransportEnergyCons!$C$4:$C$10000)*1,ISNUMBER(SEARCH("T_C*bat*s3",[1]OUT_TransportEnergyCons!$A$4:$A$10000))*1,[1]OUT_TransportEnergyCons!M$4:M$10000)</f>
        <v>1.3160197743865301</v>
      </c>
      <c r="P1907" s="1" cm="1">
        <f t="array" ref="P1907">SUMPRODUCT(("Var_Cap"=[1]OUT_TransportEnergyCons!$B$4:$B$10000)*1,("-"=[1]OUT_TransportEnergyCons!$C$4:$C$10000)*1,ISNUMBER(SEARCH("T_C*bat*s3",[1]OUT_TransportEnergyCons!$A$4:$A$10000))*1,[1]OUT_TransportEnergyCons!N$4:N$10000)</f>
        <v>2.2509212374207199</v>
      </c>
      <c r="Q1907" s="1" cm="1">
        <f t="array" ref="Q1907">SUMPRODUCT(("Var_Cap"=[1]OUT_TransportEnergyCons!$B$4:$B$10000)*1,("-"=[1]OUT_TransportEnergyCons!$C$4:$C$10000)*1,ISNUMBER(SEARCH("T_C*bat*s3",[1]OUT_TransportEnergyCons!$A$4:$A$10000))*1,[1]OUT_TransportEnergyCons!O$4:O$10000)</f>
        <v>1.9350408816978899</v>
      </c>
      <c r="S1907" s="3"/>
    </row>
    <row r="1908" spans="2:19" x14ac:dyDescent="0.5">
      <c r="B1908" s="5" t="str">
        <f t="shared" si="2152"/>
        <v>SPS1</v>
      </c>
      <c r="C1908" s="5" t="str">
        <f t="shared" si="2153"/>
        <v>CH</v>
      </c>
      <c r="D1908" t="s">
        <v>1925</v>
      </c>
      <c r="E1908" t="str">
        <f t="shared" si="2154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1.534060986716171E-2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9.9741454962733594E-2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0.26488161832622981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1.0013096019749277</v>
      </c>
      <c r="J1908" s="1" cm="1">
        <f t="array" ref="J1908">SUMPRODUCT(("Var_Cap"=[1]OUT_TransportEnergyCons!$B$4:$B$10000)*1,("-"=[1]OUT_TransportEnergyCons!$C$4:$C$10000)*1,ISNUMBER(SEARCH("T_C*bat*s4",[1]OUT_TransportEnergyCons!$A$4:$A$10000))*1,[1]OUT_TransportEnergyCons!H$4:H$10000)</f>
        <v>1.6191524572458829</v>
      </c>
      <c r="K1908" s="1" cm="1">
        <f t="array" ref="K1908">SUMPRODUCT(("Var_Cap"=[1]OUT_TransportEnergyCons!$B$4:$B$10000)*1,("-"=[1]OUT_TransportEnergyCons!$C$4:$C$10000)*1,ISNUMBER(SEARCH("T_C*bat*s4",[1]OUT_TransportEnergyCons!$A$4:$A$10000))*1,[1]OUT_TransportEnergyCons!I$4:I$10000)</f>
        <v>1.9381324930898223</v>
      </c>
      <c r="L1908" s="1" cm="1">
        <f t="array" ref="L1908">SUMPRODUCT(("Var_Cap"=[1]OUT_TransportEnergyCons!$B$4:$B$10000)*1,("-"=[1]OUT_TransportEnergyCons!$C$4:$C$10000)*1,ISNUMBER(SEARCH("T_C*bat*s4",[1]OUT_TransportEnergyCons!$A$4:$A$10000))*1,[1]OUT_TransportEnergyCons!J$4:J$10000)</f>
        <v>2.1265488042383636</v>
      </c>
      <c r="M1908" s="1" cm="1">
        <f t="array" ref="M1908">SUMPRODUCT(("Var_Cap"=[1]OUT_TransportEnergyCons!$B$4:$B$10000)*1,("-"=[1]OUT_TransportEnergyCons!$C$4:$C$10000)*1,ISNUMBER(SEARCH("T_C*bat*s4",[1]OUT_TransportEnergyCons!$A$4:$A$10000))*1,[1]OUT_TransportEnergyCons!K$4:K$10000)</f>
        <v>2.2509400934060499</v>
      </c>
      <c r="N1908" s="1" cm="1">
        <f t="array" ref="N1908">SUMPRODUCT(("Var_Cap"=[1]OUT_TransportEnergyCons!$B$4:$B$10000)*1,("-"=[1]OUT_TransportEnergyCons!$C$4:$C$10000)*1,ISNUMBER(SEARCH("T_C*bat*s4",[1]OUT_TransportEnergyCons!$A$4:$A$10000))*1,[1]OUT_TransportEnergyCons!L$4:L$10000)</f>
        <v>2.4097035335607804</v>
      </c>
      <c r="O1908" s="1" cm="1">
        <f t="array" ref="O1908">SUMPRODUCT(("Var_Cap"=[1]OUT_TransportEnergyCons!$B$4:$B$10000)*1,("-"=[1]OUT_TransportEnergyCons!$C$4:$C$10000)*1,ISNUMBER(SEARCH("T_C*bat*s4",[1]OUT_TransportEnergyCons!$A$4:$A$10000))*1,[1]OUT_TransportEnergyCons!M$4:M$10000)</f>
        <v>2.15874115840752</v>
      </c>
      <c r="P1908" s="1" cm="1">
        <f t="array" ref="P1908">SUMPRODUCT(("Var_Cap"=[1]OUT_TransportEnergyCons!$B$4:$B$10000)*1,("-"=[1]OUT_TransportEnergyCons!$C$4:$C$10000)*1,ISNUMBER(SEARCH("T_C*bat*s4",[1]OUT_TransportEnergyCons!$A$4:$A$10000))*1,[1]OUT_TransportEnergyCons!N$4:N$10000)</f>
        <v>1.3932355558662661</v>
      </c>
      <c r="Q1908" s="1" cm="1">
        <f t="array" ref="Q1908">SUMPRODUCT(("Var_Cap"=[1]OUT_TransportEnergyCons!$B$4:$B$10000)*1,("-"=[1]OUT_TransportEnergyCons!$C$4:$C$10000)*1,ISNUMBER(SEARCH("T_C*bat*s4",[1]OUT_TransportEnergyCons!$A$4:$A$10000))*1,[1]OUT_TransportEnergyCons!O$4:O$10000)</f>
        <v>1.92354337151899</v>
      </c>
      <c r="S1908" s="3"/>
    </row>
    <row r="1909" spans="2:19" x14ac:dyDescent="0.5">
      <c r="B1909" s="5" t="str">
        <f t="shared" si="2152"/>
        <v>SPS1</v>
      </c>
      <c r="C1909" s="5" t="str">
        <f t="shared" si="2153"/>
        <v>CH</v>
      </c>
      <c r="D1909" t="s">
        <v>1926</v>
      </c>
      <c r="E1909" t="str">
        <f t="shared" si="2154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2.5986946547648057E-5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4.0468983338428201E-5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5.5640559882932702E-5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6.0283577142806994E-5</v>
      </c>
      <c r="J1909" s="1" cm="1">
        <f t="array" ref="J1909">SUMPRODUCT(("Var_Cap"=[1]OUT_TransportEnergyCons!$B$4:$B$10000)*1,("-"=[1]OUT_TransportEnergyCons!$C$4:$C$10000)*1,ISNUMBER(SEARCH("T_C*pev*GSL*s1",[1]OUT_TransportEnergyCons!$A$4:$A$10000))*1,[1]OUT_TransportEnergyCons!H$4:H$10000)</f>
        <v>4.811482923575105E-5</v>
      </c>
      <c r="K1909" s="1" cm="1">
        <f t="array" ref="K1909">SUMPRODUCT(("Var_Cap"=[1]OUT_TransportEnergyCons!$B$4:$B$10000)*1,("-"=[1]OUT_TransportEnergyCons!$C$4:$C$10000)*1,ISNUMBER(SEARCH("T_C*pev*GSL*s1",[1]OUT_TransportEnergyCons!$A$4:$A$10000))*1,[1]OUT_TransportEnergyCons!I$4:I$10000)</f>
        <v>2.7466678861939577E-5</v>
      </c>
      <c r="L1909" s="1" cm="1">
        <f t="array" ref="L1909">SUMPRODUCT(("Var_Cap"=[1]OUT_TransportEnergyCons!$B$4:$B$10000)*1,("-"=[1]OUT_TransportEnergyCons!$C$4:$C$10000)*1,ISNUMBER(SEARCH("T_C*pev*GSL*s1",[1]OUT_TransportEnergyCons!$A$4:$A$10000))*1,[1]OUT_TransportEnergyCons!J$4:J$10000)</f>
        <v>2.6422206596531199E-5</v>
      </c>
      <c r="M1909" s="1" cm="1">
        <f t="array" ref="M1909">SUMPRODUCT(("Var_Cap"=[1]OUT_TransportEnergyCons!$B$4:$B$10000)*1,("-"=[1]OUT_TransportEnergyCons!$C$4:$C$10000)*1,ISNUMBER(SEARCH("T_C*pev*GSL*s1",[1]OUT_TransportEnergyCons!$A$4:$A$10000))*1,[1]OUT_TransportEnergyCons!K$4:K$10000)</f>
        <v>1.18285591548908E-5</v>
      </c>
      <c r="N1909" s="1" cm="1">
        <f t="array" ref="N1909">SUMPRODUCT(("Var_Cap"=[1]OUT_TransportEnergyCons!$B$4:$B$10000)*1,("-"=[1]OUT_TransportEnergyCons!$C$4:$C$10000)*1,ISNUMBER(SEARCH("T_C*pev*GSL*s1",[1]OUT_TransportEnergyCons!$A$4:$A$10000))*1,[1]OUT_TransportEnergyCons!L$4:L$10000)</f>
        <v>9.9751742707847996E-5</v>
      </c>
      <c r="O1909" s="1" cm="1">
        <f t="array" ref="O1909">SUMPRODUCT(("Var_Cap"=[1]OUT_TransportEnergyCons!$B$4:$B$10000)*1,("-"=[1]OUT_TransportEnergyCons!$C$4:$C$10000)*1,ISNUMBER(SEARCH("T_C*pev*GSL*s1",[1]OUT_TransportEnergyCons!$A$4:$A$10000))*1,[1]OUT_TransportEnergyCons!M$4:M$10000)</f>
        <v>1.7582224373145834E-4</v>
      </c>
      <c r="P1909" s="1" cm="1">
        <f t="array" ref="P1909">SUMPRODUCT(("Var_Cap"=[1]OUT_TransportEnergyCons!$B$4:$B$10000)*1,("-"=[1]OUT_TransportEnergyCons!$C$4:$C$10000)*1,ISNUMBER(SEARCH("T_C*pev*GSL*s1",[1]OUT_TransportEnergyCons!$A$4:$A$10000))*1,[1]OUT_TransportEnergyCons!N$4:N$10000)</f>
        <v>2.190520897118416E-4</v>
      </c>
      <c r="Q1909" s="1" cm="1">
        <f t="array" ref="Q1909">SUMPRODUCT(("Var_Cap"=[1]OUT_TransportEnergyCons!$B$4:$B$10000)*1,("-"=[1]OUT_TransportEnergyCons!$C$4:$C$10000)*1,ISNUMBER(SEARCH("T_C*pev*GSL*s1",[1]OUT_TransportEnergyCons!$A$4:$A$10000))*1,[1]OUT_TransportEnergyCons!O$4:O$10000)</f>
        <v>2.7962681837387821E-4</v>
      </c>
      <c r="S1909" s="3"/>
    </row>
    <row r="1910" spans="2:19" x14ac:dyDescent="0.5">
      <c r="B1910" s="5" t="str">
        <f t="shared" si="2152"/>
        <v>SPS1</v>
      </c>
      <c r="C1910" s="5" t="str">
        <f t="shared" si="2153"/>
        <v>CH</v>
      </c>
      <c r="D1910" t="s">
        <v>1927</v>
      </c>
      <c r="E1910" t="str">
        <f t="shared" si="2154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4.886081681131178E-3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7.4779983779991437E-3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7.2303082289309874E-3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5.9342906797343149E-3</v>
      </c>
      <c r="J1910" s="1" cm="1">
        <f t="array" ref="J1910">SUMPRODUCT(("Var_Cap"=[1]OUT_TransportEnergyCons!$B$4:$B$10000)*1,("-"=[1]OUT_TransportEnergyCons!$C$4:$C$10000)*1,ISNUMBER(SEARCH("T_C*pev*GSL*s2",[1]OUT_TransportEnergyCons!$A$4:$A$10000))*1,[1]OUT_TransportEnergyCons!H$4:H$10000)</f>
        <v>1.0101055836871451E-3</v>
      </c>
      <c r="K1910" s="1" cm="1">
        <f t="array" ref="K1910">SUMPRODUCT(("Var_Cap"=[1]OUT_TransportEnergyCons!$B$4:$B$10000)*1,("-"=[1]OUT_TransportEnergyCons!$C$4:$C$10000)*1,ISNUMBER(SEARCH("T_C*pev*GSL*s2",[1]OUT_TransportEnergyCons!$A$4:$A$10000))*1,[1]OUT_TransportEnergyCons!I$4:I$10000)</f>
        <v>5.9959021165908435E-5</v>
      </c>
      <c r="L1910" s="1" cm="1">
        <f t="array" ref="L1910">SUMPRODUCT(("Var_Cap"=[1]OUT_TransportEnergyCons!$B$4:$B$10000)*1,("-"=[1]OUT_TransportEnergyCons!$C$4:$C$10000)*1,ISNUMBER(SEARCH("T_C*pev*GSL*s2",[1]OUT_TransportEnergyCons!$A$4:$A$10000))*1,[1]OUT_TransportEnergyCons!J$4:J$10000)</f>
        <v>5.7550886570087299E-5</v>
      </c>
      <c r="M1910" s="1" cm="1">
        <f t="array" ref="M1910">SUMPRODUCT(("Var_Cap"=[1]OUT_TransportEnergyCons!$B$4:$B$10000)*1,("-"=[1]OUT_TransportEnergyCons!$C$4:$C$10000)*1,ISNUMBER(SEARCH("T_C*pev*GSL*s2",[1]OUT_TransportEnergyCons!$A$4:$A$10000))*1,[1]OUT_TransportEnergyCons!K$4:K$10000)</f>
        <v>3.1963701528251701E-5</v>
      </c>
      <c r="N1910" s="1" cm="1">
        <f t="array" ref="N1910">SUMPRODUCT(("Var_Cap"=[1]OUT_TransportEnergyCons!$B$4:$B$10000)*1,("-"=[1]OUT_TransportEnergyCons!$C$4:$C$10000)*1,ISNUMBER(SEARCH("T_C*pev*GSL*s2",[1]OUT_TransportEnergyCons!$A$4:$A$10000))*1,[1]OUT_TransportEnergyCons!L$4:L$10000)</f>
        <v>2.6216023681224098E-4</v>
      </c>
      <c r="O1910" s="1" cm="1">
        <f t="array" ref="O1910">SUMPRODUCT(("Var_Cap"=[1]OUT_TransportEnergyCons!$B$4:$B$10000)*1,("-"=[1]OUT_TransportEnergyCons!$C$4:$C$10000)*1,ISNUMBER(SEARCH("T_C*pev*GSL*s2",[1]OUT_TransportEnergyCons!$A$4:$A$10000))*1,[1]OUT_TransportEnergyCons!M$4:M$10000)</f>
        <v>2.7715996675752399E-4</v>
      </c>
      <c r="P1910" s="1" cm="1">
        <f t="array" ref="P1910">SUMPRODUCT(("Var_Cap"=[1]OUT_TransportEnergyCons!$B$4:$B$10000)*1,("-"=[1]OUT_TransportEnergyCons!$C$4:$C$10000)*1,ISNUMBER(SEARCH("T_C*pev*GSL*s2",[1]OUT_TransportEnergyCons!$A$4:$A$10000))*1,[1]OUT_TransportEnergyCons!N$4:N$10000)</f>
        <v>2.3039831293694945E-4</v>
      </c>
      <c r="Q1910" s="1" cm="1">
        <f t="array" ref="Q1910">SUMPRODUCT(("Var_Cap"=[1]OUT_TransportEnergyCons!$B$4:$B$10000)*1,("-"=[1]OUT_TransportEnergyCons!$C$4:$C$10000)*1,ISNUMBER(SEARCH("T_C*pev*GSL*s2",[1]OUT_TransportEnergyCons!$A$4:$A$10000))*1,[1]OUT_TransportEnergyCons!O$4:O$10000)</f>
        <v>1.17807392492227E-4</v>
      </c>
      <c r="S1910" s="3"/>
    </row>
    <row r="1911" spans="2:19" x14ac:dyDescent="0.5">
      <c r="B1911" s="5" t="str">
        <f t="shared" si="2152"/>
        <v>SPS1</v>
      </c>
      <c r="C1911" s="5" t="str">
        <f t="shared" si="2153"/>
        <v>CH</v>
      </c>
      <c r="D1911" t="s">
        <v>1928</v>
      </c>
      <c r="E1911" t="str">
        <f t="shared" si="2154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4.0688117856800482E-3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1.069729469813345E-2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8.28479021881873E-2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0.24640396138914555</v>
      </c>
      <c r="J1911" s="1" cm="1">
        <f t="array" ref="J1911">SUMPRODUCT(("Var_Cap"=[1]OUT_TransportEnergyCons!$B$4:$B$10000)*1,("-"=[1]OUT_TransportEnergyCons!$C$4:$C$10000)*1,ISNUMBER(SEARCH("T_C*pev*GSL*s3",[1]OUT_TransportEnergyCons!$A$4:$A$10000))*1,[1]OUT_TransportEnergyCons!H$4:H$10000)</f>
        <v>0.65805841342709814</v>
      </c>
      <c r="K1911" s="1" cm="1">
        <f t="array" ref="K1911">SUMPRODUCT(("Var_Cap"=[1]OUT_TransportEnergyCons!$B$4:$B$10000)*1,("-"=[1]OUT_TransportEnergyCons!$C$4:$C$10000)*1,ISNUMBER(SEARCH("T_C*pev*GSL*s3",[1]OUT_TransportEnergyCons!$A$4:$A$10000))*1,[1]OUT_TransportEnergyCons!I$4:I$10000)</f>
        <v>0.50736196971357028</v>
      </c>
      <c r="L1911" s="1" cm="1">
        <f t="array" ref="L1911">SUMPRODUCT(("Var_Cap"=[1]OUT_TransportEnergyCons!$B$4:$B$10000)*1,("-"=[1]OUT_TransportEnergyCons!$C$4:$C$10000)*1,ISNUMBER(SEARCH("T_C*pev*GSL*s3",[1]OUT_TransportEnergyCons!$A$4:$A$10000))*1,[1]OUT_TransportEnergyCons!J$4:J$10000)</f>
        <v>0.51066068566382805</v>
      </c>
      <c r="M1911" s="1" cm="1">
        <f t="array" ref="M1911">SUMPRODUCT(("Var_Cap"=[1]OUT_TransportEnergyCons!$B$4:$B$10000)*1,("-"=[1]OUT_TransportEnergyCons!$C$4:$C$10000)*1,ISNUMBER(SEARCH("T_C*pev*GSL*s3",[1]OUT_TransportEnergyCons!$A$4:$A$10000))*1,[1]OUT_TransportEnergyCons!K$4:K$10000)</f>
        <v>0.18724111635170401</v>
      </c>
      <c r="N1911" s="1" cm="1">
        <f t="array" ref="N1911">SUMPRODUCT(("Var_Cap"=[1]OUT_TransportEnergyCons!$B$4:$B$10000)*1,("-"=[1]OUT_TransportEnergyCons!$C$4:$C$10000)*1,ISNUMBER(SEARCH("T_C*pev*GSL*s3",[1]OUT_TransportEnergyCons!$A$4:$A$10000))*1,[1]OUT_TransportEnergyCons!L$4:L$10000)</f>
        <v>0.12041003083129199</v>
      </c>
      <c r="O1911" s="1" cm="1">
        <f t="array" ref="O1911">SUMPRODUCT(("Var_Cap"=[1]OUT_TransportEnergyCons!$B$4:$B$10000)*1,("-"=[1]OUT_TransportEnergyCons!$C$4:$C$10000)*1,ISNUMBER(SEARCH("T_C*pev*GSL*s3",[1]OUT_TransportEnergyCons!$A$4:$A$10000))*1,[1]OUT_TransportEnergyCons!M$4:M$10000)</f>
        <v>4.0492871263281797E-4</v>
      </c>
      <c r="P1911" s="1" cm="1">
        <f t="array" ref="P1911">SUMPRODUCT(("Var_Cap"=[1]OUT_TransportEnergyCons!$B$4:$B$10000)*1,("-"=[1]OUT_TransportEnergyCons!$C$4:$C$10000)*1,ISNUMBER(SEARCH("T_C*pev*GSL*s3",[1]OUT_TransportEnergyCons!$A$4:$A$10000))*1,[1]OUT_TransportEnergyCons!N$4:N$10000)</f>
        <v>3.670124960401792E-4</v>
      </c>
      <c r="Q1911" s="1" cm="1">
        <f t="array" ref="Q1911">SUMPRODUCT(("Var_Cap"=[1]OUT_TransportEnergyCons!$B$4:$B$10000)*1,("-"=[1]OUT_TransportEnergyCons!$C$4:$C$10000)*1,ISNUMBER(SEARCH("T_C*pev*GSL*s3",[1]OUT_TransportEnergyCons!$A$4:$A$10000))*1,[1]OUT_TransportEnergyCons!O$4:O$10000)</f>
        <v>2.0379564228022401E-4</v>
      </c>
      <c r="S1911" s="3"/>
    </row>
    <row r="1912" spans="2:19" x14ac:dyDescent="0.5">
      <c r="B1912" s="5" t="str">
        <f t="shared" si="2152"/>
        <v>SPS1</v>
      </c>
      <c r="C1912" s="5" t="str">
        <f t="shared" si="2153"/>
        <v>CH</v>
      </c>
      <c r="D1912" t="s">
        <v>1929</v>
      </c>
      <c r="E1912" t="str">
        <f t="shared" si="2154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7.2628038105919503E-3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1.2490021942006555E-2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1.2018235365621591E-2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9.7478264333495449E-3</v>
      </c>
      <c r="J1912" s="1" cm="1">
        <f t="array" ref="J1912">SUMPRODUCT(("Var_Cap"=[1]OUT_TransportEnergyCons!$B$4:$B$10000)*1,("-"=[1]OUT_TransportEnergyCons!$C$4:$C$10000)*1,ISNUMBER(SEARCH("T_C*pev*GSL*s4",[1]OUT_TransportEnergyCons!$A$4:$A$10000))*1,[1]OUT_TransportEnergyCons!H$4:H$10000)</f>
        <v>1.9727360076494107E-3</v>
      </c>
      <c r="K1912" s="1" cm="1">
        <f t="array" ref="K1912">SUMPRODUCT(("Var_Cap"=[1]OUT_TransportEnergyCons!$B$4:$B$10000)*1,("-"=[1]OUT_TransportEnergyCons!$C$4:$C$10000)*1,ISNUMBER(SEARCH("T_C*pev*GSL*s4",[1]OUT_TransportEnergyCons!$A$4:$A$10000))*1,[1]OUT_TransportEnergyCons!I$4:I$10000)</f>
        <v>1.2330910779837604E-4</v>
      </c>
      <c r="L1912" s="1" cm="1">
        <f t="array" ref="L1912">SUMPRODUCT(("Var_Cap"=[1]OUT_TransportEnergyCons!$B$4:$B$10000)*1,("-"=[1]OUT_TransportEnergyCons!$C$4:$C$10000)*1,ISNUMBER(SEARCH("T_C*pev*GSL*s4",[1]OUT_TransportEnergyCons!$A$4:$A$10000))*1,[1]OUT_TransportEnergyCons!J$4:J$10000)</f>
        <v>8.4548252545321194E-5</v>
      </c>
      <c r="M1912" s="1" cm="1">
        <f t="array" ref="M1912">SUMPRODUCT(("Var_Cap"=[1]OUT_TransportEnergyCons!$B$4:$B$10000)*1,("-"=[1]OUT_TransportEnergyCons!$C$4:$C$10000)*1,ISNUMBER(SEARCH("T_C*pev*GSL*s4",[1]OUT_TransportEnergyCons!$A$4:$A$10000))*1,[1]OUT_TransportEnergyCons!K$4:K$10000)</f>
        <v>4.2520450733090303E-5</v>
      </c>
      <c r="N1912" s="1" cm="1">
        <f t="array" ref="N1912">SUMPRODUCT(("Var_Cap"=[1]OUT_TransportEnergyCons!$B$4:$B$10000)*1,("-"=[1]OUT_TransportEnergyCons!$C$4:$C$10000)*1,ISNUMBER(SEARCH("T_C*pev*GSL*s4",[1]OUT_TransportEnergyCons!$A$4:$A$10000))*1,[1]OUT_TransportEnergyCons!L$4:L$10000)</f>
        <v>0.107427545820726</v>
      </c>
      <c r="O1912" s="1" cm="1">
        <f t="array" ref="O1912">SUMPRODUCT(("Var_Cap"=[1]OUT_TransportEnergyCons!$B$4:$B$10000)*1,("-"=[1]OUT_TransportEnergyCons!$C$4:$C$10000)*1,ISNUMBER(SEARCH("T_C*pev*GSL*s4",[1]OUT_TransportEnergyCons!$A$4:$A$10000))*1,[1]OUT_TransportEnergyCons!M$4:M$10000)</f>
        <v>0.27919765960187798</v>
      </c>
      <c r="P1912" s="1" cm="1">
        <f t="array" ref="P1912">SUMPRODUCT(("Var_Cap"=[1]OUT_TransportEnergyCons!$B$4:$B$10000)*1,("-"=[1]OUT_TransportEnergyCons!$C$4:$C$10000)*1,ISNUMBER(SEARCH("T_C*pev*GSL*s4",[1]OUT_TransportEnergyCons!$A$4:$A$10000))*1,[1]OUT_TransportEnergyCons!N$4:N$10000)</f>
        <v>0.26838054776586001</v>
      </c>
      <c r="Q1912" s="1" cm="1">
        <f t="array" ref="Q1912">SUMPRODUCT(("Var_Cap"=[1]OUT_TransportEnergyCons!$B$4:$B$10000)*1,("-"=[1]OUT_TransportEnergyCons!$C$4:$C$10000)*1,ISNUMBER(SEARCH("T_C*pev*GSL*s4",[1]OUT_TransportEnergyCons!$A$4:$A$10000))*1,[1]OUT_TransportEnergyCons!O$4:O$10000)</f>
        <v>0.22858695641573001</v>
      </c>
      <c r="S1912" s="3"/>
    </row>
    <row r="1913" spans="2:19" x14ac:dyDescent="0.5">
      <c r="B1913" s="5" t="str">
        <f t="shared" si="2152"/>
        <v>SPS1</v>
      </c>
      <c r="C1913" s="5" t="str">
        <f t="shared" si="2153"/>
        <v>CH</v>
      </c>
      <c r="D1913" t="s">
        <v>1930</v>
      </c>
      <c r="E1913" t="str">
        <f t="shared" si="2154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1.9359130395964699E-5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3.6200877361179197E-5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5.4939711392962398E-5</v>
      </c>
      <c r="J1913" s="1" cm="1">
        <f t="array" ref="J1913">SUMPRODUCT(("Var_Cap"=[1]OUT_TransportEnergyCons!$B$4:$B$10000)*1,("-"=[1]OUT_TransportEnergyCons!$C$4:$C$10000)*1,ISNUMBER(SEARCH("T_C*pev*dsl*s1",[1]OUT_TransportEnergyCons!$A$4:$A$10000))*1,[1]OUT_TransportEnergyCons!H$4:H$10000)</f>
        <v>5.5179497376435619E-5</v>
      </c>
      <c r="K1913" s="1" cm="1">
        <f t="array" ref="K1913">SUMPRODUCT(("Var_Cap"=[1]OUT_TransportEnergyCons!$B$4:$B$10000)*1,("-"=[1]OUT_TransportEnergyCons!$C$4:$C$10000)*1,ISNUMBER(SEARCH("T_C*pev*dsl*s1",[1]OUT_TransportEnergyCons!$A$4:$A$10000))*1,[1]OUT_TransportEnergyCons!I$4:I$10000)</f>
        <v>3.0785626356513487E-5</v>
      </c>
      <c r="L1913" s="1" cm="1">
        <f t="array" ref="L1913">SUMPRODUCT(("Var_Cap"=[1]OUT_TransportEnergyCons!$B$4:$B$10000)*1,("-"=[1]OUT_TransportEnergyCons!$C$4:$C$10000)*1,ISNUMBER(SEARCH("T_C*pev*dsl*s1",[1]OUT_TransportEnergyCons!$A$4:$A$10000))*1,[1]OUT_TransportEnergyCons!J$4:J$10000)</f>
        <v>1.1617671346861778E-4</v>
      </c>
      <c r="M1913" s="1" cm="1">
        <f t="array" ref="M1913">SUMPRODUCT(("Var_Cap"=[1]OUT_TransportEnergyCons!$B$4:$B$10000)*1,("-"=[1]OUT_TransportEnergyCons!$C$4:$C$10000)*1,ISNUMBER(SEARCH("T_C*pev*dsl*s1",[1]OUT_TransportEnergyCons!$A$4:$A$10000))*1,[1]OUT_TransportEnergyCons!K$4:K$10000)</f>
        <v>9.0622009882434701E-5</v>
      </c>
      <c r="N1913" s="1" cm="1">
        <f t="array" ref="N1913">SUMPRODUCT(("Var_Cap"=[1]OUT_TransportEnergyCons!$B$4:$B$10000)*1,("-"=[1]OUT_TransportEnergyCons!$C$4:$C$10000)*1,ISNUMBER(SEARCH("T_C*pev*dsl*s1",[1]OUT_TransportEnergyCons!$A$4:$A$10000))*1,[1]OUT_TransportEnergyCons!L$4:L$10000)</f>
        <v>3.7812606916485148E-4</v>
      </c>
      <c r="O1913" s="1" cm="1">
        <f t="array" ref="O1913">SUMPRODUCT(("Var_Cap"=[1]OUT_TransportEnergyCons!$B$4:$B$10000)*1,("-"=[1]OUT_TransportEnergyCons!$C$4:$C$10000)*1,ISNUMBER(SEARCH("T_C*pev*dsl*s1",[1]OUT_TransportEnergyCons!$A$4:$A$10000))*1,[1]OUT_TransportEnergyCons!M$4:M$10000)</f>
        <v>1.9149547491989992E-5</v>
      </c>
      <c r="P1913" s="1" cm="1">
        <f t="array" ref="P1913">SUMPRODUCT(("Var_Cap"=[1]OUT_TransportEnergyCons!$B$4:$B$10000)*1,("-"=[1]OUT_TransportEnergyCons!$C$4:$C$10000)*1,ISNUMBER(SEARCH("T_C*pev*dsl*s1",[1]OUT_TransportEnergyCons!$A$4:$A$10000))*1,[1]OUT_TransportEnergyCons!N$4:N$10000)</f>
        <v>1.1493091067527983E-5</v>
      </c>
      <c r="Q1913" s="1" cm="1">
        <f t="array" ref="Q1913">SUMPRODUCT(("Var_Cap"=[1]OUT_TransportEnergyCons!$B$4:$B$10000)*1,("-"=[1]OUT_TransportEnergyCons!$C$4:$C$10000)*1,ISNUMBER(SEARCH("T_C*pev*dsl*s1",[1]OUT_TransportEnergyCons!$A$4:$A$10000))*1,[1]OUT_TransportEnergyCons!O$4:O$10000)</f>
        <v>1.1083511400278768E-5</v>
      </c>
      <c r="S1913" s="3"/>
    </row>
    <row r="1914" spans="2:19" x14ac:dyDescent="0.5">
      <c r="B1914" s="5" t="str">
        <f t="shared" si="2152"/>
        <v>SPS1</v>
      </c>
      <c r="C1914" s="5" t="str">
        <f t="shared" si="2153"/>
        <v>CH</v>
      </c>
      <c r="D1914" t="s">
        <v>1931</v>
      </c>
      <c r="E1914" t="str">
        <f t="shared" si="2154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1.2862449560782664E-5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4.6432669881439414E-5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1.5134544802373828E-4</v>
      </c>
      <c r="J1914" s="1" cm="1">
        <f t="array" ref="J1914">SUMPRODUCT(("Var_Cap"=[1]OUT_TransportEnergyCons!$B$4:$B$10000)*1,("-"=[1]OUT_TransportEnergyCons!$C$4:$C$10000)*1,ISNUMBER(SEARCH("T_C*pev*dsl*s2",[1]OUT_TransportEnergyCons!$A$4:$A$10000))*1,[1]OUT_TransportEnergyCons!H$4:H$10000)</f>
        <v>1.4941182061456166E-4</v>
      </c>
      <c r="K1914" s="1" cm="1">
        <f t="array" ref="K1914">SUMPRODUCT(("Var_Cap"=[1]OUT_TransportEnergyCons!$B$4:$B$10000)*1,("-"=[1]OUT_TransportEnergyCons!$C$4:$C$10000)*1,ISNUMBER(SEARCH("T_C*pev*dsl*s2",[1]OUT_TransportEnergyCons!$A$4:$A$10000))*1,[1]OUT_TransportEnergyCons!I$4:I$10000)</f>
        <v>8.6845456784819604E-5</v>
      </c>
      <c r="L1914" s="1" cm="1">
        <f t="array" ref="L1914">SUMPRODUCT(("Var_Cap"=[1]OUT_TransportEnergyCons!$B$4:$B$10000)*1,("-"=[1]OUT_TransportEnergyCons!$C$4:$C$10000)*1,ISNUMBER(SEARCH("T_C*pev*dsl*s2",[1]OUT_TransportEnergyCons!$A$4:$A$10000))*1,[1]OUT_TransportEnergyCons!J$4:J$10000)</f>
        <v>3.9745288659287042E-4</v>
      </c>
      <c r="M1914" s="1" cm="1">
        <f t="array" ref="M1914">SUMPRODUCT(("Var_Cap"=[1]OUT_TransportEnergyCons!$B$4:$B$10000)*1,("-"=[1]OUT_TransportEnergyCons!$C$4:$C$10000)*1,ISNUMBER(SEARCH("T_C*pev*dsl*s2",[1]OUT_TransportEnergyCons!$A$4:$A$10000))*1,[1]OUT_TransportEnergyCons!K$4:K$10000)</f>
        <v>3.2803575109186E-4</v>
      </c>
      <c r="N1914" s="1" cm="1">
        <f t="array" ref="N1914">SUMPRODUCT(("Var_Cap"=[1]OUT_TransportEnergyCons!$B$4:$B$10000)*1,("-"=[1]OUT_TransportEnergyCons!$C$4:$C$10000)*1,ISNUMBER(SEARCH("T_C*pev*dsl*s2",[1]OUT_TransportEnergyCons!$A$4:$A$10000))*1,[1]OUT_TransportEnergyCons!L$4:L$10000)</f>
        <v>2.2770057448164301E-4</v>
      </c>
      <c r="O1914" s="1" cm="1">
        <f t="array" ref="O1914">SUMPRODUCT(("Var_Cap"=[1]OUT_TransportEnergyCons!$B$4:$B$10000)*1,("-"=[1]OUT_TransportEnergyCons!$C$4:$C$10000)*1,ISNUMBER(SEARCH("T_C*pev*dsl*s2",[1]OUT_TransportEnergyCons!$A$4:$A$10000))*1,[1]OUT_TransportEnergyCons!M$4:M$10000)</f>
        <v>2.09527987672248E-5</v>
      </c>
      <c r="P1914" s="1" cm="1">
        <f t="array" ref="P1914">SUMPRODUCT(("Var_Cap"=[1]OUT_TransportEnergyCons!$B$4:$B$10000)*1,("-"=[1]OUT_TransportEnergyCons!$C$4:$C$10000)*1,ISNUMBER(SEARCH("T_C*pev*dsl*s2",[1]OUT_TransportEnergyCons!$A$4:$A$10000))*1,[1]OUT_TransportEnergyCons!N$4:N$10000)</f>
        <v>1.8513451728730774E-5</v>
      </c>
      <c r="Q1914" s="1" cm="1">
        <f t="array" ref="Q1914">SUMPRODUCT(("Var_Cap"=[1]OUT_TransportEnergyCons!$B$4:$B$10000)*1,("-"=[1]OUT_TransportEnergyCons!$C$4:$C$10000)*1,ISNUMBER(SEARCH("T_C*pev*dsl*s2",[1]OUT_TransportEnergyCons!$A$4:$A$10000))*1,[1]OUT_TransportEnergyCons!O$4:O$10000)</f>
        <v>1.14971201305736E-5</v>
      </c>
      <c r="S1914" s="3"/>
    </row>
    <row r="1915" spans="2:19" x14ac:dyDescent="0.5">
      <c r="B1915" s="5" t="str">
        <f t="shared" si="2152"/>
        <v>SPS1</v>
      </c>
      <c r="C1915" s="5" t="str">
        <f t="shared" si="2153"/>
        <v>CH</v>
      </c>
      <c r="D1915" t="s">
        <v>1932</v>
      </c>
      <c r="E1915" t="str">
        <f t="shared" si="2154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3.2687214397511676E-2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6.7765107001444974E-2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0.37950128080003614</v>
      </c>
      <c r="J1915" s="1" cm="1">
        <f t="array" ref="J1915">SUMPRODUCT(("Var_Cap"=[1]OUT_TransportEnergyCons!$B$4:$B$10000)*1,("-"=[1]OUT_TransportEnergyCons!$C$4:$C$10000)*1,ISNUMBER(SEARCH("T_C*pev*dsl*s3",[1]OUT_TransportEnergyCons!$A$4:$A$10000))*1,[1]OUT_TransportEnergyCons!H$4:H$10000)</f>
        <v>0.52857070014630703</v>
      </c>
      <c r="K1915" s="1" cm="1">
        <f t="array" ref="K1915">SUMPRODUCT(("Var_Cap"=[1]OUT_TransportEnergyCons!$B$4:$B$10000)*1,("-"=[1]OUT_TransportEnergyCons!$C$4:$C$10000)*1,ISNUMBER(SEARCH("T_C*pev*dsl*s3",[1]OUT_TransportEnergyCons!$A$4:$A$10000))*1,[1]OUT_TransportEnergyCons!I$4:I$10000)</f>
        <v>0.36639994974082285</v>
      </c>
      <c r="L1915" s="1" cm="1">
        <f t="array" ref="L1915">SUMPRODUCT(("Var_Cap"=[1]OUT_TransportEnergyCons!$B$4:$B$10000)*1,("-"=[1]OUT_TransportEnergyCons!$C$4:$C$10000)*1,ISNUMBER(SEARCH("T_C*pev*dsl*s3",[1]OUT_TransportEnergyCons!$A$4:$A$10000))*1,[1]OUT_TransportEnergyCons!J$4:J$10000)</f>
        <v>0.36110067713237998</v>
      </c>
      <c r="M1915" s="1" cm="1">
        <f t="array" ref="M1915">SUMPRODUCT(("Var_Cap"=[1]OUT_TransportEnergyCons!$B$4:$B$10000)*1,("-"=[1]OUT_TransportEnergyCons!$C$4:$C$10000)*1,ISNUMBER(SEARCH("T_C*pev*dsl*s3",[1]OUT_TransportEnergyCons!$A$4:$A$10000))*1,[1]OUT_TransportEnergyCons!K$4:K$10000)</f>
        <v>0.18581926809702701</v>
      </c>
      <c r="N1915" s="1" cm="1">
        <f t="array" ref="N1915">SUMPRODUCT(("Var_Cap"=[1]OUT_TransportEnergyCons!$B$4:$B$10000)*1,("-"=[1]OUT_TransportEnergyCons!$C$4:$C$10000)*1,ISNUMBER(SEARCH("T_C*pev*dsl*s3",[1]OUT_TransportEnergyCons!$A$4:$A$10000))*1,[1]OUT_TransportEnergyCons!L$4:L$10000)</f>
        <v>0.119192869507706</v>
      </c>
      <c r="O1915" s="1" cm="1">
        <f t="array" ref="O1915">SUMPRODUCT(("Var_Cap"=[1]OUT_TransportEnergyCons!$B$4:$B$10000)*1,("-"=[1]OUT_TransportEnergyCons!$C$4:$C$10000)*1,ISNUMBER(SEARCH("T_C*pev*dsl*s3",[1]OUT_TransportEnergyCons!$A$4:$A$10000))*1,[1]OUT_TransportEnergyCons!M$4:M$10000)</f>
        <v>2.5288641957326201E-5</v>
      </c>
      <c r="P1915" s="1" cm="1">
        <f t="array" ref="P1915">SUMPRODUCT(("Var_Cap"=[1]OUT_TransportEnergyCons!$B$4:$B$10000)*1,("-"=[1]OUT_TransportEnergyCons!$C$4:$C$10000)*1,ISNUMBER(SEARCH("T_C*pev*dsl*s3",[1]OUT_TransportEnergyCons!$A$4:$A$10000))*1,[1]OUT_TransportEnergyCons!N$4:N$10000)</f>
        <v>2.2087962241091827E-5</v>
      </c>
      <c r="Q1915" s="1" cm="1">
        <f t="array" ref="Q1915">SUMPRODUCT(("Var_Cap"=[1]OUT_TransportEnergyCons!$B$4:$B$10000)*1,("-"=[1]OUT_TransportEnergyCons!$C$4:$C$10000)*1,ISNUMBER(SEARCH("T_C*pev*dsl*s3",[1]OUT_TransportEnergyCons!$A$4:$A$10000))*1,[1]OUT_TransportEnergyCons!O$4:O$10000)</f>
        <v>1.2797667482698301E-5</v>
      </c>
      <c r="S1915" s="3"/>
    </row>
    <row r="1916" spans="2:19" x14ac:dyDescent="0.5">
      <c r="B1916" s="5" t="str">
        <f t="shared" si="2152"/>
        <v>SPS1</v>
      </c>
      <c r="C1916" s="5" t="str">
        <f t="shared" si="2153"/>
        <v>CH</v>
      </c>
      <c r="D1916" t="s">
        <v>1933</v>
      </c>
      <c r="E1916" t="str">
        <f t="shared" si="2154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2.5910369584388002E-4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7.3243203431821752E-4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7.5334777762070602E-4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2.5479235546504242E-3</v>
      </c>
      <c r="J1916" s="1" cm="1">
        <f t="array" ref="J1916">SUMPRODUCT(("Var_Cap"=[1]OUT_TransportEnergyCons!$B$4:$B$10000)*1,("-"=[1]OUT_TransportEnergyCons!$C$4:$C$10000)*1,ISNUMBER(SEARCH("T_C*pev*dsl*s4",[1]OUT_TransportEnergyCons!$A$4:$A$10000))*1,[1]OUT_TransportEnergyCons!H$4:H$10000)</f>
        <v>1.813741730999388E-3</v>
      </c>
      <c r="K1916" s="1" cm="1">
        <f t="array" ref="K1916">SUMPRODUCT(("Var_Cap"=[1]OUT_TransportEnergyCons!$B$4:$B$10000)*1,("-"=[1]OUT_TransportEnergyCons!$C$4:$C$10000)*1,ISNUMBER(SEARCH("T_C*pev*dsl*s4",[1]OUT_TransportEnergyCons!$A$4:$A$10000))*1,[1]OUT_TransportEnergyCons!I$4:I$10000)</f>
        <v>9.9256411639192348E-4</v>
      </c>
      <c r="L1916" s="1" cm="1">
        <f t="array" ref="L1916">SUMPRODUCT(("Var_Cap"=[1]OUT_TransportEnergyCons!$B$4:$B$10000)*1,("-"=[1]OUT_TransportEnergyCons!$C$4:$C$10000)*1,ISNUMBER(SEARCH("T_C*pev*dsl*s4",[1]OUT_TransportEnergyCons!$A$4:$A$10000))*1,[1]OUT_TransportEnergyCons!J$4:J$10000)</f>
        <v>7.8130468609822199E-4</v>
      </c>
      <c r="M1916" s="1" cm="1">
        <f t="array" ref="M1916">SUMPRODUCT(("Var_Cap"=[1]OUT_TransportEnergyCons!$B$4:$B$10000)*1,("-"=[1]OUT_TransportEnergyCons!$C$4:$C$10000)*1,ISNUMBER(SEARCH("T_C*pev*dsl*s4",[1]OUT_TransportEnergyCons!$A$4:$A$10000))*1,[1]OUT_TransportEnergyCons!K$4:K$10000)</f>
        <v>6.5104931206863396E-4</v>
      </c>
      <c r="N1916" s="1" cm="1">
        <f t="array" ref="N1916">SUMPRODUCT(("Var_Cap"=[1]OUT_TransportEnergyCons!$B$4:$B$10000)*1,("-"=[1]OUT_TransportEnergyCons!$C$4:$C$10000)*1,ISNUMBER(SEARCH("T_C*pev*dsl*s4",[1]OUT_TransportEnergyCons!$A$4:$A$10000))*1,[1]OUT_TransportEnergyCons!L$4:L$10000)</f>
        <v>5.9950690737943797E-2</v>
      </c>
      <c r="O1916" s="1" cm="1">
        <f t="array" ref="O1916">SUMPRODUCT(("Var_Cap"=[1]OUT_TransportEnergyCons!$B$4:$B$10000)*1,("-"=[1]OUT_TransportEnergyCons!$C$4:$C$10000)*1,ISNUMBER(SEARCH("T_C*pev*dsl*s4",[1]OUT_TransportEnergyCons!$A$4:$A$10000))*1,[1]OUT_TransportEnergyCons!M$4:M$10000)</f>
        <v>0.17281535328786291</v>
      </c>
      <c r="P1916" s="1" cm="1">
        <f t="array" ref="P1916">SUMPRODUCT(("Var_Cap"=[1]OUT_TransportEnergyCons!$B$4:$B$10000)*1,("-"=[1]OUT_TransportEnergyCons!$C$4:$C$10000)*1,ISNUMBER(SEARCH("T_C*pev*dsl*s4",[1]OUT_TransportEnergyCons!$A$4:$A$10000))*1,[1]OUT_TransportEnergyCons!N$4:N$10000)</f>
        <v>0.16622246108142069</v>
      </c>
      <c r="Q1916" s="1" cm="1">
        <f t="array" ref="Q1916">SUMPRODUCT(("Var_Cap"=[1]OUT_TransportEnergyCons!$B$4:$B$10000)*1,("-"=[1]OUT_TransportEnergyCons!$C$4:$C$10000)*1,ISNUMBER(SEARCH("T_C*pev*dsl*s4",[1]OUT_TransportEnergyCons!$A$4:$A$10000))*1,[1]OUT_TransportEnergyCons!O$4:O$10000)</f>
        <v>0.15988898485800737</v>
      </c>
      <c r="S1916" s="3"/>
    </row>
    <row r="1917" spans="2:19" x14ac:dyDescent="0.5">
      <c r="B1917" s="5" t="str">
        <f t="shared" si="2152"/>
        <v>SPS1</v>
      </c>
      <c r="C1917" s="5" t="str">
        <f t="shared" si="2153"/>
        <v>CH</v>
      </c>
      <c r="D1917" t="s">
        <v>1934</v>
      </c>
      <c r="E1917" t="str">
        <f t="shared" si="2154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9.6937428387454498E-7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1.3380078062959699E-6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1.8678329226854397E-7</v>
      </c>
      <c r="J1917" s="1" cm="1">
        <f t="array" ref="J1917">SUMPRODUCT(("Var_Cap"=[1]OUT_TransportEnergyCons!$B$4:$B$10000)*1,("-"=[1]OUT_TransportEnergyCons!$C$4:$C$10000)*1,ISNUMBER(SEARCH("T_C*h2o*s1",[1]OUT_TransportEnergyCons!$A$4:$A$10000))*1,[1]OUT_TransportEnergyCons!H$4:H$10000)</f>
        <v>2.4942146775298994E-7</v>
      </c>
      <c r="K1917" s="1" cm="1">
        <f t="array" ref="K1917">SUMPRODUCT(("Var_Cap"=[1]OUT_TransportEnergyCons!$B$4:$B$10000)*1,("-"=[1]OUT_TransportEnergyCons!$C$4:$C$10000)*1,ISNUMBER(SEARCH("T_C*h2o*s1",[1]OUT_TransportEnergyCons!$A$4:$A$10000))*1,[1]OUT_TransportEnergyCons!I$4:I$10000)</f>
        <v>2.9873049181368183E-7</v>
      </c>
      <c r="L1917" s="1" cm="1">
        <f t="array" ref="L1917">SUMPRODUCT(("Var_Cap"=[1]OUT_TransportEnergyCons!$B$4:$B$10000)*1,("-"=[1]OUT_TransportEnergyCons!$C$4:$C$10000)*1,ISNUMBER(SEARCH("T_C*h2o*s1",[1]OUT_TransportEnergyCons!$A$4:$A$10000))*1,[1]OUT_TransportEnergyCons!J$4:J$10000)</f>
        <v>2.6369279239948463E-7</v>
      </c>
      <c r="M1917" s="1" cm="1">
        <f t="array" ref="M1917">SUMPRODUCT(("Var_Cap"=[1]OUT_TransportEnergyCons!$B$4:$B$10000)*1,("-"=[1]OUT_TransportEnergyCons!$C$4:$C$10000)*1,ISNUMBER(SEARCH("T_C*h2o*s1",[1]OUT_TransportEnergyCons!$A$4:$A$10000))*1,[1]OUT_TransportEnergyCons!K$4:K$10000)</f>
        <v>2.4961779641739897E-7</v>
      </c>
      <c r="N1917" s="1" cm="1">
        <f t="array" ref="N1917">SUMPRODUCT(("Var_Cap"=[1]OUT_TransportEnergyCons!$B$4:$B$10000)*1,("-"=[1]OUT_TransportEnergyCons!$C$4:$C$10000)*1,ISNUMBER(SEARCH("T_C*h2o*s1",[1]OUT_TransportEnergyCons!$A$4:$A$10000))*1,[1]OUT_TransportEnergyCons!L$4:L$10000)</f>
        <v>2.1825876335369206E-7</v>
      </c>
      <c r="O1917" s="1" cm="1">
        <f t="array" ref="O1917">SUMPRODUCT(("Var_Cap"=[1]OUT_TransportEnergyCons!$B$4:$B$10000)*1,("-"=[1]OUT_TransportEnergyCons!$C$4:$C$10000)*1,ISNUMBER(SEARCH("T_C*h2o*s1",[1]OUT_TransportEnergyCons!$A$4:$A$10000))*1,[1]OUT_TransportEnergyCons!M$4:M$10000)</f>
        <v>1.889867849831282E-7</v>
      </c>
      <c r="P1917" s="1" cm="1">
        <f t="array" ref="P1917">SUMPRODUCT(("Var_Cap"=[1]OUT_TransportEnergyCons!$B$4:$B$10000)*1,("-"=[1]OUT_TransportEnergyCons!$C$4:$C$10000)*1,ISNUMBER(SEARCH("T_C*h2o*s1",[1]OUT_TransportEnergyCons!$A$4:$A$10000))*1,[1]OUT_TransportEnergyCons!N$4:N$10000)</f>
        <v>1.346427177270232E-7</v>
      </c>
      <c r="Q1917" s="1" cm="1">
        <f t="array" ref="Q1917">SUMPRODUCT(("Var_Cap"=[1]OUT_TransportEnergyCons!$B$4:$B$10000)*1,("-"=[1]OUT_TransportEnergyCons!$C$4:$C$10000)*1,ISNUMBER(SEARCH("T_C*h2o*s1",[1]OUT_TransportEnergyCons!$A$4:$A$10000))*1,[1]OUT_TransportEnergyCons!O$4:O$10000)</f>
        <v>3.5679209069243098E-7</v>
      </c>
      <c r="S1917" s="3"/>
    </row>
    <row r="1918" spans="2:19" x14ac:dyDescent="0.5">
      <c r="B1918" s="5" t="str">
        <f t="shared" si="2152"/>
        <v>SPS1</v>
      </c>
      <c r="C1918" s="5" t="str">
        <f t="shared" si="2153"/>
        <v>CH</v>
      </c>
      <c r="D1918" t="s">
        <v>1935</v>
      </c>
      <c r="E1918" t="str">
        <f t="shared" si="2154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6.29877357210016E-6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6.8104027325121977E-6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7.0052226637938732E-6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2.5061497829832553E-7</v>
      </c>
      <c r="J1918" s="1" cm="1">
        <f t="array" ref="J1918">SUMPRODUCT(("Var_Cap"=[1]OUT_TransportEnergyCons!$B$4:$B$10000)*1,("-"=[1]OUT_TransportEnergyCons!$C$4:$C$10000)*1,ISNUMBER(SEARCH("T_C*h2o*s2",[1]OUT_TransportEnergyCons!$A$4:$A$10000))*1,[1]OUT_TransportEnergyCons!H$4:H$10000)</f>
        <v>2.3473565477504603E-7</v>
      </c>
      <c r="K1918" s="1" cm="1">
        <f t="array" ref="K1918">SUMPRODUCT(("Var_Cap"=[1]OUT_TransportEnergyCons!$B$4:$B$10000)*1,("-"=[1]OUT_TransportEnergyCons!$C$4:$C$10000)*1,ISNUMBER(SEARCH("T_C*h2o*s2",[1]OUT_TransportEnergyCons!$A$4:$A$10000))*1,[1]OUT_TransportEnergyCons!I$4:I$10000)</f>
        <v>2.2312982843609152E-7</v>
      </c>
      <c r="L1918" s="1" cm="1">
        <f t="array" ref="L1918">SUMPRODUCT(("Var_Cap"=[1]OUT_TransportEnergyCons!$B$4:$B$10000)*1,("-"=[1]OUT_TransportEnergyCons!$C$4:$C$10000)*1,ISNUMBER(SEARCH("T_C*h2o*s2",[1]OUT_TransportEnergyCons!$A$4:$A$10000))*1,[1]OUT_TransportEnergyCons!J$4:J$10000)</f>
        <v>2.238274063029795E-7</v>
      </c>
      <c r="M1918" s="1" cm="1">
        <f t="array" ref="M1918">SUMPRODUCT(("Var_Cap"=[1]OUT_TransportEnergyCons!$B$4:$B$10000)*1,("-"=[1]OUT_TransportEnergyCons!$C$4:$C$10000)*1,ISNUMBER(SEARCH("T_C*h2o*s2",[1]OUT_TransportEnergyCons!$A$4:$A$10000))*1,[1]OUT_TransportEnergyCons!K$4:K$10000)</f>
        <v>2.168829550499635E-7</v>
      </c>
      <c r="N1918" s="1" cm="1">
        <f t="array" ref="N1918">SUMPRODUCT(("Var_Cap"=[1]OUT_TransportEnergyCons!$B$4:$B$10000)*1,("-"=[1]OUT_TransportEnergyCons!$C$4:$C$10000)*1,ISNUMBER(SEARCH("T_C*h2o*s2",[1]OUT_TransportEnergyCons!$A$4:$A$10000))*1,[1]OUT_TransportEnergyCons!L$4:L$10000)</f>
        <v>2.1935425992166601E-7</v>
      </c>
      <c r="O1918" s="1" cm="1">
        <f t="array" ref="O1918">SUMPRODUCT(("Var_Cap"=[1]OUT_TransportEnergyCons!$B$4:$B$10000)*1,("-"=[1]OUT_TransportEnergyCons!$C$4:$C$10000)*1,ISNUMBER(SEARCH("T_C*h2o*s2",[1]OUT_TransportEnergyCons!$A$4:$A$10000))*1,[1]OUT_TransportEnergyCons!M$4:M$10000)</f>
        <v>2.1399186389885771E-7</v>
      </c>
      <c r="P1918" s="1" cm="1">
        <f t="array" ref="P1918">SUMPRODUCT(("Var_Cap"=[1]OUT_TransportEnergyCons!$B$4:$B$10000)*1,("-"=[1]OUT_TransportEnergyCons!$C$4:$C$10000)*1,ISNUMBER(SEARCH("T_C*h2o*s2",[1]OUT_TransportEnergyCons!$A$4:$A$10000))*1,[1]OUT_TransportEnergyCons!N$4:N$10000)</f>
        <v>2.010559186442137E-7</v>
      </c>
      <c r="Q1918" s="1" cm="1">
        <f t="array" ref="Q1918">SUMPRODUCT(("Var_Cap"=[1]OUT_TransportEnergyCons!$B$4:$B$10000)*1,("-"=[1]OUT_TransportEnergyCons!$C$4:$C$10000)*1,ISNUMBER(SEARCH("T_C*h2o*s2",[1]OUT_TransportEnergyCons!$A$4:$A$10000))*1,[1]OUT_TransportEnergyCons!O$4:O$10000)</f>
        <v>3.7929094224524201E-7</v>
      </c>
      <c r="S1918" s="3"/>
    </row>
    <row r="1919" spans="2:19" x14ac:dyDescent="0.5">
      <c r="B1919" s="5" t="str">
        <f t="shared" si="2152"/>
        <v>SPS1</v>
      </c>
      <c r="C1919" s="5" t="str">
        <f t="shared" si="2153"/>
        <v>CH</v>
      </c>
      <c r="D1919" t="s">
        <v>1936</v>
      </c>
      <c r="E1919" t="str">
        <f t="shared" si="2154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5.3623517248431096E-5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1.084589084497929E-4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1.0341685192101545E-4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3.3664019766779178E-7</v>
      </c>
      <c r="J1919" s="1" cm="1">
        <f t="array" ref="J1919">SUMPRODUCT(("Var_Cap"=[1]OUT_TransportEnergyCons!$B$4:$B$10000)*1,("-"=[1]OUT_TransportEnergyCons!$C$4:$C$10000)*1,ISNUMBER(SEARCH("T_C*h2o*s3",[1]OUT_TransportEnergyCons!$A$4:$A$10000))*1,[1]OUT_TransportEnergyCons!H$4:H$10000)</f>
        <v>2.5015901327120135E-7</v>
      </c>
      <c r="K1919" s="1" cm="1">
        <f t="array" ref="K1919">SUMPRODUCT(("Var_Cap"=[1]OUT_TransportEnergyCons!$B$4:$B$10000)*1,("-"=[1]OUT_TransportEnergyCons!$C$4:$C$10000)*1,ISNUMBER(SEARCH("T_C*h2o*s3",[1]OUT_TransportEnergyCons!$A$4:$A$10000))*1,[1]OUT_TransportEnergyCons!I$4:I$10000)</f>
        <v>1.9299723392591579E-7</v>
      </c>
      <c r="L1919" s="1" cm="1">
        <f t="array" ref="L1919">SUMPRODUCT(("Var_Cap"=[1]OUT_TransportEnergyCons!$B$4:$B$10000)*1,("-"=[1]OUT_TransportEnergyCons!$C$4:$C$10000)*1,ISNUMBER(SEARCH("T_C*h2o*s3",[1]OUT_TransportEnergyCons!$A$4:$A$10000))*1,[1]OUT_TransportEnergyCons!J$4:J$10000)</f>
        <v>2.0621365201249001E-7</v>
      </c>
      <c r="M1919" s="1" cm="1">
        <f t="array" ref="M1919">SUMPRODUCT(("Var_Cap"=[1]OUT_TransportEnergyCons!$B$4:$B$10000)*1,("-"=[1]OUT_TransportEnergyCons!$C$4:$C$10000)*1,ISNUMBER(SEARCH("T_C*h2o*s3",[1]OUT_TransportEnergyCons!$A$4:$A$10000))*1,[1]OUT_TransportEnergyCons!K$4:K$10000)</f>
        <v>2.10727551441118E-7</v>
      </c>
      <c r="N1919" s="1" cm="1">
        <f t="array" ref="N1919">SUMPRODUCT(("Var_Cap"=[1]OUT_TransportEnergyCons!$B$4:$B$10000)*1,("-"=[1]OUT_TransportEnergyCons!$C$4:$C$10000)*1,ISNUMBER(SEARCH("T_C*h2o*s3",[1]OUT_TransportEnergyCons!$A$4:$A$10000))*1,[1]OUT_TransportEnergyCons!L$4:L$10000)</f>
        <v>2.0744420569481601E-7</v>
      </c>
      <c r="O1919" s="1" cm="1">
        <f t="array" ref="O1919">SUMPRODUCT(("Var_Cap"=[1]OUT_TransportEnergyCons!$B$4:$B$10000)*1,("-"=[1]OUT_TransportEnergyCons!$C$4:$C$10000)*1,ISNUMBER(SEARCH("T_C*h2o*s3",[1]OUT_TransportEnergyCons!$A$4:$A$10000))*1,[1]OUT_TransportEnergyCons!M$4:M$10000)</f>
        <v>2.088107754325868E-7</v>
      </c>
      <c r="P1919" s="1" cm="1">
        <f t="array" ref="P1919">SUMPRODUCT(("Var_Cap"=[1]OUT_TransportEnergyCons!$B$4:$B$10000)*1,("-"=[1]OUT_TransportEnergyCons!$C$4:$C$10000)*1,ISNUMBER(SEARCH("T_C*h2o*s3",[1]OUT_TransportEnergyCons!$A$4:$A$10000))*1,[1]OUT_TransportEnergyCons!N$4:N$10000)</f>
        <v>2.366284283747978E-7</v>
      </c>
      <c r="Q1919" s="1" cm="1">
        <f t="array" ref="Q1919">SUMPRODUCT(("Var_Cap"=[1]OUT_TransportEnergyCons!$B$4:$B$10000)*1,("-"=[1]OUT_TransportEnergyCons!$C$4:$C$10000)*1,ISNUMBER(SEARCH("T_C*h2o*s3",[1]OUT_TransportEnergyCons!$A$4:$A$10000))*1,[1]OUT_TransportEnergyCons!O$4:O$10000)</f>
        <v>4.0130177475328599E-7</v>
      </c>
      <c r="S1919" s="3"/>
    </row>
    <row r="1920" spans="2:19" x14ac:dyDescent="0.5">
      <c r="B1920" s="5" t="str">
        <f t="shared" si="2152"/>
        <v>SPS1</v>
      </c>
      <c r="C1920" s="5" t="str">
        <f t="shared" si="2153"/>
        <v>CH</v>
      </c>
      <c r="D1920" t="s">
        <v>1937</v>
      </c>
      <c r="E1920" t="str">
        <f t="shared" si="2154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5.2655976516412599E-7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7.0668553443585699E-7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1.8588672599805597E-7</v>
      </c>
      <c r="J1920" s="1" cm="1">
        <f t="array" ref="J1920">SUMPRODUCT(("Var_Cap"=[1]OUT_TransportEnergyCons!$B$4:$B$10000)*1,("-"=[1]OUT_TransportEnergyCons!$C$4:$C$10000)*1,ISNUMBER(SEARCH("T_C*h2o*s4",[1]OUT_TransportEnergyCons!$A$4:$A$10000))*1,[1]OUT_TransportEnergyCons!H$4:H$10000)</f>
        <v>2.2984040169050697E-7</v>
      </c>
      <c r="K1920" s="1" cm="1">
        <f t="array" ref="K1920">SUMPRODUCT(("Var_Cap"=[1]OUT_TransportEnergyCons!$B$4:$B$10000)*1,("-"=[1]OUT_TransportEnergyCons!$C$4:$C$10000)*1,ISNUMBER(SEARCH("T_C*h2o*s4",[1]OUT_TransportEnergyCons!$A$4:$A$10000))*1,[1]OUT_TransportEnergyCons!I$4:I$10000)</f>
        <v>2.2626088773760482E-7</v>
      </c>
      <c r="L1920" s="1" cm="1">
        <f t="array" ref="L1920">SUMPRODUCT(("Var_Cap"=[1]OUT_TransportEnergyCons!$B$4:$B$10000)*1,("-"=[1]OUT_TransportEnergyCons!$C$4:$C$10000)*1,ISNUMBER(SEARCH("T_C*h2o*s4",[1]OUT_TransportEnergyCons!$A$4:$A$10000))*1,[1]OUT_TransportEnergyCons!J$4:J$10000)</f>
        <v>2.3245569796961305E-7</v>
      </c>
      <c r="M1920" s="1" cm="1">
        <f t="array" ref="M1920">SUMPRODUCT(("Var_Cap"=[1]OUT_TransportEnergyCons!$B$4:$B$10000)*1,("-"=[1]OUT_TransportEnergyCons!$C$4:$C$10000)*1,ISNUMBER(SEARCH("T_C*h2o*s4",[1]OUT_TransportEnergyCons!$A$4:$A$10000))*1,[1]OUT_TransportEnergyCons!K$4:K$10000)</f>
        <v>2.19316967340846E-7</v>
      </c>
      <c r="N1920" s="1" cm="1">
        <f t="array" ref="N1920">SUMPRODUCT(("Var_Cap"=[1]OUT_TransportEnergyCons!$B$4:$B$10000)*1,("-"=[1]OUT_TransportEnergyCons!$C$4:$C$10000)*1,ISNUMBER(SEARCH("T_C*h2o*s4",[1]OUT_TransportEnergyCons!$A$4:$A$10000))*1,[1]OUT_TransportEnergyCons!L$4:L$10000)</f>
        <v>2.1629313381396801E-7</v>
      </c>
      <c r="O1920" s="1" cm="1">
        <f t="array" ref="O1920">SUMPRODUCT(("Var_Cap"=[1]OUT_TransportEnergyCons!$B$4:$B$10000)*1,("-"=[1]OUT_TransportEnergyCons!$C$4:$C$10000)*1,ISNUMBER(SEARCH("T_C*h2o*s4",[1]OUT_TransportEnergyCons!$A$4:$A$10000))*1,[1]OUT_TransportEnergyCons!M$4:M$10000)</f>
        <v>2.0212396447138939E-7</v>
      </c>
      <c r="P1920" s="1" cm="1">
        <f t="array" ref="P1920">SUMPRODUCT(("Var_Cap"=[1]OUT_TransportEnergyCons!$B$4:$B$10000)*1,("-"=[1]OUT_TransportEnergyCons!$C$4:$C$10000)*1,ISNUMBER(SEARCH("T_C*h2o*s4",[1]OUT_TransportEnergyCons!$A$4:$A$10000))*1,[1]OUT_TransportEnergyCons!N$4:N$10000)</f>
        <v>1.913039641390181E-7</v>
      </c>
      <c r="Q1920" s="1" cm="1">
        <f t="array" ref="Q1920">SUMPRODUCT(("Var_Cap"=[1]OUT_TransportEnergyCons!$B$4:$B$10000)*1,("-"=[1]OUT_TransportEnergyCons!$C$4:$C$10000)*1,ISNUMBER(SEARCH("T_C*h2o*s4",[1]OUT_TransportEnergyCons!$A$4:$A$10000))*1,[1]OUT_TransportEnergyCons!O$4:O$10000)</f>
        <v>3.7240738353968902E-7</v>
      </c>
      <c r="S1920" s="3"/>
    </row>
    <row r="1921" spans="2:19" x14ac:dyDescent="0.5">
      <c r="B1921" s="5" t="str">
        <f t="shared" si="2152"/>
        <v>SPS1</v>
      </c>
      <c r="C1921" s="5" t="str">
        <f t="shared" si="2153"/>
        <v>CH</v>
      </c>
      <c r="D1921" t="s">
        <v>1938</v>
      </c>
      <c r="E1921" t="str">
        <f t="shared" si="2154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6.5792794701655277E-2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4.38946666666667E-2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2.1947333333333301E-2</v>
      </c>
      <c r="J1921" s="1" cm="1">
        <f t="array" ref="J1921">SUMPRODUCT(("Var_Cap"=[1]OUT_TransportEnergyCons!$B$4:$B$10000)*1,("-"=[1]OUT_TransportEnergyCons!$C$4:$C$10000)*1,ISNUMBER(SEARCH("T_C*hy*GSL*ext",[1]OUT_TransportEnergyCons!$A$4:$A$10000))*1,[1]OUT_TransportEnergyCons!H$4:H$10000)</f>
        <v>0</v>
      </c>
      <c r="K1921" s="1" cm="1">
        <f t="array" ref="K1921">SUMPRODUCT(("Var_Cap"=[1]OUT_TransportEnergyCons!$B$4:$B$10000)*1,("-"=[1]OUT_TransportEnergyCons!$C$4:$C$10000)*1,ISNUMBER(SEARCH("T_C*hy*GSL*ext",[1]OUT_TransportEnergyCons!$A$4:$A$10000))*1,[1]OUT_TransportEnergyCons!I$4:I$10000)</f>
        <v>0</v>
      </c>
      <c r="L1921" s="1" cm="1">
        <f t="array" ref="L1921">SUMPRODUCT(("Var_Cap"=[1]OUT_TransportEnergyCons!$B$4:$B$10000)*1,("-"=[1]OUT_TransportEnergyCons!$C$4:$C$10000)*1,ISNUMBER(SEARCH("T_C*hy*GSL*ext",[1]OUT_TransportEnergyCons!$A$4:$A$10000))*1,[1]OUT_TransportEnergyCons!J$4:J$10000)</f>
        <v>0</v>
      </c>
      <c r="M1921" s="1" cm="1">
        <f t="array" ref="M1921">SUMPRODUCT(("Var_Cap"=[1]OUT_TransportEnergyCons!$B$4:$B$10000)*1,("-"=[1]OUT_TransportEnergyCons!$C$4:$C$10000)*1,ISNUMBER(SEARCH("T_C*hy*GSL*ext",[1]OUT_TransportEnergyCons!$A$4:$A$10000))*1,[1]OUT_TransportEnergyCons!K$4:K$10000)</f>
        <v>0</v>
      </c>
      <c r="N1921" s="1" cm="1">
        <f t="array" ref="N1921">SUMPRODUCT(("Var_Cap"=[1]OUT_TransportEnergyCons!$B$4:$B$10000)*1,("-"=[1]OUT_TransportEnergyCons!$C$4:$C$10000)*1,ISNUMBER(SEARCH("T_C*hy*GSL*ext",[1]OUT_TransportEnergyCons!$A$4:$A$10000))*1,[1]OUT_TransportEnergyCons!L$4:L$10000)</f>
        <v>0</v>
      </c>
      <c r="O1921" s="1" cm="1">
        <f t="array" ref="O1921">SUMPRODUCT(("Var_Cap"=[1]OUT_TransportEnergyCons!$B$4:$B$10000)*1,("-"=[1]OUT_TransportEnergyCons!$C$4:$C$10000)*1,ISNUMBER(SEARCH("T_C*hy*GSL*ext",[1]OUT_TransportEnergyCons!$A$4:$A$10000))*1,[1]OUT_TransportEnergyCons!M$4:M$10000)</f>
        <v>0</v>
      </c>
      <c r="P1921" s="1" cm="1">
        <f t="array" ref="P1921">SUMPRODUCT(("Var_Cap"=[1]OUT_TransportEnergyCons!$B$4:$B$10000)*1,("-"=[1]OUT_TransportEnergyCons!$C$4:$C$10000)*1,ISNUMBER(SEARCH("T_C*hy*GSL*ext",[1]OUT_TransportEnergyCons!$A$4:$A$10000))*1,[1]OUT_TransportEnergyCons!N$4:N$10000)</f>
        <v>0</v>
      </c>
      <c r="Q1921" s="1" cm="1">
        <f t="array" ref="Q1921">SUMPRODUCT(("Var_Cap"=[1]OUT_TransportEnergyCons!$B$4:$B$10000)*1,("-"=[1]OUT_TransportEnergyCons!$C$4:$C$10000)*1,ISNUMBER(SEARCH("T_C*hy*GSL*ext",[1]OUT_TransportEnergyCons!$A$4:$A$10000))*1,[1]OUT_TransportEnergyCons!O$4:O$10000)</f>
        <v>0</v>
      </c>
      <c r="S1921" s="3"/>
    </row>
    <row r="1922" spans="2:19" x14ac:dyDescent="0.5">
      <c r="B1922" s="5" t="str">
        <f t="shared" si="2152"/>
        <v>SPS1</v>
      </c>
      <c r="C1922" s="5" t="str">
        <f t="shared" si="2153"/>
        <v>CH</v>
      </c>
      <c r="D1922" t="s">
        <v>1939</v>
      </c>
      <c r="E1922" t="str">
        <f t="shared" si="2154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5.6690445739918842E-3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6.6185540068263472E-3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6.6356983400250157E-3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5.323701154132437E-3</v>
      </c>
      <c r="J1922" s="1" cm="1">
        <f t="array" ref="J1922">SUMPRODUCT(("Var_Cap"=[1]OUT_TransportEnergyCons!$B$4:$B$10000)*1,("-"=[1]OUT_TransportEnergyCons!$C$4:$C$10000)*1,ISNUMBER(SEARCH("T_C*hy*GSL*s1",[1]OUT_TransportEnergyCons!$A$4:$A$10000))*1,[1]OUT_TransportEnergyCons!H$4:H$10000)</f>
        <v>4.6183416648659821E-4</v>
      </c>
      <c r="K1922" s="1" cm="1">
        <f t="array" ref="K1922">SUMPRODUCT(("Var_Cap"=[1]OUT_TransportEnergyCons!$B$4:$B$10000)*1,("-"=[1]OUT_TransportEnergyCons!$C$4:$C$10000)*1,ISNUMBER(SEARCH("T_C*hy*GSL*s1",[1]OUT_TransportEnergyCons!$A$4:$A$10000))*1,[1]OUT_TransportEnergyCons!I$4:I$10000)</f>
        <v>2.9727321007701427E-5</v>
      </c>
      <c r="L1922" s="1" cm="1">
        <f t="array" ref="L1922">SUMPRODUCT(("Var_Cap"=[1]OUT_TransportEnergyCons!$B$4:$B$10000)*1,("-"=[1]OUT_TransportEnergyCons!$C$4:$C$10000)*1,ISNUMBER(SEARCH("T_C*hy*GSL*s1",[1]OUT_TransportEnergyCons!$A$4:$A$10000))*1,[1]OUT_TransportEnergyCons!J$4:J$10000)</f>
        <v>0</v>
      </c>
      <c r="M1922" s="1" cm="1">
        <f t="array" ref="M1922">SUMPRODUCT(("Var_Cap"=[1]OUT_TransportEnergyCons!$B$4:$B$10000)*1,("-"=[1]OUT_TransportEnergyCons!$C$4:$C$10000)*1,ISNUMBER(SEARCH("T_C*hy*GSL*s1",[1]OUT_TransportEnergyCons!$A$4:$A$10000))*1,[1]OUT_TransportEnergyCons!K$4:K$10000)</f>
        <v>0</v>
      </c>
      <c r="N1922" s="1" cm="1">
        <f t="array" ref="N1922">SUMPRODUCT(("Var_Cap"=[1]OUT_TransportEnergyCons!$B$4:$B$10000)*1,("-"=[1]OUT_TransportEnergyCons!$C$4:$C$10000)*1,ISNUMBER(SEARCH("T_C*hy*GSL*s1",[1]OUT_TransportEnergyCons!$A$4:$A$10000))*1,[1]OUT_TransportEnergyCons!L$4:L$10000)</f>
        <v>0</v>
      </c>
      <c r="O1922" s="1" cm="1">
        <f t="array" ref="O1922">SUMPRODUCT(("Var_Cap"=[1]OUT_TransportEnergyCons!$B$4:$B$10000)*1,("-"=[1]OUT_TransportEnergyCons!$C$4:$C$10000)*1,ISNUMBER(SEARCH("T_C*hy*GSL*s1",[1]OUT_TransportEnergyCons!$A$4:$A$10000))*1,[1]OUT_TransportEnergyCons!M$4:M$10000)</f>
        <v>0</v>
      </c>
      <c r="P1922" s="1" cm="1">
        <f t="array" ref="P1922">SUMPRODUCT(("Var_Cap"=[1]OUT_TransportEnergyCons!$B$4:$B$10000)*1,("-"=[1]OUT_TransportEnergyCons!$C$4:$C$10000)*1,ISNUMBER(SEARCH("T_C*hy*GSL*s1",[1]OUT_TransportEnergyCons!$A$4:$A$10000))*1,[1]OUT_TransportEnergyCons!N$4:N$10000)</f>
        <v>0</v>
      </c>
      <c r="Q1922" s="1" cm="1">
        <f t="array" ref="Q1922">SUMPRODUCT(("Var_Cap"=[1]OUT_TransportEnergyCons!$B$4:$B$10000)*1,("-"=[1]OUT_TransportEnergyCons!$C$4:$C$10000)*1,ISNUMBER(SEARCH("T_C*hy*GSL*s1",[1]OUT_TransportEnergyCons!$A$4:$A$10000))*1,[1]OUT_TransportEnergyCons!O$4:O$10000)</f>
        <v>0</v>
      </c>
      <c r="S1922" s="3"/>
    </row>
    <row r="1923" spans="2:19" x14ac:dyDescent="0.5">
      <c r="B1923" s="5" t="str">
        <f t="shared" si="2152"/>
        <v>SPS1</v>
      </c>
      <c r="C1923" s="5" t="str">
        <f t="shared" si="2153"/>
        <v>CH</v>
      </c>
      <c r="D1923" t="s">
        <v>1940</v>
      </c>
      <c r="E1923" t="str">
        <f t="shared" si="2154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1.722714736809056E-2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3.0901425664005243E-2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0.11297145497881836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9.697667383963321E-2</v>
      </c>
      <c r="J1923" s="1" cm="1">
        <f t="array" ref="J1923">SUMPRODUCT(("Var_Cap"=[1]OUT_TransportEnergyCons!$B$4:$B$10000)*1,("-"=[1]OUT_TransportEnergyCons!$C$4:$C$10000)*1,ISNUMBER(SEARCH("T_C*hy*GSL*s2",[1]OUT_TransportEnergyCons!$A$4:$A$10000))*1,[1]OUT_TransportEnergyCons!H$4:H$10000)</f>
        <v>5.6468405879957696E-2</v>
      </c>
      <c r="K1923" s="1" cm="1">
        <f t="array" ref="K1923">SUMPRODUCT(("Var_Cap"=[1]OUT_TransportEnergyCons!$B$4:$B$10000)*1,("-"=[1]OUT_TransportEnergyCons!$C$4:$C$10000)*1,ISNUMBER(SEARCH("T_C*hy*GSL*s2",[1]OUT_TransportEnergyCons!$A$4:$A$10000))*1,[1]OUT_TransportEnergyCons!I$4:I$10000)</f>
        <v>8.3617637808085631E-3</v>
      </c>
      <c r="L1923" s="1" cm="1">
        <f t="array" ref="L1923">SUMPRODUCT(("Var_Cap"=[1]OUT_TransportEnergyCons!$B$4:$B$10000)*1,("-"=[1]OUT_TransportEnergyCons!$C$4:$C$10000)*1,ISNUMBER(SEARCH("T_C*hy*GSL*s2",[1]OUT_TransportEnergyCons!$A$4:$A$10000))*1,[1]OUT_TransportEnergyCons!J$4:J$10000)</f>
        <v>0</v>
      </c>
      <c r="M1923" s="1" cm="1">
        <f t="array" ref="M1923">SUMPRODUCT(("Var_Cap"=[1]OUT_TransportEnergyCons!$B$4:$B$10000)*1,("-"=[1]OUT_TransportEnergyCons!$C$4:$C$10000)*1,ISNUMBER(SEARCH("T_C*hy*GSL*s2",[1]OUT_TransportEnergyCons!$A$4:$A$10000))*1,[1]OUT_TransportEnergyCons!K$4:K$10000)</f>
        <v>0</v>
      </c>
      <c r="N1923" s="1" cm="1">
        <f t="array" ref="N1923">SUMPRODUCT(("Var_Cap"=[1]OUT_TransportEnergyCons!$B$4:$B$10000)*1,("-"=[1]OUT_TransportEnergyCons!$C$4:$C$10000)*1,ISNUMBER(SEARCH("T_C*hy*GSL*s2",[1]OUT_TransportEnergyCons!$A$4:$A$10000))*1,[1]OUT_TransportEnergyCons!L$4:L$10000)</f>
        <v>0</v>
      </c>
      <c r="O1923" s="1" cm="1">
        <f t="array" ref="O1923">SUMPRODUCT(("Var_Cap"=[1]OUT_TransportEnergyCons!$B$4:$B$10000)*1,("-"=[1]OUT_TransportEnergyCons!$C$4:$C$10000)*1,ISNUMBER(SEARCH("T_C*hy*GSL*s2",[1]OUT_TransportEnergyCons!$A$4:$A$10000))*1,[1]OUT_TransportEnergyCons!M$4:M$10000)</f>
        <v>0</v>
      </c>
      <c r="P1923" s="1" cm="1">
        <f t="array" ref="P1923">SUMPRODUCT(("Var_Cap"=[1]OUT_TransportEnergyCons!$B$4:$B$10000)*1,("-"=[1]OUT_TransportEnergyCons!$C$4:$C$10000)*1,ISNUMBER(SEARCH("T_C*hy*GSL*s2",[1]OUT_TransportEnergyCons!$A$4:$A$10000))*1,[1]OUT_TransportEnergyCons!N$4:N$10000)</f>
        <v>0</v>
      </c>
      <c r="Q1923" s="1" cm="1">
        <f t="array" ref="Q1923">SUMPRODUCT(("Var_Cap"=[1]OUT_TransportEnergyCons!$B$4:$B$10000)*1,("-"=[1]OUT_TransportEnergyCons!$C$4:$C$10000)*1,ISNUMBER(SEARCH("T_C*hy*GSL*s2",[1]OUT_TransportEnergyCons!$A$4:$A$10000))*1,[1]OUT_TransportEnergyCons!O$4:O$10000)</f>
        <v>0</v>
      </c>
      <c r="S1923" s="3"/>
    </row>
    <row r="1924" spans="2:19" x14ac:dyDescent="0.5">
      <c r="B1924" s="5" t="str">
        <f t="shared" si="2152"/>
        <v>SPS1</v>
      </c>
      <c r="C1924" s="5" t="str">
        <f t="shared" si="2153"/>
        <v>CH</v>
      </c>
      <c r="D1924" t="s">
        <v>1941</v>
      </c>
      <c r="E1924" t="str">
        <f t="shared" si="2154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1.4248878755944095E-2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0.19173776663436937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0.18119022119045936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0.14590909827659629</v>
      </c>
      <c r="J1924" s="1" cm="1">
        <f t="array" ref="J1924">SUMPRODUCT(("Var_Cap"=[1]OUT_TransportEnergyCons!$B$4:$B$10000)*1,("-"=[1]OUT_TransportEnergyCons!$C$4:$C$10000)*1,ISNUMBER(SEARCH("T_C*hy*GSL*s3",[1]OUT_TransportEnergyCons!$A$4:$A$10000))*1,[1]OUT_TransportEnergyCons!H$4:H$10000)</f>
        <v>4.6977022651360126E-2</v>
      </c>
      <c r="K1924" s="1" cm="1">
        <f t="array" ref="K1924">SUMPRODUCT(("Var_Cap"=[1]OUT_TransportEnergyCons!$B$4:$B$10000)*1,("-"=[1]OUT_TransportEnergyCons!$C$4:$C$10000)*1,ISNUMBER(SEARCH("T_C*hy*GSL*s3",[1]OUT_TransportEnergyCons!$A$4:$A$10000))*1,[1]OUT_TransportEnergyCons!I$4:I$10000)</f>
        <v>7.9985693594932598E-6</v>
      </c>
      <c r="L1924" s="1" cm="1">
        <f t="array" ref="L1924">SUMPRODUCT(("Var_Cap"=[1]OUT_TransportEnergyCons!$B$4:$B$10000)*1,("-"=[1]OUT_TransportEnergyCons!$C$4:$C$10000)*1,ISNUMBER(SEARCH("T_C*hy*GSL*s3",[1]OUT_TransportEnergyCons!$A$4:$A$10000))*1,[1]OUT_TransportEnergyCons!J$4:J$10000)</f>
        <v>0</v>
      </c>
      <c r="M1924" s="1" cm="1">
        <f t="array" ref="M1924">SUMPRODUCT(("Var_Cap"=[1]OUT_TransportEnergyCons!$B$4:$B$10000)*1,("-"=[1]OUT_TransportEnergyCons!$C$4:$C$10000)*1,ISNUMBER(SEARCH("T_C*hy*GSL*s3",[1]OUT_TransportEnergyCons!$A$4:$A$10000))*1,[1]OUT_TransportEnergyCons!K$4:K$10000)</f>
        <v>0</v>
      </c>
      <c r="N1924" s="1" cm="1">
        <f t="array" ref="N1924">SUMPRODUCT(("Var_Cap"=[1]OUT_TransportEnergyCons!$B$4:$B$10000)*1,("-"=[1]OUT_TransportEnergyCons!$C$4:$C$10000)*1,ISNUMBER(SEARCH("T_C*hy*GSL*s3",[1]OUT_TransportEnergyCons!$A$4:$A$10000))*1,[1]OUT_TransportEnergyCons!L$4:L$10000)</f>
        <v>0</v>
      </c>
      <c r="O1924" s="1" cm="1">
        <f t="array" ref="O1924">SUMPRODUCT(("Var_Cap"=[1]OUT_TransportEnergyCons!$B$4:$B$10000)*1,("-"=[1]OUT_TransportEnergyCons!$C$4:$C$10000)*1,ISNUMBER(SEARCH("T_C*hy*GSL*s3",[1]OUT_TransportEnergyCons!$A$4:$A$10000))*1,[1]OUT_TransportEnergyCons!M$4:M$10000)</f>
        <v>0</v>
      </c>
      <c r="P1924" s="1" cm="1">
        <f t="array" ref="P1924">SUMPRODUCT(("Var_Cap"=[1]OUT_TransportEnergyCons!$B$4:$B$10000)*1,("-"=[1]OUT_TransportEnergyCons!$C$4:$C$10000)*1,ISNUMBER(SEARCH("T_C*hy*GSL*s3",[1]OUT_TransportEnergyCons!$A$4:$A$10000))*1,[1]OUT_TransportEnergyCons!N$4:N$10000)</f>
        <v>0</v>
      </c>
      <c r="Q1924" s="1" cm="1">
        <f t="array" ref="Q1924">SUMPRODUCT(("Var_Cap"=[1]OUT_TransportEnergyCons!$B$4:$B$10000)*1,("-"=[1]OUT_TransportEnergyCons!$C$4:$C$10000)*1,ISNUMBER(SEARCH("T_C*hy*GSL*s3",[1]OUT_TransportEnergyCons!$A$4:$A$10000))*1,[1]OUT_TransportEnergyCons!O$4:O$10000)</f>
        <v>0</v>
      </c>
      <c r="S1924" s="3"/>
    </row>
    <row r="1925" spans="2:19" x14ac:dyDescent="0.5">
      <c r="B1925" s="5" t="str">
        <f t="shared" si="2152"/>
        <v>SPS1</v>
      </c>
      <c r="C1925" s="5" t="str">
        <f t="shared" si="2153"/>
        <v>CH</v>
      </c>
      <c r="D1925" t="s">
        <v>1942</v>
      </c>
      <c r="E1925" t="str">
        <f t="shared" si="2154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8.3205066523172628E-3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1.4112045714133986E-2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1.3563602664124381E-2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1.1364565427966076E-2</v>
      </c>
      <c r="J1925" s="1" cm="1">
        <f t="array" ref="J1925">SUMPRODUCT(("Var_Cap"=[1]OUT_TransportEnergyCons!$B$4:$B$10000)*1,("-"=[1]OUT_TransportEnergyCons!$C$4:$C$10000)*1,ISNUMBER(SEARCH("T_C*hy*GSL*s4",[1]OUT_TransportEnergyCons!$A$4:$A$10000))*1,[1]OUT_TransportEnergyCons!H$4:H$10000)</f>
        <v>2.0086470266457773E-3</v>
      </c>
      <c r="K1925" s="1" cm="1">
        <f t="array" ref="K1925">SUMPRODUCT(("Var_Cap"=[1]OUT_TransportEnergyCons!$B$4:$B$10000)*1,("-"=[1]OUT_TransportEnergyCons!$C$4:$C$10000)*1,ISNUMBER(SEARCH("T_C*hy*GSL*s4",[1]OUT_TransportEnergyCons!$A$4:$A$10000))*1,[1]OUT_TransportEnergyCons!I$4:I$10000)</f>
        <v>1.287214957652608E-5</v>
      </c>
      <c r="L1925" s="1" cm="1">
        <f t="array" ref="L1925">SUMPRODUCT(("Var_Cap"=[1]OUT_TransportEnergyCons!$B$4:$B$10000)*1,("-"=[1]OUT_TransportEnergyCons!$C$4:$C$10000)*1,ISNUMBER(SEARCH("T_C*hy*GSL*s4",[1]OUT_TransportEnergyCons!$A$4:$A$10000))*1,[1]OUT_TransportEnergyCons!J$4:J$10000)</f>
        <v>0</v>
      </c>
      <c r="M1925" s="1" cm="1">
        <f t="array" ref="M1925">SUMPRODUCT(("Var_Cap"=[1]OUT_TransportEnergyCons!$B$4:$B$10000)*1,("-"=[1]OUT_TransportEnergyCons!$C$4:$C$10000)*1,ISNUMBER(SEARCH("T_C*hy*GSL*s4",[1]OUT_TransportEnergyCons!$A$4:$A$10000))*1,[1]OUT_TransportEnergyCons!K$4:K$10000)</f>
        <v>0</v>
      </c>
      <c r="N1925" s="1" cm="1">
        <f t="array" ref="N1925">SUMPRODUCT(("Var_Cap"=[1]OUT_TransportEnergyCons!$B$4:$B$10000)*1,("-"=[1]OUT_TransportEnergyCons!$C$4:$C$10000)*1,ISNUMBER(SEARCH("T_C*hy*GSL*s4",[1]OUT_TransportEnergyCons!$A$4:$A$10000))*1,[1]OUT_TransportEnergyCons!L$4:L$10000)</f>
        <v>0</v>
      </c>
      <c r="O1925" s="1" cm="1">
        <f t="array" ref="O1925">SUMPRODUCT(("Var_Cap"=[1]OUT_TransportEnergyCons!$B$4:$B$10000)*1,("-"=[1]OUT_TransportEnergyCons!$C$4:$C$10000)*1,ISNUMBER(SEARCH("T_C*hy*GSL*s4",[1]OUT_TransportEnergyCons!$A$4:$A$10000))*1,[1]OUT_TransportEnergyCons!M$4:M$10000)</f>
        <v>0</v>
      </c>
      <c r="P1925" s="1" cm="1">
        <f t="array" ref="P1925">SUMPRODUCT(("Var_Cap"=[1]OUT_TransportEnergyCons!$B$4:$B$10000)*1,("-"=[1]OUT_TransportEnergyCons!$C$4:$C$10000)*1,ISNUMBER(SEARCH("T_C*hy*GSL*s4",[1]OUT_TransportEnergyCons!$A$4:$A$10000))*1,[1]OUT_TransportEnergyCons!N$4:N$10000)</f>
        <v>0</v>
      </c>
      <c r="Q1925" s="1" cm="1">
        <f t="array" ref="Q1925">SUMPRODUCT(("Var_Cap"=[1]OUT_TransportEnergyCons!$B$4:$B$10000)*1,("-"=[1]OUT_TransportEnergyCons!$C$4:$C$10000)*1,ISNUMBER(SEARCH("T_C*hy*GSL*s4",[1]OUT_TransportEnergyCons!$A$4:$A$10000))*1,[1]OUT_TransportEnergyCons!O$4:O$10000)</f>
        <v>0</v>
      </c>
      <c r="S1925" s="3"/>
    </row>
    <row r="1926" spans="2:19" x14ac:dyDescent="0.5">
      <c r="B1926" s="5" t="str">
        <f t="shared" si="2152"/>
        <v>SPS1</v>
      </c>
      <c r="C1926" s="5" t="str">
        <f t="shared" si="2153"/>
        <v>CH</v>
      </c>
      <c r="D1926" t="s">
        <v>1943</v>
      </c>
      <c r="E1926" t="str">
        <f t="shared" si="2154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2.4928189501551876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2.1593705915656751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1.6628846666666701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0.83144229548346926</v>
      </c>
      <c r="J1926" s="1" cm="1">
        <f t="array" ref="J1926">SUMPRODUCT(("Var_Cap"=[1]OUT_TransportEnergyCons!$B$4:$B$10000)*1,("-"=[1]OUT_TransportEnergyCons!$C$4:$C$10000)*1,ISNUMBER(SEARCH("T_C*ICE*GSL*ext",[1]OUT_TransportEnergyCons!$A$4:$A$10000))*1,[1]OUT_TransportEnergyCons!H$4:H$10000)</f>
        <v>0</v>
      </c>
      <c r="K1926" s="1" cm="1">
        <f t="array" ref="K1926">SUMPRODUCT(("Var_Cap"=[1]OUT_TransportEnergyCons!$B$4:$B$10000)*1,("-"=[1]OUT_TransportEnergyCons!$C$4:$C$10000)*1,ISNUMBER(SEARCH("T_C*ICE*GSL*ext",[1]OUT_TransportEnergyCons!$A$4:$A$10000))*1,[1]OUT_TransportEnergyCons!I$4:I$10000)</f>
        <v>0</v>
      </c>
      <c r="L1926" s="1" cm="1">
        <f t="array" ref="L1926">SUMPRODUCT(("Var_Cap"=[1]OUT_TransportEnergyCons!$B$4:$B$10000)*1,("-"=[1]OUT_TransportEnergyCons!$C$4:$C$10000)*1,ISNUMBER(SEARCH("T_C*ICE*GSL*ext",[1]OUT_TransportEnergyCons!$A$4:$A$10000))*1,[1]OUT_TransportEnergyCons!J$4:J$10000)</f>
        <v>0</v>
      </c>
      <c r="M1926" s="1" cm="1">
        <f t="array" ref="M1926">SUMPRODUCT(("Var_Cap"=[1]OUT_TransportEnergyCons!$B$4:$B$10000)*1,("-"=[1]OUT_TransportEnergyCons!$C$4:$C$10000)*1,ISNUMBER(SEARCH("T_C*ICE*GSL*ext",[1]OUT_TransportEnergyCons!$A$4:$A$10000))*1,[1]OUT_TransportEnergyCons!K$4:K$10000)</f>
        <v>0</v>
      </c>
      <c r="N1926" s="1" cm="1">
        <f t="array" ref="N1926">SUMPRODUCT(("Var_Cap"=[1]OUT_TransportEnergyCons!$B$4:$B$10000)*1,("-"=[1]OUT_TransportEnergyCons!$C$4:$C$10000)*1,ISNUMBER(SEARCH("T_C*ICE*GSL*ext",[1]OUT_TransportEnergyCons!$A$4:$A$10000))*1,[1]OUT_TransportEnergyCons!L$4:L$10000)</f>
        <v>0</v>
      </c>
      <c r="O1926" s="1" cm="1">
        <f t="array" ref="O1926">SUMPRODUCT(("Var_Cap"=[1]OUT_TransportEnergyCons!$B$4:$B$10000)*1,("-"=[1]OUT_TransportEnergyCons!$C$4:$C$10000)*1,ISNUMBER(SEARCH("T_C*ICE*GSL*ext",[1]OUT_TransportEnergyCons!$A$4:$A$10000))*1,[1]OUT_TransportEnergyCons!M$4:M$10000)</f>
        <v>0</v>
      </c>
      <c r="P1926" s="1" cm="1">
        <f t="array" ref="P1926">SUMPRODUCT(("Var_Cap"=[1]OUT_TransportEnergyCons!$B$4:$B$10000)*1,("-"=[1]OUT_TransportEnergyCons!$C$4:$C$10000)*1,ISNUMBER(SEARCH("T_C*ICE*GSL*ext",[1]OUT_TransportEnergyCons!$A$4:$A$10000))*1,[1]OUT_TransportEnergyCons!N$4:N$10000)</f>
        <v>0</v>
      </c>
      <c r="Q1926" s="1" cm="1">
        <f t="array" ref="Q1926">SUMPRODUCT(("Var_Cap"=[1]OUT_TransportEnergyCons!$B$4:$B$10000)*1,("-"=[1]OUT_TransportEnergyCons!$C$4:$C$10000)*1,ISNUMBER(SEARCH("T_C*ICE*GSL*ext",[1]OUT_TransportEnergyCons!$A$4:$A$10000))*1,[1]OUT_TransportEnergyCons!O$4:O$10000)</f>
        <v>0</v>
      </c>
      <c r="S1926" s="3"/>
    </row>
    <row r="1927" spans="2:19" x14ac:dyDescent="0.5">
      <c r="B1927" s="5" t="str">
        <f t="shared" si="2152"/>
        <v>SPS1</v>
      </c>
      <c r="C1927" s="5" t="str">
        <f t="shared" si="2153"/>
        <v>CH</v>
      </c>
      <c r="D1927" t="s">
        <v>1944</v>
      </c>
      <c r="E1927" t="str">
        <f t="shared" si="2154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3.6542739245049152E-2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3.9771482754000401E-2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0.12910558106340531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0.10907974209258241</v>
      </c>
      <c r="J1927" s="1" cm="1">
        <f t="array" ref="J1927">SUMPRODUCT(("Var_Cap"=[1]OUT_TransportEnergyCons!$B$4:$B$10000)*1,("-"=[1]OUT_TransportEnergyCons!$C$4:$C$10000)*1,ISNUMBER(SEARCH("T_C*ICE*GSL*s1",[1]OUT_TransportEnergyCons!$A$4:$A$10000))*1,[1]OUT_TransportEnergyCons!H$4:H$10000)</f>
        <v>5.7647140731992307E-2</v>
      </c>
      <c r="K1927" s="1" cm="1">
        <f t="array" ref="K1927">SUMPRODUCT(("Var_Cap"=[1]OUT_TransportEnergyCons!$B$4:$B$10000)*1,("-"=[1]OUT_TransportEnergyCons!$C$4:$C$10000)*1,ISNUMBER(SEARCH("T_C*ICE*GSL*s1",[1]OUT_TransportEnergyCons!$A$4:$A$10000))*1,[1]OUT_TransportEnergyCons!I$4:I$10000)</f>
        <v>9.0244096693014968E-3</v>
      </c>
      <c r="L1927" s="1" cm="1">
        <f t="array" ref="L1927">SUMPRODUCT(("Var_Cap"=[1]OUT_TransportEnergyCons!$B$4:$B$10000)*1,("-"=[1]OUT_TransportEnergyCons!$C$4:$C$10000)*1,ISNUMBER(SEARCH("T_C*ICE*GSL*s1",[1]OUT_TransportEnergyCons!$A$4:$A$10000))*1,[1]OUT_TransportEnergyCons!J$4:J$10000)</f>
        <v>0</v>
      </c>
      <c r="M1927" s="1" cm="1">
        <f t="array" ref="M1927">SUMPRODUCT(("Var_Cap"=[1]OUT_TransportEnergyCons!$B$4:$B$10000)*1,("-"=[1]OUT_TransportEnergyCons!$C$4:$C$10000)*1,ISNUMBER(SEARCH("T_C*ICE*GSL*s1",[1]OUT_TransportEnergyCons!$A$4:$A$10000))*1,[1]OUT_TransportEnergyCons!K$4:K$10000)</f>
        <v>0</v>
      </c>
      <c r="N1927" s="1" cm="1">
        <f t="array" ref="N1927">SUMPRODUCT(("Var_Cap"=[1]OUT_TransportEnergyCons!$B$4:$B$10000)*1,("-"=[1]OUT_TransportEnergyCons!$C$4:$C$10000)*1,ISNUMBER(SEARCH("T_C*ICE*GSL*s1",[1]OUT_TransportEnergyCons!$A$4:$A$10000))*1,[1]OUT_TransportEnergyCons!L$4:L$10000)</f>
        <v>0</v>
      </c>
      <c r="O1927" s="1" cm="1">
        <f t="array" ref="O1927">SUMPRODUCT(("Var_Cap"=[1]OUT_TransportEnergyCons!$B$4:$B$10000)*1,("-"=[1]OUT_TransportEnergyCons!$C$4:$C$10000)*1,ISNUMBER(SEARCH("T_C*ICE*GSL*s1",[1]OUT_TransportEnergyCons!$A$4:$A$10000))*1,[1]OUT_TransportEnergyCons!M$4:M$10000)</f>
        <v>0</v>
      </c>
      <c r="P1927" s="1" cm="1">
        <f t="array" ref="P1927">SUMPRODUCT(("Var_Cap"=[1]OUT_TransportEnergyCons!$B$4:$B$10000)*1,("-"=[1]OUT_TransportEnergyCons!$C$4:$C$10000)*1,ISNUMBER(SEARCH("T_C*ICE*GSL*s1",[1]OUT_TransportEnergyCons!$A$4:$A$10000))*1,[1]OUT_TransportEnergyCons!N$4:N$10000)</f>
        <v>0</v>
      </c>
      <c r="Q1927" s="1" cm="1">
        <f t="array" ref="Q1927">SUMPRODUCT(("Var_Cap"=[1]OUT_TransportEnergyCons!$B$4:$B$10000)*1,("-"=[1]OUT_TransportEnergyCons!$C$4:$C$10000)*1,ISNUMBER(SEARCH("T_C*ICE*GSL*s1",[1]OUT_TransportEnergyCons!$A$4:$A$10000))*1,[1]OUT_TransportEnergyCons!O$4:O$10000)</f>
        <v>0</v>
      </c>
      <c r="S1927" s="3"/>
    </row>
    <row r="1928" spans="2:19" x14ac:dyDescent="0.5">
      <c r="B1928" s="5" t="str">
        <f t="shared" si="2152"/>
        <v>SPS1</v>
      </c>
      <c r="C1928" s="5" t="str">
        <f t="shared" si="2153"/>
        <v>CH</v>
      </c>
      <c r="D1928" t="s">
        <v>1945</v>
      </c>
      <c r="E1928" t="str">
        <f t="shared" si="2154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0.217431041824514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0.24338212472528717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0.24029430299347632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0.18986746747972857</v>
      </c>
      <c r="J1928" s="1" cm="1">
        <f t="array" ref="J1928">SUMPRODUCT(("Var_Cap"=[1]OUT_TransportEnergyCons!$B$4:$B$10000)*1,("-"=[1]OUT_TransportEnergyCons!$C$4:$C$10000)*1,ISNUMBER(SEARCH("T_C*ICE*GSL*s2",[1]OUT_TransportEnergyCons!$A$4:$A$10000))*1,[1]OUT_TransportEnergyCons!H$4:H$10000)</f>
        <v>1.0416953065368465E-2</v>
      </c>
      <c r="K1928" s="1" cm="1">
        <f t="array" ref="K1928">SUMPRODUCT(("Var_Cap"=[1]OUT_TransportEnergyCons!$B$4:$B$10000)*1,("-"=[1]OUT_TransportEnergyCons!$C$4:$C$10000)*1,ISNUMBER(SEARCH("T_C*ICE*GSL*s2",[1]OUT_TransportEnergyCons!$A$4:$A$10000))*1,[1]OUT_TransportEnergyCons!I$4:I$10000)</f>
        <v>3.5435924506526634E-5</v>
      </c>
      <c r="L1928" s="1" cm="1">
        <f t="array" ref="L1928">SUMPRODUCT(("Var_Cap"=[1]OUT_TransportEnergyCons!$B$4:$B$10000)*1,("-"=[1]OUT_TransportEnergyCons!$C$4:$C$10000)*1,ISNUMBER(SEARCH("T_C*ICE*GSL*s2",[1]OUT_TransportEnergyCons!$A$4:$A$10000))*1,[1]OUT_TransportEnergyCons!J$4:J$10000)</f>
        <v>0</v>
      </c>
      <c r="M1928" s="1" cm="1">
        <f t="array" ref="M1928">SUMPRODUCT(("Var_Cap"=[1]OUT_TransportEnergyCons!$B$4:$B$10000)*1,("-"=[1]OUT_TransportEnergyCons!$C$4:$C$10000)*1,ISNUMBER(SEARCH("T_C*ICE*GSL*s2",[1]OUT_TransportEnergyCons!$A$4:$A$10000))*1,[1]OUT_TransportEnergyCons!K$4:K$10000)</f>
        <v>0</v>
      </c>
      <c r="N1928" s="1" cm="1">
        <f t="array" ref="N1928">SUMPRODUCT(("Var_Cap"=[1]OUT_TransportEnergyCons!$B$4:$B$10000)*1,("-"=[1]OUT_TransportEnergyCons!$C$4:$C$10000)*1,ISNUMBER(SEARCH("T_C*ICE*GSL*s2",[1]OUT_TransportEnergyCons!$A$4:$A$10000))*1,[1]OUT_TransportEnergyCons!L$4:L$10000)</f>
        <v>0</v>
      </c>
      <c r="O1928" s="1" cm="1">
        <f t="array" ref="O1928">SUMPRODUCT(("Var_Cap"=[1]OUT_TransportEnergyCons!$B$4:$B$10000)*1,("-"=[1]OUT_TransportEnergyCons!$C$4:$C$10000)*1,ISNUMBER(SEARCH("T_C*ICE*GSL*s2",[1]OUT_TransportEnergyCons!$A$4:$A$10000))*1,[1]OUT_TransportEnergyCons!M$4:M$10000)</f>
        <v>0</v>
      </c>
      <c r="P1928" s="1" cm="1">
        <f t="array" ref="P1928">SUMPRODUCT(("Var_Cap"=[1]OUT_TransportEnergyCons!$B$4:$B$10000)*1,("-"=[1]OUT_TransportEnergyCons!$C$4:$C$10000)*1,ISNUMBER(SEARCH("T_C*ICE*GSL*s2",[1]OUT_TransportEnergyCons!$A$4:$A$10000))*1,[1]OUT_TransportEnergyCons!N$4:N$10000)</f>
        <v>0</v>
      </c>
      <c r="Q1928" s="1" cm="1">
        <f t="array" ref="Q1928">SUMPRODUCT(("Var_Cap"=[1]OUT_TransportEnergyCons!$B$4:$B$10000)*1,("-"=[1]OUT_TransportEnergyCons!$C$4:$C$10000)*1,ISNUMBER(SEARCH("T_C*ICE*GSL*s2",[1]OUT_TransportEnergyCons!$A$4:$A$10000))*1,[1]OUT_TransportEnergyCons!O$4:O$10000)</f>
        <v>0</v>
      </c>
      <c r="S1928" s="3"/>
    </row>
    <row r="1929" spans="2:19" x14ac:dyDescent="0.5">
      <c r="B1929" s="5" t="str">
        <f t="shared" si="2152"/>
        <v>SPS1</v>
      </c>
      <c r="C1929" s="5" t="str">
        <f t="shared" si="2153"/>
        <v>CH</v>
      </c>
      <c r="D1929" t="s">
        <v>1946</v>
      </c>
      <c r="E1929" t="str">
        <f t="shared" si="2154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0.18201269564256456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0.20367220116404261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0.24875203399274037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0.2052321735629184</v>
      </c>
      <c r="J1929" s="1" cm="1">
        <f t="array" ref="J1929">SUMPRODUCT(("Var_Cap"=[1]OUT_TransportEnergyCons!$B$4:$B$10000)*1,("-"=[1]OUT_TransportEnergyCons!$C$4:$C$10000)*1,ISNUMBER(SEARCH("T_C*ICE*GSL*s3",[1]OUT_TransportEnergyCons!$A$4:$A$10000))*1,[1]OUT_TransportEnergyCons!H$4:H$10000)</f>
        <v>3.9405972867946434E-2</v>
      </c>
      <c r="K1929" s="1" cm="1">
        <f t="array" ref="K1929">SUMPRODUCT(("Var_Cap"=[1]OUT_TransportEnergyCons!$B$4:$B$10000)*1,("-"=[1]OUT_TransportEnergyCons!$C$4:$C$10000)*1,ISNUMBER(SEARCH("T_C*ICE*GSL*s3",[1]OUT_TransportEnergyCons!$A$4:$A$10000))*1,[1]OUT_TransportEnergyCons!I$4:I$10000)</f>
        <v>4.8426842657667279E-3</v>
      </c>
      <c r="L1929" s="1" cm="1">
        <f t="array" ref="L1929">SUMPRODUCT(("Var_Cap"=[1]OUT_TransportEnergyCons!$B$4:$B$10000)*1,("-"=[1]OUT_TransportEnergyCons!$C$4:$C$10000)*1,ISNUMBER(SEARCH("T_C*ICE*GSL*s3",[1]OUT_TransportEnergyCons!$A$4:$A$10000))*1,[1]OUT_TransportEnergyCons!J$4:J$10000)</f>
        <v>0</v>
      </c>
      <c r="M1929" s="1" cm="1">
        <f t="array" ref="M1929">SUMPRODUCT(("Var_Cap"=[1]OUT_TransportEnergyCons!$B$4:$B$10000)*1,("-"=[1]OUT_TransportEnergyCons!$C$4:$C$10000)*1,ISNUMBER(SEARCH("T_C*ICE*GSL*s3",[1]OUT_TransportEnergyCons!$A$4:$A$10000))*1,[1]OUT_TransportEnergyCons!K$4:K$10000)</f>
        <v>0</v>
      </c>
      <c r="N1929" s="1" cm="1">
        <f t="array" ref="N1929">SUMPRODUCT(("Var_Cap"=[1]OUT_TransportEnergyCons!$B$4:$B$10000)*1,("-"=[1]OUT_TransportEnergyCons!$C$4:$C$10000)*1,ISNUMBER(SEARCH("T_C*ICE*GSL*s3",[1]OUT_TransportEnergyCons!$A$4:$A$10000))*1,[1]OUT_TransportEnergyCons!L$4:L$10000)</f>
        <v>0</v>
      </c>
      <c r="O1929" s="1" cm="1">
        <f t="array" ref="O1929">SUMPRODUCT(("Var_Cap"=[1]OUT_TransportEnergyCons!$B$4:$B$10000)*1,("-"=[1]OUT_TransportEnergyCons!$C$4:$C$10000)*1,ISNUMBER(SEARCH("T_C*ICE*GSL*s3",[1]OUT_TransportEnergyCons!$A$4:$A$10000))*1,[1]OUT_TransportEnergyCons!M$4:M$10000)</f>
        <v>0</v>
      </c>
      <c r="P1929" s="1" cm="1">
        <f t="array" ref="P1929">SUMPRODUCT(("Var_Cap"=[1]OUT_TransportEnergyCons!$B$4:$B$10000)*1,("-"=[1]OUT_TransportEnergyCons!$C$4:$C$10000)*1,ISNUMBER(SEARCH("T_C*ICE*GSL*s3",[1]OUT_TransportEnergyCons!$A$4:$A$10000))*1,[1]OUT_TransportEnergyCons!N$4:N$10000)</f>
        <v>0</v>
      </c>
      <c r="Q1929" s="1" cm="1">
        <f t="array" ref="Q1929">SUMPRODUCT(("Var_Cap"=[1]OUT_TransportEnergyCons!$B$4:$B$10000)*1,("-"=[1]OUT_TransportEnergyCons!$C$4:$C$10000)*1,ISNUMBER(SEARCH("T_C*ICE*GSL*s3",[1]OUT_TransportEnergyCons!$A$4:$A$10000))*1,[1]OUT_TransportEnergyCons!O$4:O$10000)</f>
        <v>0</v>
      </c>
      <c r="S1929" s="3"/>
    </row>
    <row r="1930" spans="2:19" x14ac:dyDescent="0.5">
      <c r="B1930" s="5" t="str">
        <f t="shared" si="2152"/>
        <v>SPS1</v>
      </c>
      <c r="C1930" s="5" t="str">
        <f t="shared" si="2153"/>
        <v>CH</v>
      </c>
      <c r="D1930" t="s">
        <v>1947</v>
      </c>
      <c r="E1930" t="str">
        <f t="shared" si="2154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0.15707590147649575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0.17927693706075951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0.37872094558045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0.31968367768175998</v>
      </c>
      <c r="J1930" s="1" cm="1">
        <f t="array" ref="J1930">SUMPRODUCT(("Var_Cap"=[1]OUT_TransportEnergyCons!$B$4:$B$10000)*1,("-"=[1]OUT_TransportEnergyCons!$C$4:$C$10000)*1,ISNUMBER(SEARCH("T_C*ICE*GSL*s4",[1]OUT_TransportEnergyCons!$A$4:$A$10000))*1,[1]OUT_TransportEnergyCons!H$4:H$10000)</f>
        <v>0.13563478287938882</v>
      </c>
      <c r="K1930" s="1" cm="1">
        <f t="array" ref="K1930">SUMPRODUCT(("Var_Cap"=[1]OUT_TransportEnergyCons!$B$4:$B$10000)*1,("-"=[1]OUT_TransportEnergyCons!$C$4:$C$10000)*1,ISNUMBER(SEARCH("T_C*ICE*GSL*s4",[1]OUT_TransportEnergyCons!$A$4:$A$10000))*1,[1]OUT_TransportEnergyCons!I$4:I$10000)</f>
        <v>2.0321920174245028E-2</v>
      </c>
      <c r="L1930" s="1" cm="1">
        <f t="array" ref="L1930">SUMPRODUCT(("Var_Cap"=[1]OUT_TransportEnergyCons!$B$4:$B$10000)*1,("-"=[1]OUT_TransportEnergyCons!$C$4:$C$10000)*1,ISNUMBER(SEARCH("T_C*ICE*GSL*s4",[1]OUT_TransportEnergyCons!$A$4:$A$10000))*1,[1]OUT_TransportEnergyCons!J$4:J$10000)</f>
        <v>0</v>
      </c>
      <c r="M1930" s="1" cm="1">
        <f t="array" ref="M1930">SUMPRODUCT(("Var_Cap"=[1]OUT_TransportEnergyCons!$B$4:$B$10000)*1,("-"=[1]OUT_TransportEnergyCons!$C$4:$C$10000)*1,ISNUMBER(SEARCH("T_C*ICE*GSL*s4",[1]OUT_TransportEnergyCons!$A$4:$A$10000))*1,[1]OUT_TransportEnergyCons!K$4:K$10000)</f>
        <v>0</v>
      </c>
      <c r="N1930" s="1" cm="1">
        <f t="array" ref="N1930">SUMPRODUCT(("Var_Cap"=[1]OUT_TransportEnergyCons!$B$4:$B$10000)*1,("-"=[1]OUT_TransportEnergyCons!$C$4:$C$10000)*1,ISNUMBER(SEARCH("T_C*ICE*GSL*s4",[1]OUT_TransportEnergyCons!$A$4:$A$10000))*1,[1]OUT_TransportEnergyCons!L$4:L$10000)</f>
        <v>0</v>
      </c>
      <c r="O1930" s="1" cm="1">
        <f t="array" ref="O1930">SUMPRODUCT(("Var_Cap"=[1]OUT_TransportEnergyCons!$B$4:$B$10000)*1,("-"=[1]OUT_TransportEnergyCons!$C$4:$C$10000)*1,ISNUMBER(SEARCH("T_C*ICE*GSL*s4",[1]OUT_TransportEnergyCons!$A$4:$A$10000))*1,[1]OUT_TransportEnergyCons!M$4:M$10000)</f>
        <v>0</v>
      </c>
      <c r="P1930" s="1" cm="1">
        <f t="array" ref="P1930">SUMPRODUCT(("Var_Cap"=[1]OUT_TransportEnergyCons!$B$4:$B$10000)*1,("-"=[1]OUT_TransportEnergyCons!$C$4:$C$10000)*1,ISNUMBER(SEARCH("T_C*ICE*GSL*s4",[1]OUT_TransportEnergyCons!$A$4:$A$10000))*1,[1]OUT_TransportEnergyCons!N$4:N$10000)</f>
        <v>0</v>
      </c>
      <c r="Q1930" s="1" cm="1">
        <f t="array" ref="Q1930">SUMPRODUCT(("Var_Cap"=[1]OUT_TransportEnergyCons!$B$4:$B$10000)*1,("-"=[1]OUT_TransportEnergyCons!$C$4:$C$10000)*1,ISNUMBER(SEARCH("T_C*ICE*GSL*s4",[1]OUT_TransportEnergyCons!$A$4:$A$10000))*1,[1]OUT_TransportEnergyCons!O$4:O$10000)</f>
        <v>0</v>
      </c>
      <c r="S1930" s="3"/>
    </row>
    <row r="1931" spans="2:19" x14ac:dyDescent="0.5">
      <c r="B1931" s="5" t="str">
        <f t="shared" si="2152"/>
        <v>SPS1</v>
      </c>
      <c r="C1931" s="5" t="str">
        <f t="shared" si="2153"/>
        <v>CH</v>
      </c>
      <c r="D1931" t="s">
        <v>1948</v>
      </c>
      <c r="E1931" t="str">
        <f t="shared" si="2154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7.6190547521160196E-6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3.8107918250391197E-5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4.9003714898041398E-5</v>
      </c>
      <c r="J1931" s="1" cm="1">
        <f t="array" ref="J1931">SUMPRODUCT(("Var_Cap"=[1]OUT_TransportEnergyCons!$B$4:$B$10000)*1,("-"=[1]OUT_TransportEnergyCons!$C$4:$C$10000)*1,ISNUMBER(SEARCH("T_C*mhy*GSL*s1",[1]OUT_TransportEnergyCons!$A$4:$A$10000))*1,[1]OUT_TransportEnergyCons!H$4:H$10000)</f>
        <v>3.4438338622742203E-5</v>
      </c>
      <c r="K1931" s="1" cm="1">
        <f t="array" ref="K1931">SUMPRODUCT(("Var_Cap"=[1]OUT_TransportEnergyCons!$B$4:$B$10000)*1,("-"=[1]OUT_TransportEnergyCons!$C$4:$C$10000)*1,ISNUMBER(SEARCH("T_C*mhy*GSL*s1",[1]OUT_TransportEnergyCons!$A$4:$A$10000))*1,[1]OUT_TransportEnergyCons!I$4:I$10000)</f>
        <v>1.07896761407707E-5</v>
      </c>
      <c r="L1931" s="1" cm="1">
        <f t="array" ref="L1931">SUMPRODUCT(("Var_Cap"=[1]OUT_TransportEnergyCons!$B$4:$B$10000)*1,("-"=[1]OUT_TransportEnergyCons!$C$4:$C$10000)*1,ISNUMBER(SEARCH("T_C*mhy*GSL*s1",[1]OUT_TransportEnergyCons!$A$4:$A$10000))*1,[1]OUT_TransportEnergyCons!J$4:J$10000)</f>
        <v>0</v>
      </c>
      <c r="M1931" s="1" cm="1">
        <f t="array" ref="M1931">SUMPRODUCT(("Var_Cap"=[1]OUT_TransportEnergyCons!$B$4:$B$10000)*1,("-"=[1]OUT_TransportEnergyCons!$C$4:$C$10000)*1,ISNUMBER(SEARCH("T_C*mhy*GSL*s1",[1]OUT_TransportEnergyCons!$A$4:$A$10000))*1,[1]OUT_TransportEnergyCons!K$4:K$10000)</f>
        <v>0</v>
      </c>
      <c r="N1931" s="1" cm="1">
        <f t="array" ref="N1931">SUMPRODUCT(("Var_Cap"=[1]OUT_TransportEnergyCons!$B$4:$B$10000)*1,("-"=[1]OUT_TransportEnergyCons!$C$4:$C$10000)*1,ISNUMBER(SEARCH("T_C*mhy*GSL*s1",[1]OUT_TransportEnergyCons!$A$4:$A$10000))*1,[1]OUT_TransportEnergyCons!L$4:L$10000)</f>
        <v>0</v>
      </c>
      <c r="O1931" s="1" cm="1">
        <f t="array" ref="O1931">SUMPRODUCT(("Var_Cap"=[1]OUT_TransportEnergyCons!$B$4:$B$10000)*1,("-"=[1]OUT_TransportEnergyCons!$C$4:$C$10000)*1,ISNUMBER(SEARCH("T_C*mhy*GSL*s1",[1]OUT_TransportEnergyCons!$A$4:$A$10000))*1,[1]OUT_TransportEnergyCons!M$4:M$10000)</f>
        <v>0</v>
      </c>
      <c r="P1931" s="1" cm="1">
        <f t="array" ref="P1931">SUMPRODUCT(("Var_Cap"=[1]OUT_TransportEnergyCons!$B$4:$B$10000)*1,("-"=[1]OUT_TransportEnergyCons!$C$4:$C$10000)*1,ISNUMBER(SEARCH("T_C*mhy*GSL*s1",[1]OUT_TransportEnergyCons!$A$4:$A$10000))*1,[1]OUT_TransportEnergyCons!N$4:N$10000)</f>
        <v>0</v>
      </c>
      <c r="Q1931" s="1" cm="1">
        <f t="array" ref="Q1931">SUMPRODUCT(("Var_Cap"=[1]OUT_TransportEnergyCons!$B$4:$B$10000)*1,("-"=[1]OUT_TransportEnergyCons!$C$4:$C$10000)*1,ISNUMBER(SEARCH("T_C*mhy*GSL*s1",[1]OUT_TransportEnergyCons!$A$4:$A$10000))*1,[1]OUT_TransportEnergyCons!O$4:O$10000)</f>
        <v>0</v>
      </c>
      <c r="S1931" s="3"/>
    </row>
    <row r="1932" spans="2:19" x14ac:dyDescent="0.5">
      <c r="B1932" s="5" t="str">
        <f t="shared" si="2152"/>
        <v>SPS1</v>
      </c>
      <c r="C1932" s="5" t="str">
        <f t="shared" si="2153"/>
        <v>CH</v>
      </c>
      <c r="D1932" t="s">
        <v>1949</v>
      </c>
      <c r="E1932" t="str">
        <f t="shared" si="2154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3.9791846244992498E-6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1.8765988904763101E-5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2.6550517313511799E-5</v>
      </c>
      <c r="J1932" s="1" cm="1">
        <f t="array" ref="J1932">SUMPRODUCT(("Var_Cap"=[1]OUT_TransportEnergyCons!$B$4:$B$10000)*1,("-"=[1]OUT_TransportEnergyCons!$C$4:$C$10000)*1,ISNUMBER(SEARCH("T_C*mhy*GSL*s2",[1]OUT_TransportEnergyCons!$A$4:$A$10000))*1,[1]OUT_TransportEnergyCons!H$4:H$10000)</f>
        <v>1.8869156153370201E-5</v>
      </c>
      <c r="K1932" s="1" cm="1">
        <f t="array" ref="K1932">SUMPRODUCT(("Var_Cap"=[1]OUT_TransportEnergyCons!$B$4:$B$10000)*1,("-"=[1]OUT_TransportEnergyCons!$C$4:$C$10000)*1,ISNUMBER(SEARCH("T_C*mhy*GSL*s2",[1]OUT_TransportEnergyCons!$A$4:$A$10000))*1,[1]OUT_TransportEnergyCons!I$4:I$10000)</f>
        <v>6.4583331617194596E-6</v>
      </c>
      <c r="L1932" s="1" cm="1">
        <f t="array" ref="L1932">SUMPRODUCT(("Var_Cap"=[1]OUT_TransportEnergyCons!$B$4:$B$10000)*1,("-"=[1]OUT_TransportEnergyCons!$C$4:$C$10000)*1,ISNUMBER(SEARCH("T_C*mhy*GSL*s2",[1]OUT_TransportEnergyCons!$A$4:$A$10000))*1,[1]OUT_TransportEnergyCons!J$4:J$10000)</f>
        <v>0</v>
      </c>
      <c r="M1932" s="1" cm="1">
        <f t="array" ref="M1932">SUMPRODUCT(("Var_Cap"=[1]OUT_TransportEnergyCons!$B$4:$B$10000)*1,("-"=[1]OUT_TransportEnergyCons!$C$4:$C$10000)*1,ISNUMBER(SEARCH("T_C*mhy*GSL*s2",[1]OUT_TransportEnergyCons!$A$4:$A$10000))*1,[1]OUT_TransportEnergyCons!K$4:K$10000)</f>
        <v>0</v>
      </c>
      <c r="N1932" s="1" cm="1">
        <f t="array" ref="N1932">SUMPRODUCT(("Var_Cap"=[1]OUT_TransportEnergyCons!$B$4:$B$10000)*1,("-"=[1]OUT_TransportEnergyCons!$C$4:$C$10000)*1,ISNUMBER(SEARCH("T_C*mhy*GSL*s2",[1]OUT_TransportEnergyCons!$A$4:$A$10000))*1,[1]OUT_TransportEnergyCons!L$4:L$10000)</f>
        <v>0</v>
      </c>
      <c r="O1932" s="1" cm="1">
        <f t="array" ref="O1932">SUMPRODUCT(("Var_Cap"=[1]OUT_TransportEnergyCons!$B$4:$B$10000)*1,("-"=[1]OUT_TransportEnergyCons!$C$4:$C$10000)*1,ISNUMBER(SEARCH("T_C*mhy*GSL*s2",[1]OUT_TransportEnergyCons!$A$4:$A$10000))*1,[1]OUT_TransportEnergyCons!M$4:M$10000)</f>
        <v>0</v>
      </c>
      <c r="P1932" s="1" cm="1">
        <f t="array" ref="P1932">SUMPRODUCT(("Var_Cap"=[1]OUT_TransportEnergyCons!$B$4:$B$10000)*1,("-"=[1]OUT_TransportEnergyCons!$C$4:$C$10000)*1,ISNUMBER(SEARCH("T_C*mhy*GSL*s2",[1]OUT_TransportEnergyCons!$A$4:$A$10000))*1,[1]OUT_TransportEnergyCons!N$4:N$10000)</f>
        <v>0</v>
      </c>
      <c r="Q1932" s="1" cm="1">
        <f t="array" ref="Q1932">SUMPRODUCT(("Var_Cap"=[1]OUT_TransportEnergyCons!$B$4:$B$10000)*1,("-"=[1]OUT_TransportEnergyCons!$C$4:$C$10000)*1,ISNUMBER(SEARCH("T_C*mhy*GSL*s2",[1]OUT_TransportEnergyCons!$A$4:$A$10000))*1,[1]OUT_TransportEnergyCons!O$4:O$10000)</f>
        <v>0</v>
      </c>
      <c r="S1932" s="3"/>
    </row>
    <row r="1933" spans="2:19" x14ac:dyDescent="0.5">
      <c r="B1933" s="5" t="str">
        <f t="shared" si="2152"/>
        <v>SPS1</v>
      </c>
      <c r="C1933" s="5" t="str">
        <f t="shared" si="2153"/>
        <v>CH</v>
      </c>
      <c r="D1933" t="s">
        <v>1950</v>
      </c>
      <c r="E1933" t="str">
        <f t="shared" si="2154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4.5910084615757197E-6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1.6618462188645499E-5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2.1660892346390101E-5</v>
      </c>
      <c r="J1933" s="1" cm="1">
        <f t="array" ref="J1933">SUMPRODUCT(("Var_Cap"=[1]OUT_TransportEnergyCons!$B$4:$B$10000)*1,("-"=[1]OUT_TransportEnergyCons!$C$4:$C$10000)*1,ISNUMBER(SEARCH("T_C*mhy*GSL*s3",[1]OUT_TransportEnergyCons!$A$4:$A$10000))*1,[1]OUT_TransportEnergyCons!H$4:H$10000)</f>
        <v>1.49106563253687E-5</v>
      </c>
      <c r="K1933" s="1" cm="1">
        <f t="array" ref="K1933">SUMPRODUCT(("Var_Cap"=[1]OUT_TransportEnergyCons!$B$4:$B$10000)*1,("-"=[1]OUT_TransportEnergyCons!$C$4:$C$10000)*1,ISNUMBER(SEARCH("T_C*mhy*GSL*s3",[1]OUT_TransportEnergyCons!$A$4:$A$10000))*1,[1]OUT_TransportEnergyCons!I$4:I$10000)</f>
        <v>4.7683652030938699E-6</v>
      </c>
      <c r="L1933" s="1" cm="1">
        <f t="array" ref="L1933">SUMPRODUCT(("Var_Cap"=[1]OUT_TransportEnergyCons!$B$4:$B$10000)*1,("-"=[1]OUT_TransportEnergyCons!$C$4:$C$10000)*1,ISNUMBER(SEARCH("T_C*mhy*GSL*s3",[1]OUT_TransportEnergyCons!$A$4:$A$10000))*1,[1]OUT_TransportEnergyCons!J$4:J$10000)</f>
        <v>0</v>
      </c>
      <c r="M1933" s="1" cm="1">
        <f t="array" ref="M1933">SUMPRODUCT(("Var_Cap"=[1]OUT_TransportEnergyCons!$B$4:$B$10000)*1,("-"=[1]OUT_TransportEnergyCons!$C$4:$C$10000)*1,ISNUMBER(SEARCH("T_C*mhy*GSL*s3",[1]OUT_TransportEnergyCons!$A$4:$A$10000))*1,[1]OUT_TransportEnergyCons!K$4:K$10000)</f>
        <v>0</v>
      </c>
      <c r="N1933" s="1" cm="1">
        <f t="array" ref="N1933">SUMPRODUCT(("Var_Cap"=[1]OUT_TransportEnergyCons!$B$4:$B$10000)*1,("-"=[1]OUT_TransportEnergyCons!$C$4:$C$10000)*1,ISNUMBER(SEARCH("T_C*mhy*GSL*s3",[1]OUT_TransportEnergyCons!$A$4:$A$10000))*1,[1]OUT_TransportEnergyCons!L$4:L$10000)</f>
        <v>0</v>
      </c>
      <c r="O1933" s="1" cm="1">
        <f t="array" ref="O1933">SUMPRODUCT(("Var_Cap"=[1]OUT_TransportEnergyCons!$B$4:$B$10000)*1,("-"=[1]OUT_TransportEnergyCons!$C$4:$C$10000)*1,ISNUMBER(SEARCH("T_C*mhy*GSL*s3",[1]OUT_TransportEnergyCons!$A$4:$A$10000))*1,[1]OUT_TransportEnergyCons!M$4:M$10000)</f>
        <v>0</v>
      </c>
      <c r="P1933" s="1" cm="1">
        <f t="array" ref="P1933">SUMPRODUCT(("Var_Cap"=[1]OUT_TransportEnergyCons!$B$4:$B$10000)*1,("-"=[1]OUT_TransportEnergyCons!$C$4:$C$10000)*1,ISNUMBER(SEARCH("T_C*mhy*GSL*s3",[1]OUT_TransportEnergyCons!$A$4:$A$10000))*1,[1]OUT_TransportEnergyCons!N$4:N$10000)</f>
        <v>0</v>
      </c>
      <c r="Q1933" s="1" cm="1">
        <f t="array" ref="Q1933">SUMPRODUCT(("Var_Cap"=[1]OUT_TransportEnergyCons!$B$4:$B$10000)*1,("-"=[1]OUT_TransportEnergyCons!$C$4:$C$10000)*1,ISNUMBER(SEARCH("T_C*mhy*GSL*s3",[1]OUT_TransportEnergyCons!$A$4:$A$10000))*1,[1]OUT_TransportEnergyCons!O$4:O$10000)</f>
        <v>0</v>
      </c>
      <c r="S1933" s="3"/>
    </row>
    <row r="1934" spans="2:19" x14ac:dyDescent="0.5">
      <c r="B1934" s="5" t="str">
        <f t="shared" si="2152"/>
        <v>SPS1</v>
      </c>
      <c r="C1934" s="5" t="str">
        <f t="shared" si="2153"/>
        <v>CH</v>
      </c>
      <c r="D1934" t="s">
        <v>1951</v>
      </c>
      <c r="E1934" t="str">
        <f t="shared" si="2154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6.2944678953822301E-6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2.6302983269059401E-5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3.7401227937449002E-5</v>
      </c>
      <c r="J1934" s="1" cm="1">
        <f t="array" ref="J1934">SUMPRODUCT(("Var_Cap"=[1]OUT_TransportEnergyCons!$B$4:$B$10000)*1,("-"=[1]OUT_TransportEnergyCons!$C$4:$C$10000)*1,ISNUMBER(SEARCH("T_C*mhy*GSL*s4",[1]OUT_TransportEnergyCons!$A$4:$A$10000))*1,[1]OUT_TransportEnergyCons!H$4:H$10000)</f>
        <v>2.64053348150874E-5</v>
      </c>
      <c r="K1934" s="1" cm="1">
        <f t="array" ref="K1934">SUMPRODUCT(("Var_Cap"=[1]OUT_TransportEnergyCons!$B$4:$B$10000)*1,("-"=[1]OUT_TransportEnergyCons!$C$4:$C$10000)*1,ISNUMBER(SEARCH("T_C*mhy*GSL*s4",[1]OUT_TransportEnergyCons!$A$4:$A$10000))*1,[1]OUT_TransportEnergyCons!I$4:I$10000)</f>
        <v>9.0987712174117301E-6</v>
      </c>
      <c r="L1934" s="1" cm="1">
        <f t="array" ref="L1934">SUMPRODUCT(("Var_Cap"=[1]OUT_TransportEnergyCons!$B$4:$B$10000)*1,("-"=[1]OUT_TransportEnergyCons!$C$4:$C$10000)*1,ISNUMBER(SEARCH("T_C*mhy*GSL*s4",[1]OUT_TransportEnergyCons!$A$4:$A$10000))*1,[1]OUT_TransportEnergyCons!J$4:J$10000)</f>
        <v>0</v>
      </c>
      <c r="M1934" s="1" cm="1">
        <f t="array" ref="M1934">SUMPRODUCT(("Var_Cap"=[1]OUT_TransportEnergyCons!$B$4:$B$10000)*1,("-"=[1]OUT_TransportEnergyCons!$C$4:$C$10000)*1,ISNUMBER(SEARCH("T_C*mhy*GSL*s4",[1]OUT_TransportEnergyCons!$A$4:$A$10000))*1,[1]OUT_TransportEnergyCons!K$4:K$10000)</f>
        <v>0</v>
      </c>
      <c r="N1934" s="1" cm="1">
        <f t="array" ref="N1934">SUMPRODUCT(("Var_Cap"=[1]OUT_TransportEnergyCons!$B$4:$B$10000)*1,("-"=[1]OUT_TransportEnergyCons!$C$4:$C$10000)*1,ISNUMBER(SEARCH("T_C*mhy*GSL*s4",[1]OUT_TransportEnergyCons!$A$4:$A$10000))*1,[1]OUT_TransportEnergyCons!L$4:L$10000)</f>
        <v>0</v>
      </c>
      <c r="O1934" s="1" cm="1">
        <f t="array" ref="O1934">SUMPRODUCT(("Var_Cap"=[1]OUT_TransportEnergyCons!$B$4:$B$10000)*1,("-"=[1]OUT_TransportEnergyCons!$C$4:$C$10000)*1,ISNUMBER(SEARCH("T_C*mhy*GSL*s4",[1]OUT_TransportEnergyCons!$A$4:$A$10000))*1,[1]OUT_TransportEnergyCons!M$4:M$10000)</f>
        <v>0</v>
      </c>
      <c r="P1934" s="1" cm="1">
        <f t="array" ref="P1934">SUMPRODUCT(("Var_Cap"=[1]OUT_TransportEnergyCons!$B$4:$B$10000)*1,("-"=[1]OUT_TransportEnergyCons!$C$4:$C$10000)*1,ISNUMBER(SEARCH("T_C*mhy*GSL*s4",[1]OUT_TransportEnergyCons!$A$4:$A$10000))*1,[1]OUT_TransportEnergyCons!N$4:N$10000)</f>
        <v>0</v>
      </c>
      <c r="Q1934" s="1" cm="1">
        <f t="array" ref="Q1934">SUMPRODUCT(("Var_Cap"=[1]OUT_TransportEnergyCons!$B$4:$B$10000)*1,("-"=[1]OUT_TransportEnergyCons!$C$4:$C$10000)*1,ISNUMBER(SEARCH("T_C*mhy*GSL*s4",[1]OUT_TransportEnergyCons!$A$4:$A$10000))*1,[1]OUT_TransportEnergyCons!O$4:O$10000)</f>
        <v>0</v>
      </c>
      <c r="S1934" s="3"/>
    </row>
    <row r="1935" spans="2:19" x14ac:dyDescent="0.5">
      <c r="B1935" s="5" t="str">
        <f t="shared" si="2152"/>
        <v>SPS1</v>
      </c>
      <c r="C1935" s="5" t="str">
        <f t="shared" si="2153"/>
        <v>CH</v>
      </c>
      <c r="D1935" t="s">
        <v>1952</v>
      </c>
      <c r="E1935" t="str">
        <f t="shared" si="2154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SUMPRODUCT(("Var_Cap"=[1]OUT_TransportEnergyCons!$B$4:$B$10000)*1,("-"=[1]OUT_TransportEnergyCons!$C$4:$C$10000)*1,ISNUMBER(SEARCH("T_C*hy*dsl*ext",[1]OUT_TransportEnergyCons!$A$4:$A$10000))*1,[1]OUT_TransportEnergyCons!H$4:H$10000)</f>
        <v>0</v>
      </c>
      <c r="K1935" s="1" cm="1">
        <f t="array" ref="K1935">SUMPRODUCT(("Var_Cap"=[1]OUT_TransportEnergyCons!$B$4:$B$10000)*1,("-"=[1]OUT_TransportEnergyCons!$C$4:$C$10000)*1,ISNUMBER(SEARCH("T_C*hy*dsl*ext",[1]OUT_TransportEnergyCons!$A$4:$A$10000))*1,[1]OUT_TransportEnergyCons!I$4:I$10000)</f>
        <v>0</v>
      </c>
      <c r="L1935" s="1" cm="1">
        <f t="array" ref="L1935">SUMPRODUCT(("Var_Cap"=[1]OUT_TransportEnergyCons!$B$4:$B$10000)*1,("-"=[1]OUT_TransportEnergyCons!$C$4:$C$10000)*1,ISNUMBER(SEARCH("T_C*hy*dsl*ext",[1]OUT_TransportEnergyCons!$A$4:$A$10000))*1,[1]OUT_TransportEnergyCons!J$4:J$10000)</f>
        <v>0</v>
      </c>
      <c r="M1935" s="1" cm="1">
        <f t="array" ref="M1935">SUMPRODUCT(("Var_Cap"=[1]OUT_TransportEnergyCons!$B$4:$B$10000)*1,("-"=[1]OUT_TransportEnergyCons!$C$4:$C$10000)*1,ISNUMBER(SEARCH("T_C*hy*dsl*ext",[1]OUT_TransportEnergyCons!$A$4:$A$10000))*1,[1]OUT_TransportEnergyCons!K$4:K$10000)</f>
        <v>0</v>
      </c>
      <c r="N1935" s="1" cm="1">
        <f t="array" ref="N1935">SUMPRODUCT(("Var_Cap"=[1]OUT_TransportEnergyCons!$B$4:$B$10000)*1,("-"=[1]OUT_TransportEnergyCons!$C$4:$C$10000)*1,ISNUMBER(SEARCH("T_C*hy*dsl*ext",[1]OUT_TransportEnergyCons!$A$4:$A$10000))*1,[1]OUT_TransportEnergyCons!L$4:L$10000)</f>
        <v>0</v>
      </c>
      <c r="O1935" s="1" cm="1">
        <f t="array" ref="O1935">SUMPRODUCT(("Var_Cap"=[1]OUT_TransportEnergyCons!$B$4:$B$10000)*1,("-"=[1]OUT_TransportEnergyCons!$C$4:$C$10000)*1,ISNUMBER(SEARCH("T_C*hy*dsl*ext",[1]OUT_TransportEnergyCons!$A$4:$A$10000))*1,[1]OUT_TransportEnergyCons!M$4:M$10000)</f>
        <v>0</v>
      </c>
      <c r="P1935" s="1" cm="1">
        <f t="array" ref="P1935">SUMPRODUCT(("Var_Cap"=[1]OUT_TransportEnergyCons!$B$4:$B$10000)*1,("-"=[1]OUT_TransportEnergyCons!$C$4:$C$10000)*1,ISNUMBER(SEARCH("T_C*hy*dsl*ext",[1]OUT_TransportEnergyCons!$A$4:$A$10000))*1,[1]OUT_TransportEnergyCons!N$4:N$10000)</f>
        <v>0</v>
      </c>
      <c r="Q1935" s="1" cm="1">
        <f t="array" ref="Q1935">SUMPRODUCT(("Var_Cap"=[1]OUT_TransportEnergyCons!$B$4:$B$10000)*1,("-"=[1]OUT_TransportEnergyCons!$C$4:$C$10000)*1,ISNUMBER(SEARCH("T_C*hy*dsl*ext",[1]OUT_TransportEnergyCons!$A$4:$A$10000))*1,[1]OUT_TransportEnergyCons!O$4:O$10000)</f>
        <v>0</v>
      </c>
      <c r="S1935" s="3"/>
    </row>
    <row r="1936" spans="2:19" x14ac:dyDescent="0.5">
      <c r="B1936" s="5" t="str">
        <f t="shared" si="2152"/>
        <v>SPS1</v>
      </c>
      <c r="C1936" s="5" t="str">
        <f t="shared" si="2153"/>
        <v>CH</v>
      </c>
      <c r="D1936" t="s">
        <v>1953</v>
      </c>
      <c r="E1936" t="str">
        <f t="shared" si="2154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3.0064897300838327E-2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2.8798616427756506E-2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2.3204478659647407E-2</v>
      </c>
      <c r="J1936" s="1" cm="1">
        <f t="array" ref="J1936">SUMPRODUCT(("Var_Cap"=[1]OUT_TransportEnergyCons!$B$4:$B$10000)*1,("-"=[1]OUT_TransportEnergyCons!$C$4:$C$10000)*1,ISNUMBER(SEARCH("T_C*hy*dsl*s1",[1]OUT_TransportEnergyCons!$A$4:$A$10000))*1,[1]OUT_TransportEnergyCons!H$4:H$10000)</f>
        <v>8.1471738883741249E-3</v>
      </c>
      <c r="K1936" s="1" cm="1">
        <f t="array" ref="K1936">SUMPRODUCT(("Var_Cap"=[1]OUT_TransportEnergyCons!$B$4:$B$10000)*1,("-"=[1]OUT_TransportEnergyCons!$C$4:$C$10000)*1,ISNUMBER(SEARCH("T_C*hy*dsl*s1",[1]OUT_TransportEnergyCons!$A$4:$A$10000))*1,[1]OUT_TransportEnergyCons!I$4:I$10000)</f>
        <v>6.9408954899431713E-5</v>
      </c>
      <c r="L1936" s="1" cm="1">
        <f t="array" ref="L1936">SUMPRODUCT(("Var_Cap"=[1]OUT_TransportEnergyCons!$B$4:$B$10000)*1,("-"=[1]OUT_TransportEnergyCons!$C$4:$C$10000)*1,ISNUMBER(SEARCH("T_C*hy*dsl*s1",[1]OUT_TransportEnergyCons!$A$4:$A$10000))*1,[1]OUT_TransportEnergyCons!J$4:J$10000)</f>
        <v>0</v>
      </c>
      <c r="M1936" s="1" cm="1">
        <f t="array" ref="M1936">SUMPRODUCT(("Var_Cap"=[1]OUT_TransportEnergyCons!$B$4:$B$10000)*1,("-"=[1]OUT_TransportEnergyCons!$C$4:$C$10000)*1,ISNUMBER(SEARCH("T_C*hy*dsl*s1",[1]OUT_TransportEnergyCons!$A$4:$A$10000))*1,[1]OUT_TransportEnergyCons!K$4:K$10000)</f>
        <v>0</v>
      </c>
      <c r="N1936" s="1" cm="1">
        <f t="array" ref="N1936">SUMPRODUCT(("Var_Cap"=[1]OUT_TransportEnergyCons!$B$4:$B$10000)*1,("-"=[1]OUT_TransportEnergyCons!$C$4:$C$10000)*1,ISNUMBER(SEARCH("T_C*hy*dsl*s1",[1]OUT_TransportEnergyCons!$A$4:$A$10000))*1,[1]OUT_TransportEnergyCons!L$4:L$10000)</f>
        <v>0</v>
      </c>
      <c r="O1936" s="1" cm="1">
        <f t="array" ref="O1936">SUMPRODUCT(("Var_Cap"=[1]OUT_TransportEnergyCons!$B$4:$B$10000)*1,("-"=[1]OUT_TransportEnergyCons!$C$4:$C$10000)*1,ISNUMBER(SEARCH("T_C*hy*dsl*s1",[1]OUT_TransportEnergyCons!$A$4:$A$10000))*1,[1]OUT_TransportEnergyCons!M$4:M$10000)</f>
        <v>0</v>
      </c>
      <c r="P1936" s="1" cm="1">
        <f t="array" ref="P1936">SUMPRODUCT(("Var_Cap"=[1]OUT_TransportEnergyCons!$B$4:$B$10000)*1,("-"=[1]OUT_TransportEnergyCons!$C$4:$C$10000)*1,ISNUMBER(SEARCH("T_C*hy*dsl*s1",[1]OUT_TransportEnergyCons!$A$4:$A$10000))*1,[1]OUT_TransportEnergyCons!N$4:N$10000)</f>
        <v>0</v>
      </c>
      <c r="Q1936" s="1" cm="1">
        <f t="array" ref="Q1936">SUMPRODUCT(("Var_Cap"=[1]OUT_TransportEnergyCons!$B$4:$B$10000)*1,("-"=[1]OUT_TransportEnergyCons!$C$4:$C$10000)*1,ISNUMBER(SEARCH("T_C*hy*dsl*s1",[1]OUT_TransportEnergyCons!$A$4:$A$10000))*1,[1]OUT_TransportEnergyCons!O$4:O$10000)</f>
        <v>0</v>
      </c>
      <c r="S1936" s="3"/>
    </row>
    <row r="1937" spans="2:19" x14ac:dyDescent="0.5">
      <c r="B1937" s="5" t="str">
        <f t="shared" si="2152"/>
        <v>SPS1</v>
      </c>
      <c r="C1937" s="5" t="str">
        <f t="shared" si="2153"/>
        <v>CH</v>
      </c>
      <c r="D1937" t="s">
        <v>1954</v>
      </c>
      <c r="E1937" t="str">
        <f t="shared" si="2154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2.5983972844112192E-4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0.11838684135182791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0.20292359202720181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0.16990628964895199</v>
      </c>
      <c r="J1937" s="1" cm="1">
        <f t="array" ref="J1937">SUMPRODUCT(("Var_Cap"=[1]OUT_TransportEnergyCons!$B$4:$B$10000)*1,("-"=[1]OUT_TransportEnergyCons!$C$4:$C$10000)*1,ISNUMBER(SEARCH("T_C*hy*dsl*s2",[1]OUT_TransportEnergyCons!$A$4:$A$10000))*1,[1]OUT_TransportEnergyCons!H$4:H$10000)</f>
        <v>8.7974646046993732E-2</v>
      </c>
      <c r="K1937" s="1" cm="1">
        <f t="array" ref="K1937">SUMPRODUCT(("Var_Cap"=[1]OUT_TransportEnergyCons!$B$4:$B$10000)*1,("-"=[1]OUT_TransportEnergyCons!$C$4:$C$10000)*1,ISNUMBER(SEARCH("T_C*hy*dsl*s2",[1]OUT_TransportEnergyCons!$A$4:$A$10000))*1,[1]OUT_TransportEnergyCons!I$4:I$10000)</f>
        <v>9.1698127550358579E-3</v>
      </c>
      <c r="L1937" s="1" cm="1">
        <f t="array" ref="L1937">SUMPRODUCT(("Var_Cap"=[1]OUT_TransportEnergyCons!$B$4:$B$10000)*1,("-"=[1]OUT_TransportEnergyCons!$C$4:$C$10000)*1,ISNUMBER(SEARCH("T_C*hy*dsl*s2",[1]OUT_TransportEnergyCons!$A$4:$A$10000))*1,[1]OUT_TransportEnergyCons!J$4:J$10000)</f>
        <v>0</v>
      </c>
      <c r="M1937" s="1" cm="1">
        <f t="array" ref="M1937">SUMPRODUCT(("Var_Cap"=[1]OUT_TransportEnergyCons!$B$4:$B$10000)*1,("-"=[1]OUT_TransportEnergyCons!$C$4:$C$10000)*1,ISNUMBER(SEARCH("T_C*hy*dsl*s2",[1]OUT_TransportEnergyCons!$A$4:$A$10000))*1,[1]OUT_TransportEnergyCons!K$4:K$10000)</f>
        <v>0</v>
      </c>
      <c r="N1937" s="1" cm="1">
        <f t="array" ref="N1937">SUMPRODUCT(("Var_Cap"=[1]OUT_TransportEnergyCons!$B$4:$B$10000)*1,("-"=[1]OUT_TransportEnergyCons!$C$4:$C$10000)*1,ISNUMBER(SEARCH("T_C*hy*dsl*s2",[1]OUT_TransportEnergyCons!$A$4:$A$10000))*1,[1]OUT_TransportEnergyCons!L$4:L$10000)</f>
        <v>0</v>
      </c>
      <c r="O1937" s="1" cm="1">
        <f t="array" ref="O1937">SUMPRODUCT(("Var_Cap"=[1]OUT_TransportEnergyCons!$B$4:$B$10000)*1,("-"=[1]OUT_TransportEnergyCons!$C$4:$C$10000)*1,ISNUMBER(SEARCH("T_C*hy*dsl*s2",[1]OUT_TransportEnergyCons!$A$4:$A$10000))*1,[1]OUT_TransportEnergyCons!M$4:M$10000)</f>
        <v>0</v>
      </c>
      <c r="P1937" s="1" cm="1">
        <f t="array" ref="P1937">SUMPRODUCT(("Var_Cap"=[1]OUT_TransportEnergyCons!$B$4:$B$10000)*1,("-"=[1]OUT_TransportEnergyCons!$C$4:$C$10000)*1,ISNUMBER(SEARCH("T_C*hy*dsl*s2",[1]OUT_TransportEnergyCons!$A$4:$A$10000))*1,[1]OUT_TransportEnergyCons!N$4:N$10000)</f>
        <v>0</v>
      </c>
      <c r="Q1937" s="1" cm="1">
        <f t="array" ref="Q1937">SUMPRODUCT(("Var_Cap"=[1]OUT_TransportEnergyCons!$B$4:$B$10000)*1,("-"=[1]OUT_TransportEnergyCons!$C$4:$C$10000)*1,ISNUMBER(SEARCH("T_C*hy*dsl*s2",[1]OUT_TransportEnergyCons!$A$4:$A$10000))*1,[1]OUT_TransportEnergyCons!O$4:O$10000)</f>
        <v>0</v>
      </c>
      <c r="S1937" s="3"/>
    </row>
    <row r="1938" spans="2:19" x14ac:dyDescent="0.5">
      <c r="B1938" s="5" t="str">
        <f t="shared" si="2152"/>
        <v>SPS1</v>
      </c>
      <c r="C1938" s="5" t="str">
        <f t="shared" si="2153"/>
        <v>CH</v>
      </c>
      <c r="D1938" t="s">
        <v>1955</v>
      </c>
      <c r="E1938" t="str">
        <f t="shared" si="2154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1.8564345760788421E-3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3.7039978575089437E-3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3.5452420479326011E-3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2.8263611111309529E-3</v>
      </c>
      <c r="J1938" s="1" cm="1">
        <f t="array" ref="J1938">SUMPRODUCT(("Var_Cap"=[1]OUT_TransportEnergyCons!$B$4:$B$10000)*1,("-"=[1]OUT_TransportEnergyCons!$C$4:$C$10000)*1,ISNUMBER(SEARCH("T_C*hy*dsl*s3",[1]OUT_TransportEnergyCons!$A$4:$A$10000))*1,[1]OUT_TransportEnergyCons!H$4:H$10000)</f>
        <v>6.3682254662998509E-4</v>
      </c>
      <c r="K1938" s="1" cm="1">
        <f t="array" ref="K1938">SUMPRODUCT(("Var_Cap"=[1]OUT_TransportEnergyCons!$B$4:$B$10000)*1,("-"=[1]OUT_TransportEnergyCons!$C$4:$C$10000)*1,ISNUMBER(SEARCH("T_C*hy*dsl*s3",[1]OUT_TransportEnergyCons!$A$4:$A$10000))*1,[1]OUT_TransportEnergyCons!I$4:I$10000)</f>
        <v>6.8776946865644998E-6</v>
      </c>
      <c r="L1938" s="1" cm="1">
        <f t="array" ref="L1938">SUMPRODUCT(("Var_Cap"=[1]OUT_TransportEnergyCons!$B$4:$B$10000)*1,("-"=[1]OUT_TransportEnergyCons!$C$4:$C$10000)*1,ISNUMBER(SEARCH("T_C*hy*dsl*s3",[1]OUT_TransportEnergyCons!$A$4:$A$10000))*1,[1]OUT_TransportEnergyCons!J$4:J$10000)</f>
        <v>0</v>
      </c>
      <c r="M1938" s="1" cm="1">
        <f t="array" ref="M1938">SUMPRODUCT(("Var_Cap"=[1]OUT_TransportEnergyCons!$B$4:$B$10000)*1,("-"=[1]OUT_TransportEnergyCons!$C$4:$C$10000)*1,ISNUMBER(SEARCH("T_C*hy*dsl*s3",[1]OUT_TransportEnergyCons!$A$4:$A$10000))*1,[1]OUT_TransportEnergyCons!K$4:K$10000)</f>
        <v>0</v>
      </c>
      <c r="N1938" s="1" cm="1">
        <f t="array" ref="N1938">SUMPRODUCT(("Var_Cap"=[1]OUT_TransportEnergyCons!$B$4:$B$10000)*1,("-"=[1]OUT_TransportEnergyCons!$C$4:$C$10000)*1,ISNUMBER(SEARCH("T_C*hy*dsl*s3",[1]OUT_TransportEnergyCons!$A$4:$A$10000))*1,[1]OUT_TransportEnergyCons!L$4:L$10000)</f>
        <v>0</v>
      </c>
      <c r="O1938" s="1" cm="1">
        <f t="array" ref="O1938">SUMPRODUCT(("Var_Cap"=[1]OUT_TransportEnergyCons!$B$4:$B$10000)*1,("-"=[1]OUT_TransportEnergyCons!$C$4:$C$10000)*1,ISNUMBER(SEARCH("T_C*hy*dsl*s3",[1]OUT_TransportEnergyCons!$A$4:$A$10000))*1,[1]OUT_TransportEnergyCons!M$4:M$10000)</f>
        <v>0</v>
      </c>
      <c r="P1938" s="1" cm="1">
        <f t="array" ref="P1938">SUMPRODUCT(("Var_Cap"=[1]OUT_TransportEnergyCons!$B$4:$B$10000)*1,("-"=[1]OUT_TransportEnergyCons!$C$4:$C$10000)*1,ISNUMBER(SEARCH("T_C*hy*dsl*s3",[1]OUT_TransportEnergyCons!$A$4:$A$10000))*1,[1]OUT_TransportEnergyCons!N$4:N$10000)</f>
        <v>0</v>
      </c>
      <c r="Q1938" s="1" cm="1">
        <f t="array" ref="Q1938">SUMPRODUCT(("Var_Cap"=[1]OUT_TransportEnergyCons!$B$4:$B$10000)*1,("-"=[1]OUT_TransportEnergyCons!$C$4:$C$10000)*1,ISNUMBER(SEARCH("T_C*hy*dsl*s3",[1]OUT_TransportEnergyCons!$A$4:$A$10000))*1,[1]OUT_TransportEnergyCons!O$4:O$10000)</f>
        <v>0</v>
      </c>
      <c r="S1938" s="3"/>
    </row>
    <row r="1939" spans="2:19" x14ac:dyDescent="0.5">
      <c r="B1939" s="5" t="str">
        <f t="shared" si="2152"/>
        <v>SPS1</v>
      </c>
      <c r="C1939" s="5" t="str">
        <f t="shared" si="2153"/>
        <v>CH</v>
      </c>
      <c r="D1939" t="s">
        <v>1956</v>
      </c>
      <c r="E1939" t="str">
        <f t="shared" si="2154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3.7729822963921654E-3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8.8006158809512854E-3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8.4071761247525249E-3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7.0555098910892065E-3</v>
      </c>
      <c r="J1939" s="1" cm="1">
        <f t="array" ref="J1939">SUMPRODUCT(("Var_Cap"=[1]OUT_TransportEnergyCons!$B$4:$B$10000)*1,("-"=[1]OUT_TransportEnergyCons!$C$4:$C$10000)*1,ISNUMBER(SEARCH("T_C*hy*dsl*s4",[1]OUT_TransportEnergyCons!$A$4:$A$10000))*1,[1]OUT_TransportEnergyCons!H$4:H$10000)</f>
        <v>1.5557847144270366E-3</v>
      </c>
      <c r="K1939" s="1" cm="1">
        <f t="array" ref="K1939">SUMPRODUCT(("Var_Cap"=[1]OUT_TransportEnergyCons!$B$4:$B$10000)*1,("-"=[1]OUT_TransportEnergyCons!$C$4:$C$10000)*1,ISNUMBER(SEARCH("T_C*hy*dsl*s4",[1]OUT_TransportEnergyCons!$A$4:$A$10000))*1,[1]OUT_TransportEnergyCons!I$4:I$10000)</f>
        <v>6.4757324129676402E-6</v>
      </c>
      <c r="L1939" s="1" cm="1">
        <f t="array" ref="L1939">SUMPRODUCT(("Var_Cap"=[1]OUT_TransportEnergyCons!$B$4:$B$10000)*1,("-"=[1]OUT_TransportEnergyCons!$C$4:$C$10000)*1,ISNUMBER(SEARCH("T_C*hy*dsl*s4",[1]OUT_TransportEnergyCons!$A$4:$A$10000))*1,[1]OUT_TransportEnergyCons!J$4:J$10000)</f>
        <v>0</v>
      </c>
      <c r="M1939" s="1" cm="1">
        <f t="array" ref="M1939">SUMPRODUCT(("Var_Cap"=[1]OUT_TransportEnergyCons!$B$4:$B$10000)*1,("-"=[1]OUT_TransportEnergyCons!$C$4:$C$10000)*1,ISNUMBER(SEARCH("T_C*hy*dsl*s4",[1]OUT_TransportEnergyCons!$A$4:$A$10000))*1,[1]OUT_TransportEnergyCons!K$4:K$10000)</f>
        <v>0</v>
      </c>
      <c r="N1939" s="1" cm="1">
        <f t="array" ref="N1939">SUMPRODUCT(("Var_Cap"=[1]OUT_TransportEnergyCons!$B$4:$B$10000)*1,("-"=[1]OUT_TransportEnergyCons!$C$4:$C$10000)*1,ISNUMBER(SEARCH("T_C*hy*dsl*s4",[1]OUT_TransportEnergyCons!$A$4:$A$10000))*1,[1]OUT_TransportEnergyCons!L$4:L$10000)</f>
        <v>0</v>
      </c>
      <c r="O1939" s="1" cm="1">
        <f t="array" ref="O1939">SUMPRODUCT(("Var_Cap"=[1]OUT_TransportEnergyCons!$B$4:$B$10000)*1,("-"=[1]OUT_TransportEnergyCons!$C$4:$C$10000)*1,ISNUMBER(SEARCH("T_C*hy*dsl*s4",[1]OUT_TransportEnergyCons!$A$4:$A$10000))*1,[1]OUT_TransportEnergyCons!M$4:M$10000)</f>
        <v>0</v>
      </c>
      <c r="P1939" s="1" cm="1">
        <f t="array" ref="P1939">SUMPRODUCT(("Var_Cap"=[1]OUT_TransportEnergyCons!$B$4:$B$10000)*1,("-"=[1]OUT_TransportEnergyCons!$C$4:$C$10000)*1,ISNUMBER(SEARCH("T_C*hy*dsl*s4",[1]OUT_TransportEnergyCons!$A$4:$A$10000))*1,[1]OUT_TransportEnergyCons!N$4:N$10000)</f>
        <v>0</v>
      </c>
      <c r="Q1939" s="1" cm="1">
        <f t="array" ref="Q1939">SUMPRODUCT(("Var_Cap"=[1]OUT_TransportEnergyCons!$B$4:$B$10000)*1,("-"=[1]OUT_TransportEnergyCons!$C$4:$C$10000)*1,ISNUMBER(SEARCH("T_C*hy*dsl*s4",[1]OUT_TransportEnergyCons!$A$4:$A$10000))*1,[1]OUT_TransportEnergyCons!O$4:O$10000)</f>
        <v>0</v>
      </c>
      <c r="S1939" s="3"/>
    </row>
    <row r="1940" spans="2:19" x14ac:dyDescent="0.5">
      <c r="B1940" s="5" t="str">
        <f t="shared" si="2152"/>
        <v>SPS1</v>
      </c>
      <c r="C1940" s="5" t="str">
        <f t="shared" si="2153"/>
        <v>CH</v>
      </c>
      <c r="D1940" t="s">
        <v>1957</v>
      </c>
      <c r="E1940" t="str">
        <f t="shared" si="2154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1.0585532482902056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0.706372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0.353186</v>
      </c>
      <c r="J1940" s="1" cm="1">
        <f t="array" ref="J1940">SUMPRODUCT(("Var_Cap"=[1]OUT_TransportEnergyCons!$B$4:$B$10000)*1,("-"=[1]OUT_TransportEnergyCons!$C$4:$C$10000)*1,ISNUMBER(SEARCH("T_C*ICE*dsl*ext",[1]OUT_TransportEnergyCons!$A$4:$A$10000))*1,[1]OUT_TransportEnergyCons!H$4:H$10000)</f>
        <v>0</v>
      </c>
      <c r="K1940" s="1" cm="1">
        <f t="array" ref="K1940">SUMPRODUCT(("Var_Cap"=[1]OUT_TransportEnergyCons!$B$4:$B$10000)*1,("-"=[1]OUT_TransportEnergyCons!$C$4:$C$10000)*1,ISNUMBER(SEARCH("T_C*ICE*dsl*ext",[1]OUT_TransportEnergyCons!$A$4:$A$10000))*1,[1]OUT_TransportEnergyCons!I$4:I$10000)</f>
        <v>0</v>
      </c>
      <c r="L1940" s="1" cm="1">
        <f t="array" ref="L1940">SUMPRODUCT(("Var_Cap"=[1]OUT_TransportEnergyCons!$B$4:$B$10000)*1,("-"=[1]OUT_TransportEnergyCons!$C$4:$C$10000)*1,ISNUMBER(SEARCH("T_C*ICE*dsl*ext",[1]OUT_TransportEnergyCons!$A$4:$A$10000))*1,[1]OUT_TransportEnergyCons!J$4:J$10000)</f>
        <v>0</v>
      </c>
      <c r="M1940" s="1" cm="1">
        <f t="array" ref="M1940">SUMPRODUCT(("Var_Cap"=[1]OUT_TransportEnergyCons!$B$4:$B$10000)*1,("-"=[1]OUT_TransportEnergyCons!$C$4:$C$10000)*1,ISNUMBER(SEARCH("T_C*ICE*dsl*ext",[1]OUT_TransportEnergyCons!$A$4:$A$10000))*1,[1]OUT_TransportEnergyCons!K$4:K$10000)</f>
        <v>0</v>
      </c>
      <c r="N1940" s="1" cm="1">
        <f t="array" ref="N1940">SUMPRODUCT(("Var_Cap"=[1]OUT_TransportEnergyCons!$B$4:$B$10000)*1,("-"=[1]OUT_TransportEnergyCons!$C$4:$C$10000)*1,ISNUMBER(SEARCH("T_C*ICE*dsl*ext",[1]OUT_TransportEnergyCons!$A$4:$A$10000))*1,[1]OUT_TransportEnergyCons!L$4:L$10000)</f>
        <v>0</v>
      </c>
      <c r="O1940" s="1" cm="1">
        <f t="array" ref="O1940">SUMPRODUCT(("Var_Cap"=[1]OUT_TransportEnergyCons!$B$4:$B$10000)*1,("-"=[1]OUT_TransportEnergyCons!$C$4:$C$10000)*1,ISNUMBER(SEARCH("T_C*ICE*dsl*ext",[1]OUT_TransportEnergyCons!$A$4:$A$10000))*1,[1]OUT_TransportEnergyCons!M$4:M$10000)</f>
        <v>0</v>
      </c>
      <c r="P1940" s="1" cm="1">
        <f t="array" ref="P1940">SUMPRODUCT(("Var_Cap"=[1]OUT_TransportEnergyCons!$B$4:$B$10000)*1,("-"=[1]OUT_TransportEnergyCons!$C$4:$C$10000)*1,ISNUMBER(SEARCH("T_C*ICE*dsl*ext",[1]OUT_TransportEnergyCons!$A$4:$A$10000))*1,[1]OUT_TransportEnergyCons!N$4:N$10000)</f>
        <v>0</v>
      </c>
      <c r="Q1940" s="1" cm="1">
        <f t="array" ref="Q1940">SUMPRODUCT(("Var_Cap"=[1]OUT_TransportEnergyCons!$B$4:$B$10000)*1,("-"=[1]OUT_TransportEnergyCons!$C$4:$C$10000)*1,ISNUMBER(SEARCH("T_C*ICE*dsl*ext",[1]OUT_TransportEnergyCons!$A$4:$A$10000))*1,[1]OUT_TransportEnergyCons!O$4:O$10000)</f>
        <v>0</v>
      </c>
      <c r="S1940" s="3"/>
    </row>
    <row r="1941" spans="2:19" x14ac:dyDescent="0.5">
      <c r="B1941" s="5" t="str">
        <f t="shared" si="2152"/>
        <v>SPS1</v>
      </c>
      <c r="C1941" s="5" t="str">
        <f t="shared" si="2153"/>
        <v>CH</v>
      </c>
      <c r="D1941" t="s">
        <v>1958</v>
      </c>
      <c r="E1941" t="str">
        <f t="shared" si="2154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4.4470251404026223E-4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4.8842038209008032E-4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5.0884221439223575E-4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3.7983194781910778E-4</v>
      </c>
      <c r="J1941" s="1" cm="1">
        <f t="array" ref="J1941">SUMPRODUCT(("Var_Cap"=[1]OUT_TransportEnergyCons!$B$4:$B$10000)*1,("-"=[1]OUT_TransportEnergyCons!$C$4:$C$10000)*1,ISNUMBER(SEARCH("T_C*ICE*dsl*s1",[1]OUT_TransportEnergyCons!$A$4:$A$10000))*1,[1]OUT_TransportEnergyCons!H$4:H$10000)</f>
        <v>4.2119325603645284E-5</v>
      </c>
      <c r="K1941" s="1" cm="1">
        <f t="array" ref="K1941">SUMPRODUCT(("Var_Cap"=[1]OUT_TransportEnergyCons!$B$4:$B$10000)*1,("-"=[1]OUT_TransportEnergyCons!$C$4:$C$10000)*1,ISNUMBER(SEARCH("T_C*ICE*dsl*s1",[1]OUT_TransportEnergyCons!$A$4:$A$10000))*1,[1]OUT_TransportEnergyCons!I$4:I$10000)</f>
        <v>9.7651042347814834E-6</v>
      </c>
      <c r="L1941" s="1" cm="1">
        <f t="array" ref="L1941">SUMPRODUCT(("Var_Cap"=[1]OUT_TransportEnergyCons!$B$4:$B$10000)*1,("-"=[1]OUT_TransportEnergyCons!$C$4:$C$10000)*1,ISNUMBER(SEARCH("T_C*ICE*dsl*s1",[1]OUT_TransportEnergyCons!$A$4:$A$10000))*1,[1]OUT_TransportEnergyCons!J$4:J$10000)</f>
        <v>0</v>
      </c>
      <c r="M1941" s="1" cm="1">
        <f t="array" ref="M1941">SUMPRODUCT(("Var_Cap"=[1]OUT_TransportEnergyCons!$B$4:$B$10000)*1,("-"=[1]OUT_TransportEnergyCons!$C$4:$C$10000)*1,ISNUMBER(SEARCH("T_C*ICE*dsl*s1",[1]OUT_TransportEnergyCons!$A$4:$A$10000))*1,[1]OUT_TransportEnergyCons!K$4:K$10000)</f>
        <v>0</v>
      </c>
      <c r="N1941" s="1" cm="1">
        <f t="array" ref="N1941">SUMPRODUCT(("Var_Cap"=[1]OUT_TransportEnergyCons!$B$4:$B$10000)*1,("-"=[1]OUT_TransportEnergyCons!$C$4:$C$10000)*1,ISNUMBER(SEARCH("T_C*ICE*dsl*s1",[1]OUT_TransportEnergyCons!$A$4:$A$10000))*1,[1]OUT_TransportEnergyCons!L$4:L$10000)</f>
        <v>0</v>
      </c>
      <c r="O1941" s="1" cm="1">
        <f t="array" ref="O1941">SUMPRODUCT(("Var_Cap"=[1]OUT_TransportEnergyCons!$B$4:$B$10000)*1,("-"=[1]OUT_TransportEnergyCons!$C$4:$C$10000)*1,ISNUMBER(SEARCH("T_C*ICE*dsl*s1",[1]OUT_TransportEnergyCons!$A$4:$A$10000))*1,[1]OUT_TransportEnergyCons!M$4:M$10000)</f>
        <v>0</v>
      </c>
      <c r="P1941" s="1" cm="1">
        <f t="array" ref="P1941">SUMPRODUCT(("Var_Cap"=[1]OUT_TransportEnergyCons!$B$4:$B$10000)*1,("-"=[1]OUT_TransportEnergyCons!$C$4:$C$10000)*1,ISNUMBER(SEARCH("T_C*ICE*dsl*s1",[1]OUT_TransportEnergyCons!$A$4:$A$10000))*1,[1]OUT_TransportEnergyCons!N$4:N$10000)</f>
        <v>0</v>
      </c>
      <c r="Q1941" s="1" cm="1">
        <f t="array" ref="Q1941">SUMPRODUCT(("Var_Cap"=[1]OUT_TransportEnergyCons!$B$4:$B$10000)*1,("-"=[1]OUT_TransportEnergyCons!$C$4:$C$10000)*1,ISNUMBER(SEARCH("T_C*ICE*dsl*s1",[1]OUT_TransportEnergyCons!$A$4:$A$10000))*1,[1]OUT_TransportEnergyCons!O$4:O$10000)</f>
        <v>0</v>
      </c>
      <c r="S1941" s="3"/>
    </row>
    <row r="1942" spans="2:19" x14ac:dyDescent="0.5">
      <c r="B1942" s="5" t="str">
        <f t="shared" si="2152"/>
        <v>SPS1</v>
      </c>
      <c r="C1942" s="5" t="str">
        <f t="shared" si="2153"/>
        <v>CH</v>
      </c>
      <c r="D1942" t="s">
        <v>1959</v>
      </c>
      <c r="E1942" t="str">
        <f t="shared" si="2154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6.4569762372090694E-2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6.8512375699156525E-2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6.7905280456219907E-2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5.148688630352543E-2</v>
      </c>
      <c r="J1942" s="1" cm="1">
        <f t="array" ref="J1942">SUMPRODUCT(("Var_Cap"=[1]OUT_TransportEnergyCons!$B$4:$B$10000)*1,("-"=[1]OUT_TransportEnergyCons!$C$4:$C$10000)*1,ISNUMBER(SEARCH("T_C*ICE*dsl*s2",[1]OUT_TransportEnergyCons!$A$4:$A$10000))*1,[1]OUT_TransportEnergyCons!H$4:H$10000)</f>
        <v>1.7821923828712915E-3</v>
      </c>
      <c r="K1942" s="1" cm="1">
        <f t="array" ref="K1942">SUMPRODUCT(("Var_Cap"=[1]OUT_TransportEnergyCons!$B$4:$B$10000)*1,("-"=[1]OUT_TransportEnergyCons!$C$4:$C$10000)*1,ISNUMBER(SEARCH("T_C*ICE*dsl*s2",[1]OUT_TransportEnergyCons!$A$4:$A$10000))*1,[1]OUT_TransportEnergyCons!I$4:I$10000)</f>
        <v>5.0568166680582898E-6</v>
      </c>
      <c r="L1942" s="1" cm="1">
        <f t="array" ref="L1942">SUMPRODUCT(("Var_Cap"=[1]OUT_TransportEnergyCons!$B$4:$B$10000)*1,("-"=[1]OUT_TransportEnergyCons!$C$4:$C$10000)*1,ISNUMBER(SEARCH("T_C*ICE*dsl*s2",[1]OUT_TransportEnergyCons!$A$4:$A$10000))*1,[1]OUT_TransportEnergyCons!J$4:J$10000)</f>
        <v>0</v>
      </c>
      <c r="M1942" s="1" cm="1">
        <f t="array" ref="M1942">SUMPRODUCT(("Var_Cap"=[1]OUT_TransportEnergyCons!$B$4:$B$10000)*1,("-"=[1]OUT_TransportEnergyCons!$C$4:$C$10000)*1,ISNUMBER(SEARCH("T_C*ICE*dsl*s2",[1]OUT_TransportEnergyCons!$A$4:$A$10000))*1,[1]OUT_TransportEnergyCons!K$4:K$10000)</f>
        <v>0</v>
      </c>
      <c r="N1942" s="1" cm="1">
        <f t="array" ref="N1942">SUMPRODUCT(("Var_Cap"=[1]OUT_TransportEnergyCons!$B$4:$B$10000)*1,("-"=[1]OUT_TransportEnergyCons!$C$4:$C$10000)*1,ISNUMBER(SEARCH("T_C*ICE*dsl*s2",[1]OUT_TransportEnergyCons!$A$4:$A$10000))*1,[1]OUT_TransportEnergyCons!L$4:L$10000)</f>
        <v>0</v>
      </c>
      <c r="O1942" s="1" cm="1">
        <f t="array" ref="O1942">SUMPRODUCT(("Var_Cap"=[1]OUT_TransportEnergyCons!$B$4:$B$10000)*1,("-"=[1]OUT_TransportEnergyCons!$C$4:$C$10000)*1,ISNUMBER(SEARCH("T_C*ICE*dsl*s2",[1]OUT_TransportEnergyCons!$A$4:$A$10000))*1,[1]OUT_TransportEnergyCons!M$4:M$10000)</f>
        <v>0</v>
      </c>
      <c r="P1942" s="1" cm="1">
        <f t="array" ref="P1942">SUMPRODUCT(("Var_Cap"=[1]OUT_TransportEnergyCons!$B$4:$B$10000)*1,("-"=[1]OUT_TransportEnergyCons!$C$4:$C$10000)*1,ISNUMBER(SEARCH("T_C*ICE*dsl*s2",[1]OUT_TransportEnergyCons!$A$4:$A$10000))*1,[1]OUT_TransportEnergyCons!N$4:N$10000)</f>
        <v>0</v>
      </c>
      <c r="Q1942" s="1" cm="1">
        <f t="array" ref="Q1942">SUMPRODUCT(("Var_Cap"=[1]OUT_TransportEnergyCons!$B$4:$B$10000)*1,("-"=[1]OUT_TransportEnergyCons!$C$4:$C$10000)*1,ISNUMBER(SEARCH("T_C*ICE*dsl*s2",[1]OUT_TransportEnergyCons!$A$4:$A$10000))*1,[1]OUT_TransportEnergyCons!O$4:O$10000)</f>
        <v>0</v>
      </c>
      <c r="S1942" s="3"/>
    </row>
    <row r="1943" spans="2:19" x14ac:dyDescent="0.5">
      <c r="B1943" s="5" t="str">
        <f t="shared" si="2152"/>
        <v>SPS1</v>
      </c>
      <c r="C1943" s="5" t="str">
        <f t="shared" si="2153"/>
        <v>CH</v>
      </c>
      <c r="D1943" t="s">
        <v>1960</v>
      </c>
      <c r="E1943" t="str">
        <f t="shared" si="2154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0.18324161795676716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0.19500449305171713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0.19298015419158177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0.14993986059272982</v>
      </c>
      <c r="J1943" s="1" cm="1">
        <f t="array" ref="J1943">SUMPRODUCT(("Var_Cap"=[1]OUT_TransportEnergyCons!$B$4:$B$10000)*1,("-"=[1]OUT_TransportEnergyCons!$C$4:$C$10000)*1,ISNUMBER(SEARCH("T_C*ICE*dsl*s3",[1]OUT_TransportEnergyCons!$A$4:$A$10000))*1,[1]OUT_TransportEnergyCons!H$4:H$10000)</f>
        <v>5.624664808485602E-3</v>
      </c>
      <c r="K1943" s="1" cm="1">
        <f t="array" ref="K1943">SUMPRODUCT(("Var_Cap"=[1]OUT_TransportEnergyCons!$B$4:$B$10000)*1,("-"=[1]OUT_TransportEnergyCons!$C$4:$C$10000)*1,ISNUMBER(SEARCH("T_C*ICE*dsl*s3",[1]OUT_TransportEnergyCons!$A$4:$A$10000))*1,[1]OUT_TransportEnergyCons!I$4:I$10000)</f>
        <v>3.5569528750378402E-6</v>
      </c>
      <c r="L1943" s="1" cm="1">
        <f t="array" ref="L1943">SUMPRODUCT(("Var_Cap"=[1]OUT_TransportEnergyCons!$B$4:$B$10000)*1,("-"=[1]OUT_TransportEnergyCons!$C$4:$C$10000)*1,ISNUMBER(SEARCH("T_C*ICE*dsl*s3",[1]OUT_TransportEnergyCons!$A$4:$A$10000))*1,[1]OUT_TransportEnergyCons!J$4:J$10000)</f>
        <v>0</v>
      </c>
      <c r="M1943" s="1" cm="1">
        <f t="array" ref="M1943">SUMPRODUCT(("Var_Cap"=[1]OUT_TransportEnergyCons!$B$4:$B$10000)*1,("-"=[1]OUT_TransportEnergyCons!$C$4:$C$10000)*1,ISNUMBER(SEARCH("T_C*ICE*dsl*s3",[1]OUT_TransportEnergyCons!$A$4:$A$10000))*1,[1]OUT_TransportEnergyCons!K$4:K$10000)</f>
        <v>0</v>
      </c>
      <c r="N1943" s="1" cm="1">
        <f t="array" ref="N1943">SUMPRODUCT(("Var_Cap"=[1]OUT_TransportEnergyCons!$B$4:$B$10000)*1,("-"=[1]OUT_TransportEnergyCons!$C$4:$C$10000)*1,ISNUMBER(SEARCH("T_C*ICE*dsl*s3",[1]OUT_TransportEnergyCons!$A$4:$A$10000))*1,[1]OUT_TransportEnergyCons!L$4:L$10000)</f>
        <v>0</v>
      </c>
      <c r="O1943" s="1" cm="1">
        <f t="array" ref="O1943">SUMPRODUCT(("Var_Cap"=[1]OUT_TransportEnergyCons!$B$4:$B$10000)*1,("-"=[1]OUT_TransportEnergyCons!$C$4:$C$10000)*1,ISNUMBER(SEARCH("T_C*ICE*dsl*s3",[1]OUT_TransportEnergyCons!$A$4:$A$10000))*1,[1]OUT_TransportEnergyCons!M$4:M$10000)</f>
        <v>0</v>
      </c>
      <c r="P1943" s="1" cm="1">
        <f t="array" ref="P1943">SUMPRODUCT(("Var_Cap"=[1]OUT_TransportEnergyCons!$B$4:$B$10000)*1,("-"=[1]OUT_TransportEnergyCons!$C$4:$C$10000)*1,ISNUMBER(SEARCH("T_C*ICE*dsl*s3",[1]OUT_TransportEnergyCons!$A$4:$A$10000))*1,[1]OUT_TransportEnergyCons!N$4:N$10000)</f>
        <v>0</v>
      </c>
      <c r="Q1943" s="1" cm="1">
        <f t="array" ref="Q1943">SUMPRODUCT(("Var_Cap"=[1]OUT_TransportEnergyCons!$B$4:$B$10000)*1,("-"=[1]OUT_TransportEnergyCons!$C$4:$C$10000)*1,ISNUMBER(SEARCH("T_C*ICE*dsl*s3",[1]OUT_TransportEnergyCons!$A$4:$A$10000))*1,[1]OUT_TransportEnergyCons!O$4:O$10000)</f>
        <v>0</v>
      </c>
      <c r="S1943" s="3"/>
    </row>
    <row r="1944" spans="2:19" x14ac:dyDescent="0.5">
      <c r="B1944" s="5" t="str">
        <f t="shared" si="2152"/>
        <v>SPS1</v>
      </c>
      <c r="C1944" s="5" t="str">
        <f t="shared" si="2153"/>
        <v>CH</v>
      </c>
      <c r="D1944" t="s">
        <v>1961</v>
      </c>
      <c r="E1944" t="str">
        <f t="shared" si="2154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7.1262491432148189E-2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7.9340735343653671E-2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7.8209658727928233E-2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6.1060883127162E-2</v>
      </c>
      <c r="J1944" s="1" cm="1">
        <f t="array" ref="J1944">SUMPRODUCT(("Var_Cap"=[1]OUT_TransportEnergyCons!$B$4:$B$10000)*1,("-"=[1]OUT_TransportEnergyCons!$C$4:$C$10000)*1,ISNUMBER(SEARCH("T_C*ICE*dsl*s4",[1]OUT_TransportEnergyCons!$A$4:$A$10000))*1,[1]OUT_TransportEnergyCons!H$4:H$10000)</f>
        <v>3.3722915673084245E-3</v>
      </c>
      <c r="K1944" s="1" cm="1">
        <f t="array" ref="K1944">SUMPRODUCT(("Var_Cap"=[1]OUT_TransportEnergyCons!$B$4:$B$10000)*1,("-"=[1]OUT_TransportEnergyCons!$C$4:$C$10000)*1,ISNUMBER(SEARCH("T_C*ICE*dsl*s4",[1]OUT_TransportEnergyCons!$A$4:$A$10000))*1,[1]OUT_TransportEnergyCons!I$4:I$10000)</f>
        <v>2.46111410819492E-6</v>
      </c>
      <c r="L1944" s="1" cm="1">
        <f t="array" ref="L1944">SUMPRODUCT(("Var_Cap"=[1]OUT_TransportEnergyCons!$B$4:$B$10000)*1,("-"=[1]OUT_TransportEnergyCons!$C$4:$C$10000)*1,ISNUMBER(SEARCH("T_C*ICE*dsl*s4",[1]OUT_TransportEnergyCons!$A$4:$A$10000))*1,[1]OUT_TransportEnergyCons!J$4:J$10000)</f>
        <v>0</v>
      </c>
      <c r="M1944" s="1" cm="1">
        <f t="array" ref="M1944">SUMPRODUCT(("Var_Cap"=[1]OUT_TransportEnergyCons!$B$4:$B$10000)*1,("-"=[1]OUT_TransportEnergyCons!$C$4:$C$10000)*1,ISNUMBER(SEARCH("T_C*ICE*dsl*s4",[1]OUT_TransportEnergyCons!$A$4:$A$10000))*1,[1]OUT_TransportEnergyCons!K$4:K$10000)</f>
        <v>0</v>
      </c>
      <c r="N1944" s="1" cm="1">
        <f t="array" ref="N1944">SUMPRODUCT(("Var_Cap"=[1]OUT_TransportEnergyCons!$B$4:$B$10000)*1,("-"=[1]OUT_TransportEnergyCons!$C$4:$C$10000)*1,ISNUMBER(SEARCH("T_C*ICE*dsl*s4",[1]OUT_TransportEnergyCons!$A$4:$A$10000))*1,[1]OUT_TransportEnergyCons!L$4:L$10000)</f>
        <v>0</v>
      </c>
      <c r="O1944" s="1" cm="1">
        <f t="array" ref="O1944">SUMPRODUCT(("Var_Cap"=[1]OUT_TransportEnergyCons!$B$4:$B$10000)*1,("-"=[1]OUT_TransportEnergyCons!$C$4:$C$10000)*1,ISNUMBER(SEARCH("T_C*ICE*dsl*s4",[1]OUT_TransportEnergyCons!$A$4:$A$10000))*1,[1]OUT_TransportEnergyCons!M$4:M$10000)</f>
        <v>0</v>
      </c>
      <c r="P1944" s="1" cm="1">
        <f t="array" ref="P1944">SUMPRODUCT(("Var_Cap"=[1]OUT_TransportEnergyCons!$B$4:$B$10000)*1,("-"=[1]OUT_TransportEnergyCons!$C$4:$C$10000)*1,ISNUMBER(SEARCH("T_C*ICE*dsl*s4",[1]OUT_TransportEnergyCons!$A$4:$A$10000))*1,[1]OUT_TransportEnergyCons!N$4:N$10000)</f>
        <v>0</v>
      </c>
      <c r="Q1944" s="1" cm="1">
        <f t="array" ref="Q1944">SUMPRODUCT(("Var_Cap"=[1]OUT_TransportEnergyCons!$B$4:$B$10000)*1,("-"=[1]OUT_TransportEnergyCons!$C$4:$C$10000)*1,ISNUMBER(SEARCH("T_C*ICE*dsl*s4",[1]OUT_TransportEnergyCons!$A$4:$A$10000))*1,[1]OUT_TransportEnergyCons!O$4:O$10000)</f>
        <v>0</v>
      </c>
      <c r="S1944" s="3"/>
    </row>
    <row r="1945" spans="2:19" x14ac:dyDescent="0.5">
      <c r="B1945" s="5" t="str">
        <f t="shared" si="2152"/>
        <v>SPS1</v>
      </c>
      <c r="C1945" s="5" t="str">
        <f t="shared" si="2153"/>
        <v>CH</v>
      </c>
      <c r="D1945" t="s">
        <v>1962</v>
      </c>
      <c r="E1945" t="str">
        <f t="shared" si="2154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7.4891920125280899E-6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3.2099538429305399E-5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4.5975052179545E-5</v>
      </c>
      <c r="J1945" s="1" cm="1">
        <f t="array" ref="J1945">SUMPRODUCT(("Var_Cap"=[1]OUT_TransportEnergyCons!$B$4:$B$10000)*1,("-"=[1]OUT_TransportEnergyCons!$C$4:$C$10000)*1,ISNUMBER(SEARCH("T_C*mhy*dsl*s1",[1]OUT_TransportEnergyCons!$A$4:$A$10000))*1,[1]OUT_TransportEnergyCons!H$4:H$10000)</f>
        <v>3.2546961454030502E-5</v>
      </c>
      <c r="K1945" s="1" cm="1">
        <f t="array" ref="K1945">SUMPRODUCT(("Var_Cap"=[1]OUT_TransportEnergyCons!$B$4:$B$10000)*1,("-"=[1]OUT_TransportEnergyCons!$C$4:$C$10000)*1,ISNUMBER(SEARCH("T_C*mhy*dsl*s1",[1]OUT_TransportEnergyCons!$A$4:$A$10000))*1,[1]OUT_TransportEnergyCons!I$4:I$10000)</f>
        <v>1.1274268857342801E-5</v>
      </c>
      <c r="L1945" s="1" cm="1">
        <f t="array" ref="L1945">SUMPRODUCT(("Var_Cap"=[1]OUT_TransportEnergyCons!$B$4:$B$10000)*1,("-"=[1]OUT_TransportEnergyCons!$C$4:$C$10000)*1,ISNUMBER(SEARCH("T_C*mhy*dsl*s1",[1]OUT_TransportEnergyCons!$A$4:$A$10000))*1,[1]OUT_TransportEnergyCons!J$4:J$10000)</f>
        <v>0</v>
      </c>
      <c r="M1945" s="1" cm="1">
        <f t="array" ref="M1945">SUMPRODUCT(("Var_Cap"=[1]OUT_TransportEnergyCons!$B$4:$B$10000)*1,("-"=[1]OUT_TransportEnergyCons!$C$4:$C$10000)*1,ISNUMBER(SEARCH("T_C*mhy*dsl*s1",[1]OUT_TransportEnergyCons!$A$4:$A$10000))*1,[1]OUT_TransportEnergyCons!K$4:K$10000)</f>
        <v>0</v>
      </c>
      <c r="N1945" s="1" cm="1">
        <f t="array" ref="N1945">SUMPRODUCT(("Var_Cap"=[1]OUT_TransportEnergyCons!$B$4:$B$10000)*1,("-"=[1]OUT_TransportEnergyCons!$C$4:$C$10000)*1,ISNUMBER(SEARCH("T_C*mhy*dsl*s1",[1]OUT_TransportEnergyCons!$A$4:$A$10000))*1,[1]OUT_TransportEnergyCons!L$4:L$10000)</f>
        <v>0</v>
      </c>
      <c r="O1945" s="1" cm="1">
        <f t="array" ref="O1945">SUMPRODUCT(("Var_Cap"=[1]OUT_TransportEnergyCons!$B$4:$B$10000)*1,("-"=[1]OUT_TransportEnergyCons!$C$4:$C$10000)*1,ISNUMBER(SEARCH("T_C*mhy*dsl*s1",[1]OUT_TransportEnergyCons!$A$4:$A$10000))*1,[1]OUT_TransportEnergyCons!M$4:M$10000)</f>
        <v>0</v>
      </c>
      <c r="P1945" s="1" cm="1">
        <f t="array" ref="P1945">SUMPRODUCT(("Var_Cap"=[1]OUT_TransportEnergyCons!$B$4:$B$10000)*1,("-"=[1]OUT_TransportEnergyCons!$C$4:$C$10000)*1,ISNUMBER(SEARCH("T_C*mhy*dsl*s1",[1]OUT_TransportEnergyCons!$A$4:$A$10000))*1,[1]OUT_TransportEnergyCons!N$4:N$10000)</f>
        <v>0</v>
      </c>
      <c r="Q1945" s="1" cm="1">
        <f t="array" ref="Q1945">SUMPRODUCT(("Var_Cap"=[1]OUT_TransportEnergyCons!$B$4:$B$10000)*1,("-"=[1]OUT_TransportEnergyCons!$C$4:$C$10000)*1,ISNUMBER(SEARCH("T_C*mhy*dsl*s1",[1]OUT_TransportEnergyCons!$A$4:$A$10000))*1,[1]OUT_TransportEnergyCons!O$4:O$10000)</f>
        <v>0</v>
      </c>
      <c r="S1945" s="3"/>
    </row>
    <row r="1946" spans="2:19" x14ac:dyDescent="0.5">
      <c r="B1946" s="5" t="str">
        <f t="shared" si="2152"/>
        <v>SPS1</v>
      </c>
      <c r="C1946" s="5" t="str">
        <f t="shared" si="2153"/>
        <v>CH</v>
      </c>
      <c r="D1946" t="s">
        <v>1963</v>
      </c>
      <c r="E1946" t="str">
        <f t="shared" si="2154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3.87034954651287E-6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1.54673470234446E-5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2.2109013524810599E-5</v>
      </c>
      <c r="J1946" s="1" cm="1">
        <f t="array" ref="J1946">SUMPRODUCT(("Var_Cap"=[1]OUT_TransportEnergyCons!$B$4:$B$10000)*1,("-"=[1]OUT_TransportEnergyCons!$C$4:$C$10000)*1,ISNUMBER(SEARCH("T_C*mhy*dsl*s2",[1]OUT_TransportEnergyCons!$A$4:$A$10000))*1,[1]OUT_TransportEnergyCons!H$4:H$10000)</f>
        <v>1.55757052002211E-5</v>
      </c>
      <c r="K1946" s="1" cm="1">
        <f t="array" ref="K1946">SUMPRODUCT(("Var_Cap"=[1]OUT_TransportEnergyCons!$B$4:$B$10000)*1,("-"=[1]OUT_TransportEnergyCons!$C$4:$C$10000)*1,ISNUMBER(SEARCH("T_C*mhy*dsl*s2",[1]OUT_TransportEnergyCons!$A$4:$A$10000))*1,[1]OUT_TransportEnergyCons!I$4:I$10000)</f>
        <v>5.3956123013271098E-6</v>
      </c>
      <c r="L1946" s="1" cm="1">
        <f t="array" ref="L1946">SUMPRODUCT(("Var_Cap"=[1]OUT_TransportEnergyCons!$B$4:$B$10000)*1,("-"=[1]OUT_TransportEnergyCons!$C$4:$C$10000)*1,ISNUMBER(SEARCH("T_C*mhy*dsl*s2",[1]OUT_TransportEnergyCons!$A$4:$A$10000))*1,[1]OUT_TransportEnergyCons!J$4:J$10000)</f>
        <v>0</v>
      </c>
      <c r="M1946" s="1" cm="1">
        <f t="array" ref="M1946">SUMPRODUCT(("Var_Cap"=[1]OUT_TransportEnergyCons!$B$4:$B$10000)*1,("-"=[1]OUT_TransportEnergyCons!$C$4:$C$10000)*1,ISNUMBER(SEARCH("T_C*mhy*dsl*s2",[1]OUT_TransportEnergyCons!$A$4:$A$10000))*1,[1]OUT_TransportEnergyCons!K$4:K$10000)</f>
        <v>0</v>
      </c>
      <c r="N1946" s="1" cm="1">
        <f t="array" ref="N1946">SUMPRODUCT(("Var_Cap"=[1]OUT_TransportEnergyCons!$B$4:$B$10000)*1,("-"=[1]OUT_TransportEnergyCons!$C$4:$C$10000)*1,ISNUMBER(SEARCH("T_C*mhy*dsl*s2",[1]OUT_TransportEnergyCons!$A$4:$A$10000))*1,[1]OUT_TransportEnergyCons!L$4:L$10000)</f>
        <v>0</v>
      </c>
      <c r="O1946" s="1" cm="1">
        <f t="array" ref="O1946">SUMPRODUCT(("Var_Cap"=[1]OUT_TransportEnergyCons!$B$4:$B$10000)*1,("-"=[1]OUT_TransportEnergyCons!$C$4:$C$10000)*1,ISNUMBER(SEARCH("T_C*mhy*dsl*s2",[1]OUT_TransportEnergyCons!$A$4:$A$10000))*1,[1]OUT_TransportEnergyCons!M$4:M$10000)</f>
        <v>0</v>
      </c>
      <c r="P1946" s="1" cm="1">
        <f t="array" ref="P1946">SUMPRODUCT(("Var_Cap"=[1]OUT_TransportEnergyCons!$B$4:$B$10000)*1,("-"=[1]OUT_TransportEnergyCons!$C$4:$C$10000)*1,ISNUMBER(SEARCH("T_C*mhy*dsl*s2",[1]OUT_TransportEnergyCons!$A$4:$A$10000))*1,[1]OUT_TransportEnergyCons!N$4:N$10000)</f>
        <v>0</v>
      </c>
      <c r="Q1946" s="1" cm="1">
        <f t="array" ref="Q1946">SUMPRODUCT(("Var_Cap"=[1]OUT_TransportEnergyCons!$B$4:$B$10000)*1,("-"=[1]OUT_TransportEnergyCons!$C$4:$C$10000)*1,ISNUMBER(SEARCH("T_C*mhy*dsl*s2",[1]OUT_TransportEnergyCons!$A$4:$A$10000))*1,[1]OUT_TransportEnergyCons!O$4:O$10000)</f>
        <v>0</v>
      </c>
      <c r="S1946" s="3"/>
    </row>
    <row r="1947" spans="2:19" x14ac:dyDescent="0.5">
      <c r="B1947" s="5" t="str">
        <f t="shared" si="2152"/>
        <v>SPS1</v>
      </c>
      <c r="C1947" s="5" t="str">
        <f t="shared" si="2153"/>
        <v>CH</v>
      </c>
      <c r="D1947" t="s">
        <v>1964</v>
      </c>
      <c r="E1947" t="str">
        <f t="shared" si="2154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4.36459037803333E-6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1.3674498640699599E-5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1.7741840982143399E-5</v>
      </c>
      <c r="J1947" s="1" cm="1">
        <f t="array" ref="J1947">SUMPRODUCT(("Var_Cap"=[1]OUT_TransportEnergyCons!$B$4:$B$10000)*1,("-"=[1]OUT_TransportEnergyCons!$C$4:$C$10000)*1,ISNUMBER(SEARCH("T_C*mhy*dsl*s3",[1]OUT_TransportEnergyCons!$A$4:$A$10000))*1,[1]OUT_TransportEnergyCons!H$4:H$10000)</f>
        <v>1.2043052670719099E-5</v>
      </c>
      <c r="K1947" s="1" cm="1">
        <f t="array" ref="K1947">SUMPRODUCT(("Var_Cap"=[1]OUT_TransportEnergyCons!$B$4:$B$10000)*1,("-"=[1]OUT_TransportEnergyCons!$C$4:$C$10000)*1,ISNUMBER(SEARCH("T_C*mhy*dsl*s3",[1]OUT_TransportEnergyCons!$A$4:$A$10000))*1,[1]OUT_TransportEnergyCons!I$4:I$10000)</f>
        <v>3.8491837541093499E-6</v>
      </c>
      <c r="L1947" s="1" cm="1">
        <f t="array" ref="L1947">SUMPRODUCT(("Var_Cap"=[1]OUT_TransportEnergyCons!$B$4:$B$10000)*1,("-"=[1]OUT_TransportEnergyCons!$C$4:$C$10000)*1,ISNUMBER(SEARCH("T_C*mhy*dsl*s3",[1]OUT_TransportEnergyCons!$A$4:$A$10000))*1,[1]OUT_TransportEnergyCons!J$4:J$10000)</f>
        <v>0</v>
      </c>
      <c r="M1947" s="1" cm="1">
        <f t="array" ref="M1947">SUMPRODUCT(("Var_Cap"=[1]OUT_TransportEnergyCons!$B$4:$B$10000)*1,("-"=[1]OUT_TransportEnergyCons!$C$4:$C$10000)*1,ISNUMBER(SEARCH("T_C*mhy*dsl*s3",[1]OUT_TransportEnergyCons!$A$4:$A$10000))*1,[1]OUT_TransportEnergyCons!K$4:K$10000)</f>
        <v>0</v>
      </c>
      <c r="N1947" s="1" cm="1">
        <f t="array" ref="N1947">SUMPRODUCT(("Var_Cap"=[1]OUT_TransportEnergyCons!$B$4:$B$10000)*1,("-"=[1]OUT_TransportEnergyCons!$C$4:$C$10000)*1,ISNUMBER(SEARCH("T_C*mhy*dsl*s3",[1]OUT_TransportEnergyCons!$A$4:$A$10000))*1,[1]OUT_TransportEnergyCons!L$4:L$10000)</f>
        <v>0</v>
      </c>
      <c r="O1947" s="1" cm="1">
        <f t="array" ref="O1947">SUMPRODUCT(("Var_Cap"=[1]OUT_TransportEnergyCons!$B$4:$B$10000)*1,("-"=[1]OUT_TransportEnergyCons!$C$4:$C$10000)*1,ISNUMBER(SEARCH("T_C*mhy*dsl*s3",[1]OUT_TransportEnergyCons!$A$4:$A$10000))*1,[1]OUT_TransportEnergyCons!M$4:M$10000)</f>
        <v>0</v>
      </c>
      <c r="P1947" s="1" cm="1">
        <f t="array" ref="P1947">SUMPRODUCT(("Var_Cap"=[1]OUT_TransportEnergyCons!$B$4:$B$10000)*1,("-"=[1]OUT_TransportEnergyCons!$C$4:$C$10000)*1,ISNUMBER(SEARCH("T_C*mhy*dsl*s3",[1]OUT_TransportEnergyCons!$A$4:$A$10000))*1,[1]OUT_TransportEnergyCons!N$4:N$10000)</f>
        <v>0</v>
      </c>
      <c r="Q1947" s="1" cm="1">
        <f t="array" ref="Q1947">SUMPRODUCT(("Var_Cap"=[1]OUT_TransportEnergyCons!$B$4:$B$10000)*1,("-"=[1]OUT_TransportEnergyCons!$C$4:$C$10000)*1,ISNUMBER(SEARCH("T_C*mhy*dsl*s3",[1]OUT_TransportEnergyCons!$A$4:$A$10000))*1,[1]OUT_TransportEnergyCons!O$4:O$10000)</f>
        <v>0</v>
      </c>
      <c r="S1947" s="3"/>
    </row>
    <row r="1948" spans="2:19" x14ac:dyDescent="0.5">
      <c r="B1948" s="5" t="str">
        <f t="shared" si="2152"/>
        <v>SPS1</v>
      </c>
      <c r="C1948" s="5" t="str">
        <f t="shared" si="2153"/>
        <v>CH</v>
      </c>
      <c r="D1948" t="s">
        <v>1965</v>
      </c>
      <c r="E1948" t="str">
        <f t="shared" si="2154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3.2832231977444602E-6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8.6605663631313407E-6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1.17772112702159E-5</v>
      </c>
      <c r="J1948" s="1" cm="1">
        <f t="array" ref="J1948">SUMPRODUCT(("Var_Cap"=[1]OUT_TransportEnergyCons!$B$4:$B$10000)*1,("-"=[1]OUT_TransportEnergyCons!$C$4:$C$10000)*1,ISNUMBER(SEARCH("T_C*mhy*dsl*s4",[1]OUT_TransportEnergyCons!$A$4:$A$10000))*1,[1]OUT_TransportEnergyCons!H$4:H$10000)</f>
        <v>7.9270310655387392E-6</v>
      </c>
      <c r="K1948" s="1" cm="1">
        <f t="array" ref="K1948">SUMPRODUCT(("Var_Cap"=[1]OUT_TransportEnergyCons!$B$4:$B$10000)*1,("-"=[1]OUT_TransportEnergyCons!$C$4:$C$10000)*1,ISNUMBER(SEARCH("T_C*mhy*dsl*s4",[1]OUT_TransportEnergyCons!$A$4:$A$10000))*1,[1]OUT_TransportEnergyCons!I$4:I$10000)</f>
        <v>2.6656096704803902E-6</v>
      </c>
      <c r="L1948" s="1" cm="1">
        <f t="array" ref="L1948">SUMPRODUCT(("Var_Cap"=[1]OUT_TransportEnergyCons!$B$4:$B$10000)*1,("-"=[1]OUT_TransportEnergyCons!$C$4:$C$10000)*1,ISNUMBER(SEARCH("T_C*mhy*dsl*s4",[1]OUT_TransportEnergyCons!$A$4:$A$10000))*1,[1]OUT_TransportEnergyCons!J$4:J$10000)</f>
        <v>0</v>
      </c>
      <c r="M1948" s="1" cm="1">
        <f t="array" ref="M1948">SUMPRODUCT(("Var_Cap"=[1]OUT_TransportEnergyCons!$B$4:$B$10000)*1,("-"=[1]OUT_TransportEnergyCons!$C$4:$C$10000)*1,ISNUMBER(SEARCH("T_C*mhy*dsl*s4",[1]OUT_TransportEnergyCons!$A$4:$A$10000))*1,[1]OUT_TransportEnergyCons!K$4:K$10000)</f>
        <v>0</v>
      </c>
      <c r="N1948" s="1" cm="1">
        <f t="array" ref="N1948">SUMPRODUCT(("Var_Cap"=[1]OUT_TransportEnergyCons!$B$4:$B$10000)*1,("-"=[1]OUT_TransportEnergyCons!$C$4:$C$10000)*1,ISNUMBER(SEARCH("T_C*mhy*dsl*s4",[1]OUT_TransportEnergyCons!$A$4:$A$10000))*1,[1]OUT_TransportEnergyCons!L$4:L$10000)</f>
        <v>0</v>
      </c>
      <c r="O1948" s="1" cm="1">
        <f t="array" ref="O1948">SUMPRODUCT(("Var_Cap"=[1]OUT_TransportEnergyCons!$B$4:$B$10000)*1,("-"=[1]OUT_TransportEnergyCons!$C$4:$C$10000)*1,ISNUMBER(SEARCH("T_C*mhy*dsl*s4",[1]OUT_TransportEnergyCons!$A$4:$A$10000))*1,[1]OUT_TransportEnergyCons!M$4:M$10000)</f>
        <v>0</v>
      </c>
      <c r="P1948" s="1" cm="1">
        <f t="array" ref="P1948">SUMPRODUCT(("Var_Cap"=[1]OUT_TransportEnergyCons!$B$4:$B$10000)*1,("-"=[1]OUT_TransportEnergyCons!$C$4:$C$10000)*1,ISNUMBER(SEARCH("T_C*mhy*dsl*s4",[1]OUT_TransportEnergyCons!$A$4:$A$10000))*1,[1]OUT_TransportEnergyCons!N$4:N$10000)</f>
        <v>0</v>
      </c>
      <c r="Q1948" s="1" cm="1">
        <f t="array" ref="Q1948">SUMPRODUCT(("Var_Cap"=[1]OUT_TransportEnergyCons!$B$4:$B$10000)*1,("-"=[1]OUT_TransportEnergyCons!$C$4:$C$10000)*1,ISNUMBER(SEARCH("T_C*mhy*dsl*s4",[1]OUT_TransportEnergyCons!$A$4:$A$10000))*1,[1]OUT_TransportEnergyCons!O$4:O$10000)</f>
        <v>0</v>
      </c>
      <c r="S1948" s="3"/>
    </row>
    <row r="1949" spans="2:19" x14ac:dyDescent="0.5">
      <c r="B1949" s="5" t="str">
        <f t="shared" si="2152"/>
        <v>SPS1</v>
      </c>
      <c r="C1949" s="5" t="str">
        <f t="shared" si="2153"/>
        <v>CH</v>
      </c>
      <c r="D1949" t="s">
        <v>1966</v>
      </c>
      <c r="E1949" t="str">
        <f t="shared" si="2154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SUMPRODUCT(("Var_Cap"=[1]OUT_TransportEnergyCons!$B$4:$B$10000)*1,("-"=[1]OUT_TransportEnergyCons!$C$4:$C$10000)*1,ISNUMBER(SEARCH("T_C*ICE*nga*ext",[1]OUT_TransportEnergyCons!$A$4:$A$10000))*1,[1]OUT_TransportEnergyCons!H$4:H$10000)</f>
        <v>0</v>
      </c>
      <c r="K1949" s="1" cm="1">
        <f t="array" ref="K1949">SUMPRODUCT(("Var_Cap"=[1]OUT_TransportEnergyCons!$B$4:$B$10000)*1,("-"=[1]OUT_TransportEnergyCons!$C$4:$C$10000)*1,ISNUMBER(SEARCH("T_C*ICE*nga*ext",[1]OUT_TransportEnergyCons!$A$4:$A$10000))*1,[1]OUT_TransportEnergyCons!I$4:I$10000)</f>
        <v>0</v>
      </c>
      <c r="L1949" s="1" cm="1">
        <f t="array" ref="L1949">SUMPRODUCT(("Var_Cap"=[1]OUT_TransportEnergyCons!$B$4:$B$10000)*1,("-"=[1]OUT_TransportEnergyCons!$C$4:$C$10000)*1,ISNUMBER(SEARCH("T_C*ICE*nga*ext",[1]OUT_TransportEnergyCons!$A$4:$A$10000))*1,[1]OUT_TransportEnergyCons!J$4:J$10000)</f>
        <v>0</v>
      </c>
      <c r="M1949" s="1" cm="1">
        <f t="array" ref="M1949">SUMPRODUCT(("Var_Cap"=[1]OUT_TransportEnergyCons!$B$4:$B$10000)*1,("-"=[1]OUT_TransportEnergyCons!$C$4:$C$10000)*1,ISNUMBER(SEARCH("T_C*ICE*nga*ext",[1]OUT_TransportEnergyCons!$A$4:$A$10000))*1,[1]OUT_TransportEnergyCons!K$4:K$10000)</f>
        <v>0</v>
      </c>
      <c r="N1949" s="1" cm="1">
        <f t="array" ref="N1949">SUMPRODUCT(("Var_Cap"=[1]OUT_TransportEnergyCons!$B$4:$B$10000)*1,("-"=[1]OUT_TransportEnergyCons!$C$4:$C$10000)*1,ISNUMBER(SEARCH("T_C*ICE*nga*ext",[1]OUT_TransportEnergyCons!$A$4:$A$10000))*1,[1]OUT_TransportEnergyCons!L$4:L$10000)</f>
        <v>0</v>
      </c>
      <c r="O1949" s="1" cm="1">
        <f t="array" ref="O1949">SUMPRODUCT(("Var_Cap"=[1]OUT_TransportEnergyCons!$B$4:$B$10000)*1,("-"=[1]OUT_TransportEnergyCons!$C$4:$C$10000)*1,ISNUMBER(SEARCH("T_C*ICE*nga*ext",[1]OUT_TransportEnergyCons!$A$4:$A$10000))*1,[1]OUT_TransportEnergyCons!M$4:M$10000)</f>
        <v>0</v>
      </c>
      <c r="P1949" s="1" cm="1">
        <f t="array" ref="P1949">SUMPRODUCT(("Var_Cap"=[1]OUT_TransportEnergyCons!$B$4:$B$10000)*1,("-"=[1]OUT_TransportEnergyCons!$C$4:$C$10000)*1,ISNUMBER(SEARCH("T_C*ICE*nga*ext",[1]OUT_TransportEnergyCons!$A$4:$A$10000))*1,[1]OUT_TransportEnergyCons!N$4:N$10000)</f>
        <v>0</v>
      </c>
      <c r="Q1949" s="1" cm="1">
        <f t="array" ref="Q1949">SUMPRODUCT(("Var_Cap"=[1]OUT_TransportEnergyCons!$B$4:$B$10000)*1,("-"=[1]OUT_TransportEnergyCons!$C$4:$C$10000)*1,ISNUMBER(SEARCH("T_C*ICE*nga*ext",[1]OUT_TransportEnergyCons!$A$4:$A$10000))*1,[1]OUT_TransportEnergyCons!O$4:O$10000)</f>
        <v>0</v>
      </c>
      <c r="S1949" s="3"/>
    </row>
    <row r="1950" spans="2:19" x14ac:dyDescent="0.5">
      <c r="B1950" s="5" t="str">
        <f t="shared" si="2152"/>
        <v>SPS1</v>
      </c>
      <c r="C1950" s="5" t="str">
        <f t="shared" si="2153"/>
        <v>CH</v>
      </c>
      <c r="D1950" t="s">
        <v>1967</v>
      </c>
      <c r="E1950" t="str">
        <f t="shared" si="2154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2.5629355550414398E-4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1.6796434328105711E-4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1.6784231425338278E-4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1.0388957687814505E-5</v>
      </c>
      <c r="J1950" s="1" cm="1">
        <f t="array" ref="J1950">SUMPRODUCT(("Var_Cap"=[1]OUT_TransportEnergyCons!$B$4:$B$10000)*1,("-"=[1]OUT_TransportEnergyCons!$C$4:$C$10000)*1,ISNUMBER(SEARCH("T_C*ICE*nga*s1",[1]OUT_TransportEnergyCons!$A$4:$A$10000))*1,[1]OUT_TransportEnergyCons!H$4:H$10000)</f>
        <v>1.8378297610052112E-6</v>
      </c>
      <c r="K1950" s="1" cm="1">
        <f t="array" ref="K1950">SUMPRODUCT(("Var_Cap"=[1]OUT_TransportEnergyCons!$B$4:$B$10000)*1,("-"=[1]OUT_TransportEnergyCons!$C$4:$C$10000)*1,ISNUMBER(SEARCH("T_C*ICE*nga*s1",[1]OUT_TransportEnergyCons!$A$4:$A$10000))*1,[1]OUT_TransportEnergyCons!I$4:I$10000)</f>
        <v>8.1214847126967966E-9</v>
      </c>
      <c r="L1950" s="1" cm="1">
        <f t="array" ref="L1950">SUMPRODUCT(("Var_Cap"=[1]OUT_TransportEnergyCons!$B$4:$B$10000)*1,("-"=[1]OUT_TransportEnergyCons!$C$4:$C$10000)*1,ISNUMBER(SEARCH("T_C*ICE*nga*s1",[1]OUT_TransportEnergyCons!$A$4:$A$10000))*1,[1]OUT_TransportEnergyCons!J$4:J$10000)</f>
        <v>0</v>
      </c>
      <c r="M1950" s="1" cm="1">
        <f t="array" ref="M1950">SUMPRODUCT(("Var_Cap"=[1]OUT_TransportEnergyCons!$B$4:$B$10000)*1,("-"=[1]OUT_TransportEnergyCons!$C$4:$C$10000)*1,ISNUMBER(SEARCH("T_C*ICE*nga*s1",[1]OUT_TransportEnergyCons!$A$4:$A$10000))*1,[1]OUT_TransportEnergyCons!K$4:K$10000)</f>
        <v>0</v>
      </c>
      <c r="N1950" s="1" cm="1">
        <f t="array" ref="N1950">SUMPRODUCT(("Var_Cap"=[1]OUT_TransportEnergyCons!$B$4:$B$10000)*1,("-"=[1]OUT_TransportEnergyCons!$C$4:$C$10000)*1,ISNUMBER(SEARCH("T_C*ICE*nga*s1",[1]OUT_TransportEnergyCons!$A$4:$A$10000))*1,[1]OUT_TransportEnergyCons!L$4:L$10000)</f>
        <v>0</v>
      </c>
      <c r="O1950" s="1" cm="1">
        <f t="array" ref="O1950">SUMPRODUCT(("Var_Cap"=[1]OUT_TransportEnergyCons!$B$4:$B$10000)*1,("-"=[1]OUT_TransportEnergyCons!$C$4:$C$10000)*1,ISNUMBER(SEARCH("T_C*ICE*nga*s1",[1]OUT_TransportEnergyCons!$A$4:$A$10000))*1,[1]OUT_TransportEnergyCons!M$4:M$10000)</f>
        <v>0</v>
      </c>
      <c r="P1950" s="1" cm="1">
        <f t="array" ref="P1950">SUMPRODUCT(("Var_Cap"=[1]OUT_TransportEnergyCons!$B$4:$B$10000)*1,("-"=[1]OUT_TransportEnergyCons!$C$4:$C$10000)*1,ISNUMBER(SEARCH("T_C*ICE*nga*s1",[1]OUT_TransportEnergyCons!$A$4:$A$10000))*1,[1]OUT_TransportEnergyCons!N$4:N$10000)</f>
        <v>0</v>
      </c>
      <c r="Q1950" s="1" cm="1">
        <f t="array" ref="Q1950">SUMPRODUCT(("Var_Cap"=[1]OUT_TransportEnergyCons!$B$4:$B$10000)*1,("-"=[1]OUT_TransportEnergyCons!$C$4:$C$10000)*1,ISNUMBER(SEARCH("T_C*ICE*nga*s1",[1]OUT_TransportEnergyCons!$A$4:$A$10000))*1,[1]OUT_TransportEnergyCons!O$4:O$10000)</f>
        <v>0</v>
      </c>
      <c r="S1950" s="3"/>
    </row>
    <row r="1951" spans="2:19" x14ac:dyDescent="0.5">
      <c r="B1951" s="5" t="str">
        <f t="shared" si="2152"/>
        <v>SPS1</v>
      </c>
      <c r="C1951" s="5" t="str">
        <f t="shared" si="2153"/>
        <v>CH</v>
      </c>
      <c r="D1951" t="s">
        <v>1968</v>
      </c>
      <c r="E1951" t="str">
        <f t="shared" si="2154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2.6902364593150698E-3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2.8438585115191793E-3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2.8053165886774288E-3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2.5796324924255709E-9</v>
      </c>
      <c r="J1951" s="1" cm="1">
        <f t="array" ref="J1951">SUMPRODUCT(("Var_Cap"=[1]OUT_TransportEnergyCons!$B$4:$B$10000)*1,("-"=[1]OUT_TransportEnergyCons!$C$4:$C$10000)*1,ISNUMBER(SEARCH("T_C*ICE*nga*s2",[1]OUT_TransportEnergyCons!$A$4:$A$10000))*1,[1]OUT_TransportEnergyCons!H$4:H$10000)</f>
        <v>2.5621534678637497E-9</v>
      </c>
      <c r="K1951" s="1" cm="1">
        <f t="array" ref="K1951">SUMPRODUCT(("Var_Cap"=[1]OUT_TransportEnergyCons!$B$4:$B$10000)*1,("-"=[1]OUT_TransportEnergyCons!$C$4:$C$10000)*1,ISNUMBER(SEARCH("T_C*ICE*nga*s2",[1]OUT_TransportEnergyCons!$A$4:$A$10000))*1,[1]OUT_TransportEnergyCons!I$4:I$10000)</f>
        <v>1.4403439494989912E-10</v>
      </c>
      <c r="L1951" s="1" cm="1">
        <f t="array" ref="L1951">SUMPRODUCT(("Var_Cap"=[1]OUT_TransportEnergyCons!$B$4:$B$10000)*1,("-"=[1]OUT_TransportEnergyCons!$C$4:$C$10000)*1,ISNUMBER(SEARCH("T_C*ICE*nga*s2",[1]OUT_TransportEnergyCons!$A$4:$A$10000))*1,[1]OUT_TransportEnergyCons!J$4:J$10000)</f>
        <v>0</v>
      </c>
      <c r="M1951" s="1" cm="1">
        <f t="array" ref="M1951">SUMPRODUCT(("Var_Cap"=[1]OUT_TransportEnergyCons!$B$4:$B$10000)*1,("-"=[1]OUT_TransportEnergyCons!$C$4:$C$10000)*1,ISNUMBER(SEARCH("T_C*ICE*nga*s2",[1]OUT_TransportEnergyCons!$A$4:$A$10000))*1,[1]OUT_TransportEnergyCons!K$4:K$10000)</f>
        <v>0</v>
      </c>
      <c r="N1951" s="1" cm="1">
        <f t="array" ref="N1951">SUMPRODUCT(("Var_Cap"=[1]OUT_TransportEnergyCons!$B$4:$B$10000)*1,("-"=[1]OUT_TransportEnergyCons!$C$4:$C$10000)*1,ISNUMBER(SEARCH("T_C*ICE*nga*s2",[1]OUT_TransportEnergyCons!$A$4:$A$10000))*1,[1]OUT_TransportEnergyCons!L$4:L$10000)</f>
        <v>0</v>
      </c>
      <c r="O1951" s="1" cm="1">
        <f t="array" ref="O1951">SUMPRODUCT(("Var_Cap"=[1]OUT_TransportEnergyCons!$B$4:$B$10000)*1,("-"=[1]OUT_TransportEnergyCons!$C$4:$C$10000)*1,ISNUMBER(SEARCH("T_C*ICE*nga*s2",[1]OUT_TransportEnergyCons!$A$4:$A$10000))*1,[1]OUT_TransportEnergyCons!M$4:M$10000)</f>
        <v>0</v>
      </c>
      <c r="P1951" s="1" cm="1">
        <f t="array" ref="P1951">SUMPRODUCT(("Var_Cap"=[1]OUT_TransportEnergyCons!$B$4:$B$10000)*1,("-"=[1]OUT_TransportEnergyCons!$C$4:$C$10000)*1,ISNUMBER(SEARCH("T_C*ICE*nga*s2",[1]OUT_TransportEnergyCons!$A$4:$A$10000))*1,[1]OUT_TransportEnergyCons!N$4:N$10000)</f>
        <v>0</v>
      </c>
      <c r="Q1951" s="1" cm="1">
        <f t="array" ref="Q1951">SUMPRODUCT(("Var_Cap"=[1]OUT_TransportEnergyCons!$B$4:$B$10000)*1,("-"=[1]OUT_TransportEnergyCons!$C$4:$C$10000)*1,ISNUMBER(SEARCH("T_C*ICE*nga*s2",[1]OUT_TransportEnergyCons!$A$4:$A$10000))*1,[1]OUT_TransportEnergyCons!O$4:O$10000)</f>
        <v>0</v>
      </c>
      <c r="S1951" s="3"/>
    </row>
    <row r="1952" spans="2:19" x14ac:dyDescent="0.5">
      <c r="B1952" s="5" t="str">
        <f t="shared" si="2152"/>
        <v>SPS1</v>
      </c>
      <c r="C1952" s="5" t="str">
        <f t="shared" si="2153"/>
        <v>CH</v>
      </c>
      <c r="D1952" t="s">
        <v>1969</v>
      </c>
      <c r="E1952" t="str">
        <f t="shared" si="2154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1.5112174236928E-4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1.5903074918264146E-4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1.5780141691261609E-4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1.269054102010956E-5</v>
      </c>
      <c r="J1952" s="1" cm="1">
        <f t="array" ref="J1952">SUMPRODUCT(("Var_Cap"=[1]OUT_TransportEnergyCons!$B$4:$B$10000)*1,("-"=[1]OUT_TransportEnergyCons!$C$4:$C$10000)*1,ISNUMBER(SEARCH("T_C*ICE*nga*s3",[1]OUT_TransportEnergyCons!$A$4:$A$10000))*1,[1]OUT_TransportEnergyCons!H$4:H$10000)</f>
        <v>2.2236755512667793E-6</v>
      </c>
      <c r="K1952" s="1" cm="1">
        <f t="array" ref="K1952">SUMPRODUCT(("Var_Cap"=[1]OUT_TransportEnergyCons!$B$4:$B$10000)*1,("-"=[1]OUT_TransportEnergyCons!$C$4:$C$10000)*1,ISNUMBER(SEARCH("T_C*ICE*nga*s3",[1]OUT_TransportEnergyCons!$A$4:$A$10000))*1,[1]OUT_TransportEnergyCons!I$4:I$10000)</f>
        <v>-3.7925121339939977E-10</v>
      </c>
      <c r="L1952" s="1" cm="1">
        <f t="array" ref="L1952">SUMPRODUCT(("Var_Cap"=[1]OUT_TransportEnergyCons!$B$4:$B$10000)*1,("-"=[1]OUT_TransportEnergyCons!$C$4:$C$10000)*1,ISNUMBER(SEARCH("T_C*ICE*nga*s3",[1]OUT_TransportEnergyCons!$A$4:$A$10000))*1,[1]OUT_TransportEnergyCons!J$4:J$10000)</f>
        <v>0</v>
      </c>
      <c r="M1952" s="1" cm="1">
        <f t="array" ref="M1952">SUMPRODUCT(("Var_Cap"=[1]OUT_TransportEnergyCons!$B$4:$B$10000)*1,("-"=[1]OUT_TransportEnergyCons!$C$4:$C$10000)*1,ISNUMBER(SEARCH("T_C*ICE*nga*s3",[1]OUT_TransportEnergyCons!$A$4:$A$10000))*1,[1]OUT_TransportEnergyCons!K$4:K$10000)</f>
        <v>0</v>
      </c>
      <c r="N1952" s="1" cm="1">
        <f t="array" ref="N1952">SUMPRODUCT(("Var_Cap"=[1]OUT_TransportEnergyCons!$B$4:$B$10000)*1,("-"=[1]OUT_TransportEnergyCons!$C$4:$C$10000)*1,ISNUMBER(SEARCH("T_C*ICE*nga*s3",[1]OUT_TransportEnergyCons!$A$4:$A$10000))*1,[1]OUT_TransportEnergyCons!L$4:L$10000)</f>
        <v>0</v>
      </c>
      <c r="O1952" s="1" cm="1">
        <f t="array" ref="O1952">SUMPRODUCT(("Var_Cap"=[1]OUT_TransportEnergyCons!$B$4:$B$10000)*1,("-"=[1]OUT_TransportEnergyCons!$C$4:$C$10000)*1,ISNUMBER(SEARCH("T_C*ICE*nga*s3",[1]OUT_TransportEnergyCons!$A$4:$A$10000))*1,[1]OUT_TransportEnergyCons!M$4:M$10000)</f>
        <v>0</v>
      </c>
      <c r="P1952" s="1" cm="1">
        <f t="array" ref="P1952">SUMPRODUCT(("Var_Cap"=[1]OUT_TransportEnergyCons!$B$4:$B$10000)*1,("-"=[1]OUT_TransportEnergyCons!$C$4:$C$10000)*1,ISNUMBER(SEARCH("T_C*ICE*nga*s3",[1]OUT_TransportEnergyCons!$A$4:$A$10000))*1,[1]OUT_TransportEnergyCons!N$4:N$10000)</f>
        <v>0</v>
      </c>
      <c r="Q1952" s="1" cm="1">
        <f t="array" ref="Q1952">SUMPRODUCT(("Var_Cap"=[1]OUT_TransportEnergyCons!$B$4:$B$10000)*1,("-"=[1]OUT_TransportEnergyCons!$C$4:$C$10000)*1,ISNUMBER(SEARCH("T_C*ICE*nga*s3",[1]OUT_TransportEnergyCons!$A$4:$A$10000))*1,[1]OUT_TransportEnergyCons!O$4:O$10000)</f>
        <v>0</v>
      </c>
      <c r="S1952" s="3"/>
    </row>
    <row r="1953" spans="2:19" x14ac:dyDescent="0.5">
      <c r="B1953" s="5" t="str">
        <f t="shared" si="2152"/>
        <v>SPS1</v>
      </c>
      <c r="C1953" s="5" t="str">
        <f t="shared" si="2153"/>
        <v>CH</v>
      </c>
      <c r="D1953" t="s">
        <v>1970</v>
      </c>
      <c r="E1953" t="str">
        <f t="shared" si="2154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2.5342644985991403E-3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2.3587707198859833E-3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-3.7868764023001045E-9</v>
      </c>
      <c r="J1953" s="1" cm="1">
        <f t="array" ref="J1953">SUMPRODUCT(("Var_Cap"=[1]OUT_TransportEnergyCons!$B$4:$B$10000)*1,("-"=[1]OUT_TransportEnergyCons!$C$4:$C$10000)*1,ISNUMBER(SEARCH("T_C*ICE*nga*s4",[1]OUT_TransportEnergyCons!$A$4:$A$10000))*1,[1]OUT_TransportEnergyCons!H$4:H$10000)</f>
        <v>1.8762737731764859E-9</v>
      </c>
      <c r="K1953" s="1" cm="1">
        <f t="array" ref="K1953">SUMPRODUCT(("Var_Cap"=[1]OUT_TransportEnergyCons!$B$4:$B$10000)*1,("-"=[1]OUT_TransportEnergyCons!$C$4:$C$10000)*1,ISNUMBER(SEARCH("T_C*ICE*nga*s4",[1]OUT_TransportEnergyCons!$A$4:$A$10000))*1,[1]OUT_TransportEnergyCons!I$4:I$10000)</f>
        <v>1.8603044530359911E-10</v>
      </c>
      <c r="L1953" s="1" cm="1">
        <f t="array" ref="L1953">SUMPRODUCT(("Var_Cap"=[1]OUT_TransportEnergyCons!$B$4:$B$10000)*1,("-"=[1]OUT_TransportEnergyCons!$C$4:$C$10000)*1,ISNUMBER(SEARCH("T_C*ICE*nga*s4",[1]OUT_TransportEnergyCons!$A$4:$A$10000))*1,[1]OUT_TransportEnergyCons!J$4:J$10000)</f>
        <v>0</v>
      </c>
      <c r="M1953" s="1" cm="1">
        <f t="array" ref="M1953">SUMPRODUCT(("Var_Cap"=[1]OUT_TransportEnergyCons!$B$4:$B$10000)*1,("-"=[1]OUT_TransportEnergyCons!$C$4:$C$10000)*1,ISNUMBER(SEARCH("T_C*ICE*nga*s4",[1]OUT_TransportEnergyCons!$A$4:$A$10000))*1,[1]OUT_TransportEnergyCons!K$4:K$10000)</f>
        <v>0</v>
      </c>
      <c r="N1953" s="1" cm="1">
        <f t="array" ref="N1953">SUMPRODUCT(("Var_Cap"=[1]OUT_TransportEnergyCons!$B$4:$B$10000)*1,("-"=[1]OUT_TransportEnergyCons!$C$4:$C$10000)*1,ISNUMBER(SEARCH("T_C*ICE*nga*s4",[1]OUT_TransportEnergyCons!$A$4:$A$10000))*1,[1]OUT_TransportEnergyCons!L$4:L$10000)</f>
        <v>0</v>
      </c>
      <c r="O1953" s="1" cm="1">
        <f t="array" ref="O1953">SUMPRODUCT(("Var_Cap"=[1]OUT_TransportEnergyCons!$B$4:$B$10000)*1,("-"=[1]OUT_TransportEnergyCons!$C$4:$C$10000)*1,ISNUMBER(SEARCH("T_C*ICE*nga*s4",[1]OUT_TransportEnergyCons!$A$4:$A$10000))*1,[1]OUT_TransportEnergyCons!M$4:M$10000)</f>
        <v>0</v>
      </c>
      <c r="P1953" s="1" cm="1">
        <f t="array" ref="P1953">SUMPRODUCT(("Var_Cap"=[1]OUT_TransportEnergyCons!$B$4:$B$10000)*1,("-"=[1]OUT_TransportEnergyCons!$C$4:$C$10000)*1,ISNUMBER(SEARCH("T_C*ICE*nga*s4",[1]OUT_TransportEnergyCons!$A$4:$A$10000))*1,[1]OUT_TransportEnergyCons!N$4:N$10000)</f>
        <v>0</v>
      </c>
      <c r="Q1953" s="1" cm="1">
        <f t="array" ref="Q1953">SUMPRODUCT(("Var_Cap"=[1]OUT_TransportEnergyCons!$B$4:$B$10000)*1,("-"=[1]OUT_TransportEnergyCons!$C$4:$C$10000)*1,ISNUMBER(SEARCH("T_C*ICE*nga*s4",[1]OUT_TransportEnergyCons!$A$4:$A$10000))*1,[1]OUT_TransportEnergyCons!O$4:O$10000)</f>
        <v>0</v>
      </c>
      <c r="S1953" s="3"/>
    </row>
    <row r="1954" spans="2:19" x14ac:dyDescent="0.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5.7054191323908539</v>
      </c>
      <c r="G1954" s="3">
        <f t="shared" ref="G1954:K1954" si="2155">SUM(G1955:G1977)</f>
        <v>5.6803108566655469</v>
      </c>
      <c r="H1954" s="3">
        <f t="shared" si="2155"/>
        <v>5.8436736324135961</v>
      </c>
      <c r="I1954" s="3">
        <f t="shared" si="2155"/>
        <v>6.7296042523911748</v>
      </c>
      <c r="J1954" s="3">
        <f t="shared" si="2155"/>
        <v>7.0517087266737306</v>
      </c>
      <c r="K1954" s="3">
        <f t="shared" si="2155"/>
        <v>7.2477223716677202</v>
      </c>
      <c r="L1954" s="3">
        <f t="shared" ref="L1954:O1954" si="2156">SUM(L1955:L1977)</f>
        <v>7.475870783794937</v>
      </c>
      <c r="M1954" s="3">
        <f t="shared" si="2156"/>
        <v>7.7355976816912353</v>
      </c>
      <c r="N1954" s="3">
        <f t="shared" si="2156"/>
        <v>7.9990178580891147</v>
      </c>
      <c r="O1954" s="3">
        <f t="shared" si="2156"/>
        <v>8.2355528850282429</v>
      </c>
      <c r="P1954" s="3">
        <f>SUM(P1955:P1977)</f>
        <v>8.4635538738505165</v>
      </c>
      <c r="Q1954" s="3">
        <f>SUM(Q1955:Q1977)</f>
        <v>8.6825406836604593</v>
      </c>
      <c r="S1954" s="3"/>
    </row>
    <row r="1955" spans="2:19" x14ac:dyDescent="0.5">
      <c r="B1955" s="5" t="str">
        <f t="shared" ref="B1955:B1977" si="2157">B1954</f>
        <v>SPS1</v>
      </c>
      <c r="C1955" s="5" t="str">
        <f t="shared" ref="C1955:C1977" si="2158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3.7788598138859111E-2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(SUMPRODUCT(("Var_Cap"=[1]OUT_TransportEnergyCons!$B$4:$B$10000)*1,ISNUMBER(SEARCH("T_B_u*bev*ext",[1]OUT_TransportEnergyCons!$A$4:$A$10000))*1,[1]OUT_TransportEnergyCons!H$4:H$10000))*1000</f>
        <v>0</v>
      </c>
      <c r="K1955" s="1" cm="1">
        <f t="array" ref="K1955">(SUMPRODUCT(("Var_Cap"=[1]OUT_TransportEnergyCons!$B$4:$B$10000)*1,ISNUMBER(SEARCH("T_B_u*bev*ext",[1]OUT_TransportEnergyCons!$A$4:$A$10000))*1,[1]OUT_TransportEnergyCons!I$4:I$10000))*1000</f>
        <v>0</v>
      </c>
      <c r="L1955" s="1" cm="1">
        <f t="array" ref="L1955">(SUMPRODUCT(("Var_Cap"=[1]OUT_TransportEnergyCons!$B$4:$B$10000)*1,ISNUMBER(SEARCH("T_B_u*bev*ext",[1]OUT_TransportEnergyCons!$A$4:$A$10000))*1,[1]OUT_TransportEnergyCons!J$4:J$10000))*1000</f>
        <v>0</v>
      </c>
      <c r="M1955" s="1" cm="1">
        <f t="array" ref="M1955">(SUMPRODUCT(("Var_Cap"=[1]OUT_TransportEnergyCons!$B$4:$B$10000)*1,ISNUMBER(SEARCH("T_B_u*bev*ext",[1]OUT_TransportEnergyCons!$A$4:$A$10000))*1,[1]OUT_TransportEnergyCons!K$4:K$10000))*1000</f>
        <v>0</v>
      </c>
      <c r="N1955" s="1" cm="1">
        <f t="array" ref="N1955">(SUMPRODUCT(("Var_Cap"=[1]OUT_TransportEnergyCons!$B$4:$B$10000)*1,ISNUMBER(SEARCH("T_B_u*bev*ext",[1]OUT_TransportEnergyCons!$A$4:$A$10000))*1,[1]OUT_TransportEnergyCons!L$4:L$10000))*1000</f>
        <v>0</v>
      </c>
      <c r="O1955" s="1" cm="1">
        <f t="array" ref="O1955">(SUMPRODUCT(("Var_Cap"=[1]OUT_TransportEnergyCons!$B$4:$B$10000)*1,ISNUMBER(SEARCH("T_B_u*bev*ext",[1]OUT_TransportEnergyCons!$A$4:$A$10000))*1,[1]OUT_TransportEnergyCons!M$4:M$10000))*1000</f>
        <v>0</v>
      </c>
      <c r="P1955" s="1" cm="1">
        <f t="array" ref="P1955">(SUMPRODUCT(("Var_Cap"=[1]OUT_TransportEnergyCons!$B$4:$B$10000)*1,ISNUMBER(SEARCH("T_B_u*bev*ext",[1]OUT_TransportEnergyCons!$A$4:$A$10000))*1,[1]OUT_TransportEnergyCons!N$4:N$10000))*1000</f>
        <v>0</v>
      </c>
      <c r="Q1955" s="1" cm="1">
        <f t="array" ref="Q1955">(SUMPRODUCT(("Var_Cap"=[1]OUT_TransportEnergyCons!$B$4:$B$10000)*1,ISNUMBER(SEARCH("T_B_u*bev*ext",[1]OUT_TransportEnergyCons!$A$4:$A$10000))*1,[1]OUT_TransportEnergyCons!O$4:O$10000))*1000</f>
        <v>0</v>
      </c>
      <c r="S1955" s="3"/>
    </row>
    <row r="1956" spans="2:19" x14ac:dyDescent="0.5">
      <c r="B1956" s="5" t="str">
        <f t="shared" si="2157"/>
        <v>SPS1</v>
      </c>
      <c r="C1956" s="5" t="str">
        <f t="shared" si="2158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2.1233880819444746E-3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7.5925352647130337E-3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2.0522727236141698</v>
      </c>
      <c r="J1956" s="1" cm="1">
        <f t="array" ref="J1956">(SUMPRODUCT(("Var_Cap"=[1]OUT_TransportEnergyCons!$B$4:$B$10000)*1,ISNUMBER(SEARCH("T_B_u*bev*s1",[1]OUT_TransportEnergyCons!$A$4:$A$10000))*1,[1]OUT_TransportEnergyCons!H$4:H$10000))*1000</f>
        <v>2.3451955238732198</v>
      </c>
      <c r="K1956" s="1" cm="1">
        <f t="array" ref="K1956">(SUMPRODUCT(("Var_Cap"=[1]OUT_TransportEnergyCons!$B$4:$B$10000)*1,ISNUMBER(SEARCH("T_B_u*bev*s1",[1]OUT_TransportEnergyCons!$A$4:$A$10000))*1,[1]OUT_TransportEnergyCons!I$4:I$10000))*1000</f>
        <v>2.8581550827024911</v>
      </c>
      <c r="L1956" s="1" cm="1">
        <f t="array" ref="L1956">(SUMPRODUCT(("Var_Cap"=[1]OUT_TransportEnergyCons!$B$4:$B$10000)*1,ISNUMBER(SEARCH("T_B_u*bev*s1",[1]OUT_TransportEnergyCons!$A$4:$A$10000))*1,[1]OUT_TransportEnergyCons!J$4:J$10000))*1000</f>
        <v>2.9332605847608098</v>
      </c>
      <c r="M1956" s="1" cm="1">
        <f t="array" ref="M1956">(SUMPRODUCT(("Var_Cap"=[1]OUT_TransportEnergyCons!$B$4:$B$10000)*1,ISNUMBER(SEARCH("T_B_u*bev*s1",[1]OUT_TransportEnergyCons!$A$4:$A$10000))*1,[1]OUT_TransportEnergyCons!K$4:K$10000))*1000</f>
        <v>3.0396493417328503</v>
      </c>
      <c r="N1956" s="1" cm="1">
        <f t="array" ref="N1956">(SUMPRODUCT(("Var_Cap"=[1]OUT_TransportEnergyCons!$B$4:$B$10000)*1,ISNUMBER(SEARCH("T_B_u*bev*s1",[1]OUT_TransportEnergyCons!$A$4:$A$10000))*1,[1]OUT_TransportEnergyCons!L$4:L$10000))*1000</f>
        <v>3.171600044157739</v>
      </c>
      <c r="O1956" s="1" cm="1">
        <f t="array" ref="O1956">(SUMPRODUCT(("Var_Cap"=[1]OUT_TransportEnergyCons!$B$4:$B$10000)*1,ISNUMBER(SEARCH("T_B_u*bev*s1",[1]OUT_TransportEnergyCons!$A$4:$A$10000))*1,[1]OUT_TransportEnergyCons!M$4:M$10000))*1000</f>
        <v>3.2704397449743845</v>
      </c>
      <c r="P1956" s="1" cm="1">
        <f t="array" ref="P1956">(SUMPRODUCT(("Var_Cap"=[1]OUT_TransportEnergyCons!$B$4:$B$10000)*1,ISNUMBER(SEARCH("T_B_u*bev*s1",[1]OUT_TransportEnergyCons!$A$4:$A$10000))*1,[1]OUT_TransportEnergyCons!N$4:N$10000))*1000</f>
        <v>3.3468558935070578</v>
      </c>
      <c r="Q1956" s="1" cm="1">
        <f t="array" ref="Q1956">(SUMPRODUCT(("Var_Cap"=[1]OUT_TransportEnergyCons!$B$4:$B$10000)*1,ISNUMBER(SEARCH("T_B_u*bev*s1",[1]OUT_TransportEnergyCons!$A$4:$A$10000))*1,[1]OUT_TransportEnergyCons!O$4:O$10000))*1000</f>
        <v>3.3904062371360393</v>
      </c>
      <c r="S1956" s="3"/>
    </row>
    <row r="1957" spans="2:19" x14ac:dyDescent="0.5">
      <c r="B1957" s="5" t="str">
        <f t="shared" si="2157"/>
        <v>SPS1</v>
      </c>
      <c r="C1957" s="5" t="str">
        <f t="shared" si="2158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5.3145865127020393E-3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8.7631308155208202E-3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1.3532409111921001E-2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0.7515186621347687</v>
      </c>
      <c r="J1957" s="1" cm="1">
        <f t="array" ref="J1957">(SUMPRODUCT(("Var_Cap"=[1]OUT_TransportEnergyCons!$B$4:$B$10000)*1,ISNUMBER(SEARCH("T_B_u*bev*s2",[1]OUT_TransportEnergyCons!$A$4:$A$10000))*1,[1]OUT_TransportEnergyCons!H$4:H$10000))*1000</f>
        <v>0.79600573507221595</v>
      </c>
      <c r="K1957" s="1" cm="1">
        <f t="array" ref="K1957">(SUMPRODUCT(("Var_Cap"=[1]OUT_TransportEnergyCons!$B$4:$B$10000)*1,ISNUMBER(SEARCH("T_B_u*bev*s2",[1]OUT_TransportEnergyCons!$A$4:$A$10000))*1,[1]OUT_TransportEnergyCons!I$4:I$10000))*1000</f>
        <v>0.81751151187301296</v>
      </c>
      <c r="L1957" s="1" cm="1">
        <f t="array" ref="L1957">(SUMPRODUCT(("Var_Cap"=[1]OUT_TransportEnergyCons!$B$4:$B$10000)*1,ISNUMBER(SEARCH("T_B_u*bev*s2",[1]OUT_TransportEnergyCons!$A$4:$A$10000))*1,[1]OUT_TransportEnergyCons!J$4:J$10000))*1000</f>
        <v>0.8460285851710132</v>
      </c>
      <c r="M1957" s="1" cm="1">
        <f t="array" ref="M1957">(SUMPRODUCT(("Var_Cap"=[1]OUT_TransportEnergyCons!$B$4:$B$10000)*1,ISNUMBER(SEARCH("T_B_u*bev*s2",[1]OUT_TransportEnergyCons!$A$4:$A$10000))*1,[1]OUT_TransportEnergyCons!K$4:K$10000))*1000</f>
        <v>0.87472674879623247</v>
      </c>
      <c r="N1957" s="1" cm="1">
        <f t="array" ref="N1957">(SUMPRODUCT(("Var_Cap"=[1]OUT_TransportEnergyCons!$B$4:$B$10000)*1,ISNUMBER(SEARCH("T_B_u*bev*s2",[1]OUT_TransportEnergyCons!$A$4:$A$10000))*1,[1]OUT_TransportEnergyCons!L$4:L$10000))*1000</f>
        <v>0.899067731859298</v>
      </c>
      <c r="O1957" s="1" cm="1">
        <f t="array" ref="O1957">(SUMPRODUCT(("Var_Cap"=[1]OUT_TransportEnergyCons!$B$4:$B$10000)*1,ISNUMBER(SEARCH("T_B_u*bev*s2",[1]OUT_TransportEnergyCons!$A$4:$A$10000))*1,[1]OUT_TransportEnergyCons!M$4:M$10000))*1000</f>
        <v>0.92487691249802428</v>
      </c>
      <c r="P1957" s="1" cm="1">
        <f t="array" ref="P1957">(SUMPRODUCT(("Var_Cap"=[1]OUT_TransportEnergyCons!$B$4:$B$10000)*1,ISNUMBER(SEARCH("T_B_u*bev*s2",[1]OUT_TransportEnergyCons!$A$4:$A$10000))*1,[1]OUT_TransportEnergyCons!N$4:N$10000))*1000</f>
        <v>0.95298204544663578</v>
      </c>
      <c r="Q1957" s="1" cm="1">
        <f t="array" ref="Q1957">(SUMPRODUCT(("Var_Cap"=[1]OUT_TransportEnergyCons!$B$4:$B$10000)*1,ISNUMBER(SEARCH("T_B_u*bev*s2",[1]OUT_TransportEnergyCons!$A$4:$A$10000))*1,[1]OUT_TransportEnergyCons!O$4:O$10000))*1000</f>
        <v>0.98593933848292026</v>
      </c>
      <c r="S1957" s="3"/>
    </row>
    <row r="1958" spans="2:19" x14ac:dyDescent="0.5">
      <c r="B1958" s="5" t="str">
        <f t="shared" si="2157"/>
        <v>SPS1</v>
      </c>
      <c r="C1958" s="5" t="str">
        <f t="shared" si="2158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1.56567672327276E-2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2.5383455356202428E-2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2.8804542684280149E-2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3.7556026400416007</v>
      </c>
      <c r="J1958" s="1" cm="1">
        <f t="array" ref="J1958">(SUMPRODUCT(("Var_Cap"=[1]OUT_TransportEnergyCons!$B$4:$B$10000)*1,ISNUMBER(SEARCH("T_B_u*bev*s3",[1]OUT_TransportEnergyCons!$A$4:$A$10000))*1,[1]OUT_TransportEnergyCons!H$4:H$10000))*1000</f>
        <v>3.8662064715301403</v>
      </c>
      <c r="K1958" s="1" cm="1">
        <f t="array" ref="K1958">(SUMPRODUCT(("Var_Cap"=[1]OUT_TransportEnergyCons!$B$4:$B$10000)*1,ISNUMBER(SEARCH("T_B_u*bev*s3",[1]OUT_TransportEnergyCons!$A$4:$A$10000))*1,[1]OUT_TransportEnergyCons!I$4:I$10000))*1000</f>
        <v>3.5718882119725901</v>
      </c>
      <c r="L1958" s="1" cm="1">
        <f t="array" ref="L1958">(SUMPRODUCT(("Var_Cap"=[1]OUT_TransportEnergyCons!$B$4:$B$10000)*1,ISNUMBER(SEARCH("T_B_u*bev*s3",[1]OUT_TransportEnergyCons!$A$4:$A$10000))*1,[1]OUT_TransportEnergyCons!J$4:J$10000))*1000</f>
        <v>3.6964001117129301</v>
      </c>
      <c r="M1958" s="1" cm="1">
        <f t="array" ref="M1958">(SUMPRODUCT(("Var_Cap"=[1]OUT_TransportEnergyCons!$B$4:$B$10000)*1,ISNUMBER(SEARCH("T_B_u*bev*s3",[1]OUT_TransportEnergyCons!$A$4:$A$10000))*1,[1]OUT_TransportEnergyCons!K$4:K$10000))*1000</f>
        <v>3.8209379447840996</v>
      </c>
      <c r="N1958" s="1" cm="1">
        <f t="array" ref="N1958">(SUMPRODUCT(("Var_Cap"=[1]OUT_TransportEnergyCons!$B$4:$B$10000)*1,ISNUMBER(SEARCH("T_B_u*bev*s3",[1]OUT_TransportEnergyCons!$A$4:$A$10000))*1,[1]OUT_TransportEnergyCons!L$4:L$10000))*1000</f>
        <v>3.9281177741234501</v>
      </c>
      <c r="O1958" s="1" cm="1">
        <f t="array" ref="O1958">(SUMPRODUCT(("Var_Cap"=[1]OUT_TransportEnergyCons!$B$4:$B$10000)*1,ISNUMBER(SEARCH("T_B_u*bev*s3",[1]OUT_TransportEnergyCons!$A$4:$A$10000))*1,[1]OUT_TransportEnergyCons!M$4:M$10000))*1000</f>
        <v>4.0399548924643698</v>
      </c>
      <c r="P1958" s="1" cm="1">
        <f t="array" ref="P1958">(SUMPRODUCT(("Var_Cap"=[1]OUT_TransportEnergyCons!$B$4:$B$10000)*1,ISNUMBER(SEARCH("T_B_u*bev*s3",[1]OUT_TransportEnergyCons!$A$4:$A$10000))*1,[1]OUT_TransportEnergyCons!N$4:N$10000))*1000</f>
        <v>4.1633917529566196</v>
      </c>
      <c r="Q1958" s="1" cm="1">
        <f t="array" ref="Q1958">(SUMPRODUCT(("Var_Cap"=[1]OUT_TransportEnergyCons!$B$4:$B$10000)*1,ISNUMBER(SEARCH("T_B_u*bev*s3",[1]OUT_TransportEnergyCons!$A$4:$A$10000))*1,[1]OUT_TransportEnergyCons!O$4:O$10000))*1000</f>
        <v>4.3056820598874097</v>
      </c>
      <c r="S1958" s="3"/>
    </row>
    <row r="1959" spans="2:19" x14ac:dyDescent="0.5">
      <c r="B1959" s="5" t="str">
        <f t="shared" si="2157"/>
        <v>SPS1</v>
      </c>
      <c r="C1959" s="5" t="str">
        <f t="shared" si="2158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2.9058619704484101E-4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2.2211685189268141E-4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3.0761887564426305E-4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0.17007755284346976</v>
      </c>
      <c r="J1959" s="1" cm="1">
        <f t="array" ref="J1959">(SUMPRODUCT(("Var_Cap"=[1]OUT_TransportEnergyCons!$B$4:$B$10000)*1,ISNUMBER(SEARCH("T_B_u*bev*s4",[1]OUT_TransportEnergyCons!$A$4:$A$10000))*1,[1]OUT_TransportEnergyCons!H$4:H$10000))*1000</f>
        <v>4.4296965687059701E-2</v>
      </c>
      <c r="K1959" s="1" cm="1">
        <f t="array" ref="K1959">(SUMPRODUCT(("Var_Cap"=[1]OUT_TransportEnergyCons!$B$4:$B$10000)*1,ISNUMBER(SEARCH("T_B_u*bev*s4",[1]OUT_TransportEnergyCons!$A$4:$A$10000))*1,[1]OUT_TransportEnergyCons!I$4:I$10000))*1000</f>
        <v>1.6756511962595199E-4</v>
      </c>
      <c r="L1959" s="1" cm="1">
        <f t="array" ref="L1959">(SUMPRODUCT(("Var_Cap"=[1]OUT_TransportEnergyCons!$B$4:$B$10000)*1,ISNUMBER(SEARCH("T_B_u*bev*s4",[1]OUT_TransportEnergyCons!$A$4:$A$10000))*1,[1]OUT_TransportEnergyCons!J$4:J$10000))*1000</f>
        <v>1.815021501844642E-4</v>
      </c>
      <c r="M1959" s="1" cm="1">
        <f t="array" ref="M1959">(SUMPRODUCT(("Var_Cap"=[1]OUT_TransportEnergyCons!$B$4:$B$10000)*1,ISNUMBER(SEARCH("T_B_u*bev*s4",[1]OUT_TransportEnergyCons!$A$4:$A$10000))*1,[1]OUT_TransportEnergyCons!K$4:K$10000))*1000</f>
        <v>2.83646378052629E-4</v>
      </c>
      <c r="N1959" s="1" cm="1">
        <f t="array" ref="N1959">(SUMPRODUCT(("Var_Cap"=[1]OUT_TransportEnergyCons!$B$4:$B$10000)*1,ISNUMBER(SEARCH("T_B_u*bev*s4",[1]OUT_TransportEnergyCons!$A$4:$A$10000))*1,[1]OUT_TransportEnergyCons!L$4:L$10000))*1000</f>
        <v>2.3230794862794864E-4</v>
      </c>
      <c r="O1959" s="1" cm="1">
        <f t="array" ref="O1959">(SUMPRODUCT(("Var_Cap"=[1]OUT_TransportEnergyCons!$B$4:$B$10000)*1,ISNUMBER(SEARCH("T_B_u*bev*s4",[1]OUT_TransportEnergyCons!$A$4:$A$10000))*1,[1]OUT_TransportEnergyCons!M$4:M$10000))*1000</f>
        <v>2.8133509146243698E-4</v>
      </c>
      <c r="P1959" s="1" cm="1">
        <f t="array" ref="P1959">(SUMPRODUCT(("Var_Cap"=[1]OUT_TransportEnergyCons!$B$4:$B$10000)*1,ISNUMBER(SEARCH("T_B_u*bev*s4",[1]OUT_TransportEnergyCons!$A$4:$A$10000))*1,[1]OUT_TransportEnergyCons!N$4:N$10000))*1000</f>
        <v>3.2418194020191761E-4</v>
      </c>
      <c r="Q1959" s="1" cm="1">
        <f t="array" ref="Q1959">(SUMPRODUCT(("Var_Cap"=[1]OUT_TransportEnergyCons!$B$4:$B$10000)*1,ISNUMBER(SEARCH("T_B_u*bev*s4",[1]OUT_TransportEnergyCons!$A$4:$A$10000))*1,[1]OUT_TransportEnergyCons!O$4:O$10000))*1000</f>
        <v>5.1304815409013399E-4</v>
      </c>
      <c r="S1959" s="3"/>
    </row>
    <row r="1960" spans="2:19" x14ac:dyDescent="0.5">
      <c r="B1960" s="5" t="str">
        <f t="shared" si="2157"/>
        <v>SPS1</v>
      </c>
      <c r="C1960" s="5" t="str">
        <f t="shared" si="2158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0</v>
      </c>
      <c r="J1960" s="1" cm="1">
        <f t="array" ref="J1960">(SUMPRODUCT(("Var_Cap"=[1]OUT_TransportEnergyCons!$B$4:$B$10000)*1,ISNUMBER(SEARCH("T_B_u*h2o*s1",[1]OUT_TransportEnergyCons!$A$4:$A$10000))*1,[1]OUT_TransportEnergyCons!H$4:H$10000))*1000</f>
        <v>0</v>
      </c>
      <c r="K1960" s="1" cm="1">
        <f t="array" ref="K1960">(SUMPRODUCT(("Var_Cap"=[1]OUT_TransportEnergyCons!$B$4:$B$10000)*1,ISNUMBER(SEARCH("T_B_u*h2o*s1",[1]OUT_TransportEnergyCons!$A$4:$A$10000))*1,[1]OUT_TransportEnergyCons!I$4:I$10000))*1000</f>
        <v>0</v>
      </c>
      <c r="L1960" s="1" cm="1">
        <f t="array" ref="L1960">(SUMPRODUCT(("Var_Cap"=[1]OUT_TransportEnergyCons!$B$4:$B$10000)*1,ISNUMBER(SEARCH("T_B_u*h2o*s1",[1]OUT_TransportEnergyCons!$A$4:$A$10000))*1,[1]OUT_TransportEnergyCons!J$4:J$10000))*1000</f>
        <v>0</v>
      </c>
      <c r="M1960" s="1" cm="1">
        <f t="array" ref="M1960">(SUMPRODUCT(("Var_Cap"=[1]OUT_TransportEnergyCons!$B$4:$B$10000)*1,ISNUMBER(SEARCH("T_B_u*h2o*s1",[1]OUT_TransportEnergyCons!$A$4:$A$10000))*1,[1]OUT_TransportEnergyCons!K$4:K$10000))*1000</f>
        <v>0</v>
      </c>
      <c r="N1960" s="1" cm="1">
        <f t="array" ref="N1960">(SUMPRODUCT(("Var_Cap"=[1]OUT_TransportEnergyCons!$B$4:$B$10000)*1,ISNUMBER(SEARCH("T_B_u*h2o*s1",[1]OUT_TransportEnergyCons!$A$4:$A$10000))*1,[1]OUT_TransportEnergyCons!L$4:L$10000))*1000</f>
        <v>0</v>
      </c>
      <c r="O1960" s="1" cm="1">
        <f t="array" ref="O1960">(SUMPRODUCT(("Var_Cap"=[1]OUT_TransportEnergyCons!$B$4:$B$10000)*1,ISNUMBER(SEARCH("T_B_u*h2o*s1",[1]OUT_TransportEnergyCons!$A$4:$A$10000))*1,[1]OUT_TransportEnergyCons!M$4:M$10000))*1000</f>
        <v>0</v>
      </c>
      <c r="P1960" s="1" cm="1">
        <f t="array" ref="P1960">(SUMPRODUCT(("Var_Cap"=[1]OUT_TransportEnergyCons!$B$4:$B$10000)*1,ISNUMBER(SEARCH("T_B_u*h2o*s1",[1]OUT_TransportEnergyCons!$A$4:$A$10000))*1,[1]OUT_TransportEnergyCons!N$4:N$10000))*1000</f>
        <v>0</v>
      </c>
      <c r="Q1960" s="1" cm="1">
        <f t="array" ref="Q1960">(SUMPRODUCT(("Var_Cap"=[1]OUT_TransportEnergyCons!$B$4:$B$10000)*1,ISNUMBER(SEARCH("T_B_u*h2o*s1",[1]OUT_TransportEnergyCons!$A$4:$A$10000))*1,[1]OUT_TransportEnergyCons!O$4:O$10000))*1000</f>
        <v>0</v>
      </c>
      <c r="S1960" s="3"/>
    </row>
    <row r="1961" spans="2:19" x14ac:dyDescent="0.5">
      <c r="B1961" s="5" t="str">
        <f t="shared" si="2157"/>
        <v>SPS1</v>
      </c>
      <c r="C1961" s="5" t="str">
        <f t="shared" si="2158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0</v>
      </c>
      <c r="J1961" s="1" cm="1">
        <f t="array" ref="J1961">IF((SUMPRODUCT(("Var_Cap"=[1]OUT_TransportEnergyCons!$B$4:$B$10000)*1,ISNUMBER(SEARCH("T_B_u*h2o*s2",[1]OUT_TransportEnergyCons!$A$4:$A$10000))*1,[1]OUT_TransportEnergyCons!H$4:H$10000))*1000&lt;0,0,(SUMPRODUCT(("Var_Cap"=[1]OUT_TransportEnergyCons!$B$4:$B$10000)*1,ISNUMBER(SEARCH("T_B_u*h2o*s2",[1]OUT_TransportEnergyCons!$A$4:$A$10000))*1,[1]OUT_TransportEnergyCons!H$4:H$10000))*1000)</f>
        <v>0</v>
      </c>
      <c r="K1961" s="1" cm="1">
        <f t="array" ref="K1961">IF((SUMPRODUCT(("Var_Cap"=[1]OUT_TransportEnergyCons!$B$4:$B$10000)*1,ISNUMBER(SEARCH("T_B_u*h2o*s2",[1]OUT_TransportEnergyCons!$A$4:$A$10000))*1,[1]OUT_TransportEnergyCons!I$4:I$10000))*1000&lt;0,0,(SUMPRODUCT(("Var_Cap"=[1]OUT_TransportEnergyCons!$B$4:$B$10000)*1,ISNUMBER(SEARCH("T_B_u*h2o*s2",[1]OUT_TransportEnergyCons!$A$4:$A$10000))*1,[1]OUT_TransportEnergyCons!I$4:I$10000))*1000)</f>
        <v>0</v>
      </c>
      <c r="L1961" s="1" cm="1">
        <f t="array" ref="L1961">IF((SUMPRODUCT(("Var_Cap"=[1]OUT_TransportEnergyCons!$B$4:$B$10000)*1,ISNUMBER(SEARCH("T_B_u*h2o*s2",[1]OUT_TransportEnergyCons!$A$4:$A$10000))*1,[1]OUT_TransportEnergyCons!J$4:J$10000))*1000&lt;0,0,(SUMPRODUCT(("Var_Cap"=[1]OUT_TransportEnergyCons!$B$4:$B$10000)*1,ISNUMBER(SEARCH("T_B_u*h2o*s2",[1]OUT_TransportEnergyCons!$A$4:$A$10000))*1,[1]OUT_TransportEnergyCons!J$4:J$10000))*1000)</f>
        <v>0</v>
      </c>
      <c r="M1961" s="1" cm="1">
        <f t="array" ref="M1961">IF((SUMPRODUCT(("Var_Cap"=[1]OUT_TransportEnergyCons!$B$4:$B$10000)*1,ISNUMBER(SEARCH("T_B_u*h2o*s2",[1]OUT_TransportEnergyCons!$A$4:$A$10000))*1,[1]OUT_TransportEnergyCons!K$4:K$10000))*1000&lt;0,0,(SUMPRODUCT(("Var_Cap"=[1]OUT_TransportEnergyCons!$B$4:$B$10000)*1,ISNUMBER(SEARCH("T_B_u*h2o*s2",[1]OUT_TransportEnergyCons!$A$4:$A$10000))*1,[1]OUT_TransportEnergyCons!K$4:K$10000))*1000)</f>
        <v>0</v>
      </c>
      <c r="N1961" s="1" cm="1">
        <f t="array" ref="N1961">IF((SUMPRODUCT(("Var_Cap"=[1]OUT_TransportEnergyCons!$B$4:$B$10000)*1,ISNUMBER(SEARCH("T_B_u*h2o*s2",[1]OUT_TransportEnergyCons!$A$4:$A$10000))*1,[1]OUT_TransportEnergyCons!L$4:L$10000))*1000&lt;0,0,(SUMPRODUCT(("Var_Cap"=[1]OUT_TransportEnergyCons!$B$4:$B$10000)*1,ISNUMBER(SEARCH("T_B_u*h2o*s2",[1]OUT_TransportEnergyCons!$A$4:$A$10000))*1,[1]OUT_TransportEnergyCons!L$4:L$10000))*1000)</f>
        <v>0</v>
      </c>
      <c r="O1961" s="1" cm="1">
        <f t="array" ref="O1961">IF((SUMPRODUCT(("Var_Cap"=[1]OUT_TransportEnergyCons!$B$4:$B$10000)*1,ISNUMBER(SEARCH("T_B_u*h2o*s2",[1]OUT_TransportEnergyCons!$A$4:$A$10000))*1,[1]OUT_TransportEnergyCons!M$4:M$10000))*1000&lt;0,0,(SUMPRODUCT(("Var_Cap"=[1]OUT_TransportEnergyCons!$B$4:$B$10000)*1,ISNUMBER(SEARCH("T_B_u*h2o*s2",[1]OUT_TransportEnergyCons!$A$4:$A$10000))*1,[1]OUT_TransportEnergyCons!M$4:M$10000))*1000)</f>
        <v>0</v>
      </c>
      <c r="P1961" s="1" cm="1">
        <f t="array" ref="P1961">IF((SUMPRODUCT(("Var_Cap"=[1]OUT_TransportEnergyCons!$B$4:$B$10000)*1,ISNUMBER(SEARCH("T_B_u*h2o*s2",[1]OUT_TransportEnergyCons!$A$4:$A$10000))*1,[1]OUT_TransportEnergyCons!N$4:N$10000))*1000&lt;0,0,(SUMPRODUCT(("Var_Cap"=[1]OUT_TransportEnergyCons!$B$4:$B$10000)*1,ISNUMBER(SEARCH("T_B_u*h2o*s2",[1]OUT_TransportEnergyCons!$A$4:$A$10000))*1,[1]OUT_TransportEnergyCons!N$4:N$10000))*1000)</f>
        <v>0</v>
      </c>
      <c r="Q1961" s="1" cm="1">
        <f t="array" ref="Q1961">IF((SUMPRODUCT(("Var_Cap"=[1]OUT_TransportEnergyCons!$B$4:$B$10000)*1,ISNUMBER(SEARCH("T_B_u*h2o*s2",[1]OUT_TransportEnergyCons!$A$4:$A$10000))*1,[1]OUT_TransportEnergyCons!O$4:O$10000))*1000&lt;0,0,(SUMPRODUCT(("Var_Cap"=[1]OUT_TransportEnergyCons!$B$4:$B$10000)*1,ISNUMBER(SEARCH("T_B_u*h2o*s2",[1]OUT_TransportEnergyCons!$A$4:$A$10000))*1,[1]OUT_TransportEnergyCons!O$4:O$10000))*1000)</f>
        <v>0</v>
      </c>
      <c r="S1961" s="3"/>
    </row>
    <row r="1962" spans="2:19" x14ac:dyDescent="0.5">
      <c r="B1962" s="5" t="str">
        <f t="shared" si="2157"/>
        <v>SPS1</v>
      </c>
      <c r="C1962" s="5" t="str">
        <f t="shared" si="2158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0</v>
      </c>
      <c r="J1962" s="1" cm="1">
        <f t="array" ref="J1962">IF((SUMPRODUCT(("Var_Cap"=[1]OUT_TransportEnergyCons!$B$4:$B$10000)*1,ISNUMBER(SEARCH("T_B_u*h2o*s3",[1]OUT_TransportEnergyCons!$A$4:$A$10000))*1,[1]OUT_TransportEnergyCons!H$4:H$10000))*1000&lt;0,0,(SUMPRODUCT(("Var_Cap"=[1]OUT_TransportEnergyCons!$B$4:$B$10000)*1,ISNUMBER(SEARCH("T_B_u*h2o*s3",[1]OUT_TransportEnergyCons!$A$4:$A$10000))*1,[1]OUT_TransportEnergyCons!H$4:H$10000))*1000)</f>
        <v>0</v>
      </c>
      <c r="K1962" s="1" cm="1">
        <f t="array" ref="K1962">IF((SUMPRODUCT(("Var_Cap"=[1]OUT_TransportEnergyCons!$B$4:$B$10000)*1,ISNUMBER(SEARCH("T_B_u*h2o*s3",[1]OUT_TransportEnergyCons!$A$4:$A$10000))*1,[1]OUT_TransportEnergyCons!I$4:I$10000))*1000&lt;0,0,(SUMPRODUCT(("Var_Cap"=[1]OUT_TransportEnergyCons!$B$4:$B$10000)*1,ISNUMBER(SEARCH("T_B_u*h2o*s3",[1]OUT_TransportEnergyCons!$A$4:$A$10000))*1,[1]OUT_TransportEnergyCons!I$4:I$10000))*1000)</f>
        <v>0</v>
      </c>
      <c r="L1962" s="1" cm="1">
        <f t="array" ref="L1962">IF((SUMPRODUCT(("Var_Cap"=[1]OUT_TransportEnergyCons!$B$4:$B$10000)*1,ISNUMBER(SEARCH("T_B_u*h2o*s3",[1]OUT_TransportEnergyCons!$A$4:$A$10000))*1,[1]OUT_TransportEnergyCons!J$4:J$10000))*1000&lt;0,0,(SUMPRODUCT(("Var_Cap"=[1]OUT_TransportEnergyCons!$B$4:$B$10000)*1,ISNUMBER(SEARCH("T_B_u*h2o*s3",[1]OUT_TransportEnergyCons!$A$4:$A$10000))*1,[1]OUT_TransportEnergyCons!J$4:J$10000))*1000)</f>
        <v>0</v>
      </c>
      <c r="M1962" s="1" cm="1">
        <f t="array" ref="M1962">IF((SUMPRODUCT(("Var_Cap"=[1]OUT_TransportEnergyCons!$B$4:$B$10000)*1,ISNUMBER(SEARCH("T_B_u*h2o*s3",[1]OUT_TransportEnergyCons!$A$4:$A$10000))*1,[1]OUT_TransportEnergyCons!K$4:K$10000))*1000&lt;0,0,(SUMPRODUCT(("Var_Cap"=[1]OUT_TransportEnergyCons!$B$4:$B$10000)*1,ISNUMBER(SEARCH("T_B_u*h2o*s3",[1]OUT_TransportEnergyCons!$A$4:$A$10000))*1,[1]OUT_TransportEnergyCons!K$4:K$10000))*1000)</f>
        <v>0</v>
      </c>
      <c r="N1962" s="1" cm="1">
        <f t="array" ref="N1962">IF((SUMPRODUCT(("Var_Cap"=[1]OUT_TransportEnergyCons!$B$4:$B$10000)*1,ISNUMBER(SEARCH("T_B_u*h2o*s3",[1]OUT_TransportEnergyCons!$A$4:$A$10000))*1,[1]OUT_TransportEnergyCons!L$4:L$10000))*1000&lt;0,0,(SUMPRODUCT(("Var_Cap"=[1]OUT_TransportEnergyCons!$B$4:$B$10000)*1,ISNUMBER(SEARCH("T_B_u*h2o*s3",[1]OUT_TransportEnergyCons!$A$4:$A$10000))*1,[1]OUT_TransportEnergyCons!L$4:L$10000))*1000)</f>
        <v>0</v>
      </c>
      <c r="O1962" s="1" cm="1">
        <f t="array" ref="O1962">IF((SUMPRODUCT(("Var_Cap"=[1]OUT_TransportEnergyCons!$B$4:$B$10000)*1,ISNUMBER(SEARCH("T_B_u*h2o*s3",[1]OUT_TransportEnergyCons!$A$4:$A$10000))*1,[1]OUT_TransportEnergyCons!M$4:M$10000))*1000&lt;0,0,(SUMPRODUCT(("Var_Cap"=[1]OUT_TransportEnergyCons!$B$4:$B$10000)*1,ISNUMBER(SEARCH("T_B_u*h2o*s3",[1]OUT_TransportEnergyCons!$A$4:$A$10000))*1,[1]OUT_TransportEnergyCons!M$4:M$10000))*1000)</f>
        <v>0</v>
      </c>
      <c r="P1962" s="1" cm="1">
        <f t="array" ref="P1962">IF((SUMPRODUCT(("Var_Cap"=[1]OUT_TransportEnergyCons!$B$4:$B$10000)*1,ISNUMBER(SEARCH("T_B_u*h2o*s3",[1]OUT_TransportEnergyCons!$A$4:$A$10000))*1,[1]OUT_TransportEnergyCons!N$4:N$10000))*1000&lt;0,0,(SUMPRODUCT(("Var_Cap"=[1]OUT_TransportEnergyCons!$B$4:$B$10000)*1,ISNUMBER(SEARCH("T_B_u*h2o*s3",[1]OUT_TransportEnergyCons!$A$4:$A$10000))*1,[1]OUT_TransportEnergyCons!N$4:N$10000))*1000)</f>
        <v>0</v>
      </c>
      <c r="Q1962" s="1" cm="1">
        <f t="array" ref="Q1962">IF((SUMPRODUCT(("Var_Cap"=[1]OUT_TransportEnergyCons!$B$4:$B$10000)*1,ISNUMBER(SEARCH("T_B_u*h2o*s3",[1]OUT_TransportEnergyCons!$A$4:$A$10000))*1,[1]OUT_TransportEnergyCons!O$4:O$10000))*1000&lt;0,0,(SUMPRODUCT(("Var_Cap"=[1]OUT_TransportEnergyCons!$B$4:$B$10000)*1,ISNUMBER(SEARCH("T_B_u*h2o*s3",[1]OUT_TransportEnergyCons!$A$4:$A$10000))*1,[1]OUT_TransportEnergyCons!O$4:O$10000))*1000)</f>
        <v>0</v>
      </c>
      <c r="S1962" s="3"/>
    </row>
    <row r="1963" spans="2:19" x14ac:dyDescent="0.5">
      <c r="B1963" s="5" t="str">
        <f t="shared" si="2157"/>
        <v>SPS1</v>
      </c>
      <c r="C1963" s="5" t="str">
        <f t="shared" si="2158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[1]OUT_TransportEnergyCons!$B$4:$B$10000)*1,ISNUMBER(SEARCH("T_B_u*h2o*s4",[1]OUT_TransportEnergyCons!$A$4:$A$10000))*1,[1]OUT_TransportEnergyCons!H$4:H$10000))*1000&lt;0,0,(SUMPRODUCT(("Var_Cap"=[1]OUT_TransportEnergyCons!$B$4:$B$10000)*1,ISNUMBER(SEARCH("T_B_u*h2o*s4",[1]OUT_TransportEnergyCons!$A$4:$A$10000))*1,[1]OUT_TransportEnergyCons!H$4:H$10000))*1000)</f>
        <v>0</v>
      </c>
      <c r="K1963" s="1" cm="1">
        <f t="array" ref="K1963">IF((SUMPRODUCT(("Var_Cap"=[1]OUT_TransportEnergyCons!$B$4:$B$10000)*1,ISNUMBER(SEARCH("T_B_u*h2o*s4",[1]OUT_TransportEnergyCons!$A$4:$A$10000))*1,[1]OUT_TransportEnergyCons!I$4:I$10000))*1000&lt;0,0,(SUMPRODUCT(("Var_Cap"=[1]OUT_TransportEnergyCons!$B$4:$B$10000)*1,ISNUMBER(SEARCH("T_B_u*h2o*s4",[1]OUT_TransportEnergyCons!$A$4:$A$10000))*1,[1]OUT_TransportEnergyCons!I$4:I$10000))*1000)</f>
        <v>0</v>
      </c>
      <c r="L1963" s="1" cm="1">
        <f t="array" ref="L1963">IF((SUMPRODUCT(("Var_Cap"=[1]OUT_TransportEnergyCons!$B$4:$B$10000)*1,ISNUMBER(SEARCH("T_B_u*h2o*s4",[1]OUT_TransportEnergyCons!$A$4:$A$10000))*1,[1]OUT_TransportEnergyCons!J$4:J$10000))*1000&lt;0,0,(SUMPRODUCT(("Var_Cap"=[1]OUT_TransportEnergyCons!$B$4:$B$10000)*1,ISNUMBER(SEARCH("T_B_u*h2o*s4",[1]OUT_TransportEnergyCons!$A$4:$A$10000))*1,[1]OUT_TransportEnergyCons!J$4:J$10000))*1000)</f>
        <v>0</v>
      </c>
      <c r="M1963" s="1" cm="1">
        <f t="array" ref="M1963">IF((SUMPRODUCT(("Var_Cap"=[1]OUT_TransportEnergyCons!$B$4:$B$10000)*1,ISNUMBER(SEARCH("T_B_u*h2o*s4",[1]OUT_TransportEnergyCons!$A$4:$A$10000))*1,[1]OUT_TransportEnergyCons!K$4:K$10000))*1000&lt;0,0,(SUMPRODUCT(("Var_Cap"=[1]OUT_TransportEnergyCons!$B$4:$B$10000)*1,ISNUMBER(SEARCH("T_B_u*h2o*s4",[1]OUT_TransportEnergyCons!$A$4:$A$10000))*1,[1]OUT_TransportEnergyCons!K$4:K$10000))*1000)</f>
        <v>0</v>
      </c>
      <c r="N1963" s="1" cm="1">
        <f t="array" ref="N1963">IF((SUMPRODUCT(("Var_Cap"=[1]OUT_TransportEnergyCons!$B$4:$B$10000)*1,ISNUMBER(SEARCH("T_B_u*h2o*s4",[1]OUT_TransportEnergyCons!$A$4:$A$10000))*1,[1]OUT_TransportEnergyCons!L$4:L$10000))*1000&lt;0,0,(SUMPRODUCT(("Var_Cap"=[1]OUT_TransportEnergyCons!$B$4:$B$10000)*1,ISNUMBER(SEARCH("T_B_u*h2o*s4",[1]OUT_TransportEnergyCons!$A$4:$A$10000))*1,[1]OUT_TransportEnergyCons!L$4:L$10000))*1000)</f>
        <v>0</v>
      </c>
      <c r="O1963" s="1" cm="1">
        <f t="array" ref="O1963">IF((SUMPRODUCT(("Var_Cap"=[1]OUT_TransportEnergyCons!$B$4:$B$10000)*1,ISNUMBER(SEARCH("T_B_u*h2o*s4",[1]OUT_TransportEnergyCons!$A$4:$A$10000))*1,[1]OUT_TransportEnergyCons!M$4:M$10000))*1000&lt;0,0,(SUMPRODUCT(("Var_Cap"=[1]OUT_TransportEnergyCons!$B$4:$B$10000)*1,ISNUMBER(SEARCH("T_B_u*h2o*s4",[1]OUT_TransportEnergyCons!$A$4:$A$10000))*1,[1]OUT_TransportEnergyCons!M$4:M$10000))*1000)</f>
        <v>0</v>
      </c>
      <c r="P1963" s="1" cm="1">
        <f t="array" ref="P1963">IF((SUMPRODUCT(("Var_Cap"=[1]OUT_TransportEnergyCons!$B$4:$B$10000)*1,ISNUMBER(SEARCH("T_B_u*h2o*s4",[1]OUT_TransportEnergyCons!$A$4:$A$10000))*1,[1]OUT_TransportEnergyCons!N$4:N$10000))*1000&lt;0,0,(SUMPRODUCT(("Var_Cap"=[1]OUT_TransportEnergyCons!$B$4:$B$10000)*1,ISNUMBER(SEARCH("T_B_u*h2o*s4",[1]OUT_TransportEnergyCons!$A$4:$A$10000))*1,[1]OUT_TransportEnergyCons!N$4:N$10000))*1000)</f>
        <v>0</v>
      </c>
      <c r="Q1963" s="1" cm="1">
        <f t="array" ref="Q1963">IF((SUMPRODUCT(("Var_Cap"=[1]OUT_TransportEnergyCons!$B$4:$B$10000)*1,ISNUMBER(SEARCH("T_B_u*h2o*s4",[1]OUT_TransportEnergyCons!$A$4:$A$10000))*1,[1]OUT_TransportEnergyCons!O$4:O$10000))*1000&lt;0,0,(SUMPRODUCT(("Var_Cap"=[1]OUT_TransportEnergyCons!$B$4:$B$10000)*1,ISNUMBER(SEARCH("T_B_u*h2o*s4",[1]OUT_TransportEnergyCons!$A$4:$A$10000))*1,[1]OUT_TransportEnergyCons!O$4:O$10000))*1000)</f>
        <v>0</v>
      </c>
      <c r="S1963" s="3"/>
    </row>
    <row r="1964" spans="2:19" x14ac:dyDescent="0.5">
      <c r="B1964" s="5" t="str">
        <f t="shared" si="2157"/>
        <v>SPS1</v>
      </c>
      <c r="C1964" s="5" t="str">
        <f t="shared" si="2158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0.190022960504491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0.19052009335617201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3.2308794200674833E-7</v>
      </c>
      <c r="J1964" s="1" cm="1">
        <f t="array" ref="J1964">(SUMPRODUCT(("Var_Cap"=[1]OUT_TransportEnergyCons!$B$4:$B$10000)*1,ISNUMBER(SEARCH("T_B_u*hyb*DSL*s1",[1]OUT_TransportEnergyCons!$A$4:$A$10000))*1,[1]OUT_TransportEnergyCons!H$4:H$10000))*1000</f>
        <v>2.0665140533798296E-7</v>
      </c>
      <c r="K1964" s="1" cm="1">
        <f t="array" ref="K1964">(SUMPRODUCT(("Var_Cap"=[1]OUT_TransportEnergyCons!$B$4:$B$10000)*1,ISNUMBER(SEARCH("T_B_u*hyb*DSL*s1",[1]OUT_TransportEnergyCons!$A$4:$A$10000))*1,[1]OUT_TransportEnergyCons!I$4:I$10000))*1000</f>
        <v>0</v>
      </c>
      <c r="L1964" s="1" cm="1">
        <f t="array" ref="L1964">(SUMPRODUCT(("Var_Cap"=[1]OUT_TransportEnergyCons!$B$4:$B$10000)*1,ISNUMBER(SEARCH("T_B_u*hyb*DSL*s1",[1]OUT_TransportEnergyCons!$A$4:$A$10000))*1,[1]OUT_TransportEnergyCons!J$4:J$10000))*1000</f>
        <v>0</v>
      </c>
      <c r="M1964" s="1" cm="1">
        <f t="array" ref="M1964">(SUMPRODUCT(("Var_Cap"=[1]OUT_TransportEnergyCons!$B$4:$B$10000)*1,ISNUMBER(SEARCH("T_B_u*hyb*DSL*s1",[1]OUT_TransportEnergyCons!$A$4:$A$10000))*1,[1]OUT_TransportEnergyCons!K$4:K$10000))*1000</f>
        <v>0</v>
      </c>
      <c r="N1964" s="1" cm="1">
        <f t="array" ref="N1964">(SUMPRODUCT(("Var_Cap"=[1]OUT_TransportEnergyCons!$B$4:$B$10000)*1,ISNUMBER(SEARCH("T_B_u*hyb*DSL*s1",[1]OUT_TransportEnergyCons!$A$4:$A$10000))*1,[1]OUT_TransportEnergyCons!L$4:L$10000))*1000</f>
        <v>0</v>
      </c>
      <c r="O1964" s="1" cm="1">
        <f t="array" ref="O1964">(SUMPRODUCT(("Var_Cap"=[1]OUT_TransportEnergyCons!$B$4:$B$10000)*1,ISNUMBER(SEARCH("T_B_u*hyb*DSL*s1",[1]OUT_TransportEnergyCons!$A$4:$A$10000))*1,[1]OUT_TransportEnergyCons!M$4:M$10000))*1000</f>
        <v>0</v>
      </c>
      <c r="P1964" s="1" cm="1">
        <f t="array" ref="P1964">(SUMPRODUCT(("Var_Cap"=[1]OUT_TransportEnergyCons!$B$4:$B$10000)*1,ISNUMBER(SEARCH("T_B_u*hyb*DSL*s1",[1]OUT_TransportEnergyCons!$A$4:$A$10000))*1,[1]OUT_TransportEnergyCons!N$4:N$10000))*1000</f>
        <v>0</v>
      </c>
      <c r="Q1964" s="1" cm="1">
        <f t="array" ref="Q1964">(SUMPRODUCT(("Var_Cap"=[1]OUT_TransportEnergyCons!$B$4:$B$10000)*1,ISNUMBER(SEARCH("T_B_u*hyb*DSL*s1",[1]OUT_TransportEnergyCons!$A$4:$A$10000))*1,[1]OUT_TransportEnergyCons!O$4:O$10000))*1000</f>
        <v>0</v>
      </c>
      <c r="S1964" s="3"/>
    </row>
    <row r="1965" spans="2:19" x14ac:dyDescent="0.5">
      <c r="B1965" s="5" t="str">
        <f t="shared" si="2157"/>
        <v>SPS1</v>
      </c>
      <c r="C1965" s="5" t="str">
        <f t="shared" si="2158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4.4629499908513501E-4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6.5680850243574496E-4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2.3495046567239854E-6</v>
      </c>
      <c r="J1965" s="1" cm="1">
        <f t="array" ref="J1965">IF((SUMPRODUCT(("Var_Cap"=[1]OUT_TransportEnergyCons!$B$4:$B$10000)*1,ISNUMBER(SEARCH("T_B_u*hyb*DSL*s2",[1]OUT_TransportEnergyCons!$A$4:$A$10000))*1,[1]OUT_TransportEnergyCons!H$4:H$10000))*1000&lt;0,0,(SUMPRODUCT(("Var_Cap"=[1]OUT_TransportEnergyCons!$B$4:$B$10000)*1,ISNUMBER(SEARCH("T_B_u*hyb*DSL*s2",[1]OUT_TransportEnergyCons!$A$4:$A$10000))*1,[1]OUT_TransportEnergyCons!H$4:H$10000))*1000)</f>
        <v>1.5574999423080095E-6</v>
      </c>
      <c r="K1965" s="1" cm="1">
        <f t="array" ref="K1965">IF((SUMPRODUCT(("Var_Cap"=[1]OUT_TransportEnergyCons!$B$4:$B$10000)*1,ISNUMBER(SEARCH("T_B_u*hyb*DSL*s2",[1]OUT_TransportEnergyCons!$A$4:$A$10000))*1,[1]OUT_TransportEnergyCons!I$4:I$10000))*1000&lt;0,0,(SUMPRODUCT(("Var_Cap"=[1]OUT_TransportEnergyCons!$B$4:$B$10000)*1,ISNUMBER(SEARCH("T_B_u*hyb*DSL*s2",[1]OUT_TransportEnergyCons!$A$4:$A$10000))*1,[1]OUT_TransportEnergyCons!I$4:I$10000))*1000)</f>
        <v>0</v>
      </c>
      <c r="L1965" s="1" cm="1">
        <f t="array" ref="L1965">IF((SUMPRODUCT(("Var_Cap"=[1]OUT_TransportEnergyCons!$B$4:$B$10000)*1,ISNUMBER(SEARCH("T_B_u*hyb*DSL*s2",[1]OUT_TransportEnergyCons!$A$4:$A$10000))*1,[1]OUT_TransportEnergyCons!J$4:J$10000))*1000&lt;0,0,(SUMPRODUCT(("Var_Cap"=[1]OUT_TransportEnergyCons!$B$4:$B$10000)*1,ISNUMBER(SEARCH("T_B_u*hyb*DSL*s2",[1]OUT_TransportEnergyCons!$A$4:$A$10000))*1,[1]OUT_TransportEnergyCons!J$4:J$10000))*1000)</f>
        <v>0</v>
      </c>
      <c r="M1965" s="1" cm="1">
        <f t="array" ref="M1965">IF((SUMPRODUCT(("Var_Cap"=[1]OUT_TransportEnergyCons!$B$4:$B$10000)*1,ISNUMBER(SEARCH("T_B_u*hyb*DSL*s2",[1]OUT_TransportEnergyCons!$A$4:$A$10000))*1,[1]OUT_TransportEnergyCons!K$4:K$10000))*1000&lt;0,0,(SUMPRODUCT(("Var_Cap"=[1]OUT_TransportEnergyCons!$B$4:$B$10000)*1,ISNUMBER(SEARCH("T_B_u*hyb*DSL*s2",[1]OUT_TransportEnergyCons!$A$4:$A$10000))*1,[1]OUT_TransportEnergyCons!K$4:K$10000))*1000)</f>
        <v>0</v>
      </c>
      <c r="N1965" s="1" cm="1">
        <f t="array" ref="N1965">IF((SUMPRODUCT(("Var_Cap"=[1]OUT_TransportEnergyCons!$B$4:$B$10000)*1,ISNUMBER(SEARCH("T_B_u*hyb*DSL*s2",[1]OUT_TransportEnergyCons!$A$4:$A$10000))*1,[1]OUT_TransportEnergyCons!L$4:L$10000))*1000&lt;0,0,(SUMPRODUCT(("Var_Cap"=[1]OUT_TransportEnergyCons!$B$4:$B$10000)*1,ISNUMBER(SEARCH("T_B_u*hyb*DSL*s2",[1]OUT_TransportEnergyCons!$A$4:$A$10000))*1,[1]OUT_TransportEnergyCons!L$4:L$10000))*1000)</f>
        <v>0</v>
      </c>
      <c r="O1965" s="1" cm="1">
        <f t="array" ref="O1965">IF((SUMPRODUCT(("Var_Cap"=[1]OUT_TransportEnergyCons!$B$4:$B$10000)*1,ISNUMBER(SEARCH("T_B_u*hyb*DSL*s2",[1]OUT_TransportEnergyCons!$A$4:$A$10000))*1,[1]OUT_TransportEnergyCons!M$4:M$10000))*1000&lt;0,0,(SUMPRODUCT(("Var_Cap"=[1]OUT_TransportEnergyCons!$B$4:$B$10000)*1,ISNUMBER(SEARCH("T_B_u*hyb*DSL*s2",[1]OUT_TransportEnergyCons!$A$4:$A$10000))*1,[1]OUT_TransportEnergyCons!M$4:M$10000))*1000)</f>
        <v>0</v>
      </c>
      <c r="P1965" s="1" cm="1">
        <f t="array" ref="P1965">IF((SUMPRODUCT(("Var_Cap"=[1]OUT_TransportEnergyCons!$B$4:$B$10000)*1,ISNUMBER(SEARCH("T_B_u*hyb*DSL*s2",[1]OUT_TransportEnergyCons!$A$4:$A$10000))*1,[1]OUT_TransportEnergyCons!N$4:N$10000))*1000&lt;0,0,(SUMPRODUCT(("Var_Cap"=[1]OUT_TransportEnergyCons!$B$4:$B$10000)*1,ISNUMBER(SEARCH("T_B_u*hyb*DSL*s2",[1]OUT_TransportEnergyCons!$A$4:$A$10000))*1,[1]OUT_TransportEnergyCons!N$4:N$10000))*1000)</f>
        <v>0</v>
      </c>
      <c r="Q1965" s="1" cm="1">
        <f t="array" ref="Q1965">IF((SUMPRODUCT(("Var_Cap"=[1]OUT_TransportEnergyCons!$B$4:$B$10000)*1,ISNUMBER(SEARCH("T_B_u*hyb*DSL*s2",[1]OUT_TransportEnergyCons!$A$4:$A$10000))*1,[1]OUT_TransportEnergyCons!O$4:O$10000))*1000&lt;0,0,(SUMPRODUCT(("Var_Cap"=[1]OUT_TransportEnergyCons!$B$4:$B$10000)*1,ISNUMBER(SEARCH("T_B_u*hyb*DSL*s2",[1]OUT_TransportEnergyCons!$A$4:$A$10000))*1,[1]OUT_TransportEnergyCons!O$4:O$10000))*1000)</f>
        <v>0</v>
      </c>
      <c r="S1965" s="3"/>
    </row>
    <row r="1966" spans="2:19" x14ac:dyDescent="0.5">
      <c r="B1966" s="5" t="str">
        <f t="shared" si="2157"/>
        <v>SPS1</v>
      </c>
      <c r="C1966" s="5" t="str">
        <f t="shared" si="2158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3.05668928829957E-4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4.3492009475088898E-4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0</v>
      </c>
      <c r="J1966" s="1" cm="1">
        <f t="array" ref="J1966">IF((SUMPRODUCT(("Var_Cap"=[1]OUT_TransportEnergyCons!$B$4:$B$10000)*1,ISNUMBER(SEARCH("T_B_u*hyb*DSL*s3",[1]OUT_TransportEnergyCons!$A$4:$A$10000))*1,[1]OUT_TransportEnergyCons!H$4:H$10000))*1000&lt;0,0,(SUMPRODUCT(("Var_Cap"=[1]OUT_TransportEnergyCons!$B$4:$B$10000)*1,ISNUMBER(SEARCH("T_B_u*hyb*DSL*s3",[1]OUT_TransportEnergyCons!$A$4:$A$10000))*1,[1]OUT_TransportEnergyCons!H$4:H$10000))*1000)</f>
        <v>0</v>
      </c>
      <c r="K1966" s="1" cm="1">
        <f t="array" ref="K1966">IF((SUMPRODUCT(("Var_Cap"=[1]OUT_TransportEnergyCons!$B$4:$B$10000)*1,ISNUMBER(SEARCH("T_B_u*hyb*DSL*s3",[1]OUT_TransportEnergyCons!$A$4:$A$10000))*1,[1]OUT_TransportEnergyCons!I$4:I$10000))*1000&lt;0,0,(SUMPRODUCT(("Var_Cap"=[1]OUT_TransportEnergyCons!$B$4:$B$10000)*1,ISNUMBER(SEARCH("T_B_u*hyb*DSL*s3",[1]OUT_TransportEnergyCons!$A$4:$A$10000))*1,[1]OUT_TransportEnergyCons!I$4:I$10000))*1000)</f>
        <v>0</v>
      </c>
      <c r="L1966" s="1" cm="1">
        <f t="array" ref="L1966">IF((SUMPRODUCT(("Var_Cap"=[1]OUT_TransportEnergyCons!$B$4:$B$10000)*1,ISNUMBER(SEARCH("T_B_u*hyb*DSL*s3",[1]OUT_TransportEnergyCons!$A$4:$A$10000))*1,[1]OUT_TransportEnergyCons!J$4:J$10000))*1000&lt;0,0,(SUMPRODUCT(("Var_Cap"=[1]OUT_TransportEnergyCons!$B$4:$B$10000)*1,ISNUMBER(SEARCH("T_B_u*hyb*DSL*s3",[1]OUT_TransportEnergyCons!$A$4:$A$10000))*1,[1]OUT_TransportEnergyCons!J$4:J$10000))*1000)</f>
        <v>0</v>
      </c>
      <c r="M1966" s="1" cm="1">
        <f t="array" ref="M1966">IF((SUMPRODUCT(("Var_Cap"=[1]OUT_TransportEnergyCons!$B$4:$B$10000)*1,ISNUMBER(SEARCH("T_B_u*hyb*DSL*s3",[1]OUT_TransportEnergyCons!$A$4:$A$10000))*1,[1]OUT_TransportEnergyCons!K$4:K$10000))*1000&lt;0,0,(SUMPRODUCT(("Var_Cap"=[1]OUT_TransportEnergyCons!$B$4:$B$10000)*1,ISNUMBER(SEARCH("T_B_u*hyb*DSL*s3",[1]OUT_TransportEnergyCons!$A$4:$A$10000))*1,[1]OUT_TransportEnergyCons!K$4:K$10000))*1000)</f>
        <v>0</v>
      </c>
      <c r="N1966" s="1" cm="1">
        <f t="array" ref="N1966">IF((SUMPRODUCT(("Var_Cap"=[1]OUT_TransportEnergyCons!$B$4:$B$10000)*1,ISNUMBER(SEARCH("T_B_u*hyb*DSL*s3",[1]OUT_TransportEnergyCons!$A$4:$A$10000))*1,[1]OUT_TransportEnergyCons!L$4:L$10000))*1000&lt;0,0,(SUMPRODUCT(("Var_Cap"=[1]OUT_TransportEnergyCons!$B$4:$B$10000)*1,ISNUMBER(SEARCH("T_B_u*hyb*DSL*s3",[1]OUT_TransportEnergyCons!$A$4:$A$10000))*1,[1]OUT_TransportEnergyCons!L$4:L$10000))*1000)</f>
        <v>0</v>
      </c>
      <c r="O1966" s="1" cm="1">
        <f t="array" ref="O1966">IF((SUMPRODUCT(("Var_Cap"=[1]OUT_TransportEnergyCons!$B$4:$B$10000)*1,ISNUMBER(SEARCH("T_B_u*hyb*DSL*s3",[1]OUT_TransportEnergyCons!$A$4:$A$10000))*1,[1]OUT_TransportEnergyCons!M$4:M$10000))*1000&lt;0,0,(SUMPRODUCT(("Var_Cap"=[1]OUT_TransportEnergyCons!$B$4:$B$10000)*1,ISNUMBER(SEARCH("T_B_u*hyb*DSL*s3",[1]OUT_TransportEnergyCons!$A$4:$A$10000))*1,[1]OUT_TransportEnergyCons!M$4:M$10000))*1000)</f>
        <v>0</v>
      </c>
      <c r="P1966" s="1" cm="1">
        <f t="array" ref="P1966">IF((SUMPRODUCT(("Var_Cap"=[1]OUT_TransportEnergyCons!$B$4:$B$10000)*1,ISNUMBER(SEARCH("T_B_u*hyb*DSL*s3",[1]OUT_TransportEnergyCons!$A$4:$A$10000))*1,[1]OUT_TransportEnergyCons!N$4:N$10000))*1000&lt;0,0,(SUMPRODUCT(("Var_Cap"=[1]OUT_TransportEnergyCons!$B$4:$B$10000)*1,ISNUMBER(SEARCH("T_B_u*hyb*DSL*s3",[1]OUT_TransportEnergyCons!$A$4:$A$10000))*1,[1]OUT_TransportEnergyCons!N$4:N$10000))*1000)</f>
        <v>0</v>
      </c>
      <c r="Q1966" s="1" cm="1">
        <f t="array" ref="Q1966">IF((SUMPRODUCT(("Var_Cap"=[1]OUT_TransportEnergyCons!$B$4:$B$10000)*1,ISNUMBER(SEARCH("T_B_u*hyb*DSL*s3",[1]OUT_TransportEnergyCons!$A$4:$A$10000))*1,[1]OUT_TransportEnergyCons!O$4:O$10000))*1000&lt;0,0,(SUMPRODUCT(("Var_Cap"=[1]OUT_TransportEnergyCons!$B$4:$B$10000)*1,ISNUMBER(SEARCH("T_B_u*hyb*DSL*s3",[1]OUT_TransportEnergyCons!$A$4:$A$10000))*1,[1]OUT_TransportEnergyCons!O$4:O$10000))*1000)</f>
        <v>0</v>
      </c>
      <c r="S1966" s="3"/>
    </row>
    <row r="1967" spans="2:19" x14ac:dyDescent="0.5">
      <c r="B1967" s="5" t="str">
        <f t="shared" si="2157"/>
        <v>SPS1</v>
      </c>
      <c r="C1967" s="5" t="str">
        <f t="shared" si="2158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1.43222136217807E-5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2.6312856245137301E-5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1.1973802594136003E-6</v>
      </c>
      <c r="J1967" s="1" cm="1">
        <f t="array" ref="J1967">IF((SUMPRODUCT(("Var_Cap"=[1]OUT_TransportEnergyCons!$B$4:$B$10000)*1,ISNUMBER(SEARCH("T_B_u*hyb*DSL*s4",[1]OUT_TransportEnergyCons!$A$4:$A$10000))*1,[1]OUT_TransportEnergyCons!H$4:H$10000))*1000&lt;0,0,(SUMPRODUCT(("Var_Cap"=[1]OUT_TransportEnergyCons!$B$4:$B$10000)*1,ISNUMBER(SEARCH("T_B_u*hyb*DSL*s4",[1]OUT_TransportEnergyCons!$A$4:$A$10000))*1,[1]OUT_TransportEnergyCons!H$4:H$10000))*1000)</f>
        <v>0</v>
      </c>
      <c r="K1967" s="1" cm="1">
        <f t="array" ref="K1967">IF((SUMPRODUCT(("Var_Cap"=[1]OUT_TransportEnergyCons!$B$4:$B$10000)*1,ISNUMBER(SEARCH("T_B_u*hyb*DSL*s4",[1]OUT_TransportEnergyCons!$A$4:$A$10000))*1,[1]OUT_TransportEnergyCons!I$4:I$10000))*1000&lt;0,0,(SUMPRODUCT(("Var_Cap"=[1]OUT_TransportEnergyCons!$B$4:$B$10000)*1,ISNUMBER(SEARCH("T_B_u*hyb*DSL*s4",[1]OUT_TransportEnergyCons!$A$4:$A$10000))*1,[1]OUT_TransportEnergyCons!I$4:I$10000))*1000)</f>
        <v>0</v>
      </c>
      <c r="L1967" s="1" cm="1">
        <f t="array" ref="L1967">IF((SUMPRODUCT(("Var_Cap"=[1]OUT_TransportEnergyCons!$B$4:$B$10000)*1,ISNUMBER(SEARCH("T_B_u*hyb*DSL*s4",[1]OUT_TransportEnergyCons!$A$4:$A$10000))*1,[1]OUT_TransportEnergyCons!J$4:J$10000))*1000&lt;0,0,(SUMPRODUCT(("Var_Cap"=[1]OUT_TransportEnergyCons!$B$4:$B$10000)*1,ISNUMBER(SEARCH("T_B_u*hyb*DSL*s4",[1]OUT_TransportEnergyCons!$A$4:$A$10000))*1,[1]OUT_TransportEnergyCons!J$4:J$10000))*1000)</f>
        <v>0</v>
      </c>
      <c r="M1967" s="1" cm="1">
        <f t="array" ref="M1967">IF((SUMPRODUCT(("Var_Cap"=[1]OUT_TransportEnergyCons!$B$4:$B$10000)*1,ISNUMBER(SEARCH("T_B_u*hyb*DSL*s4",[1]OUT_TransportEnergyCons!$A$4:$A$10000))*1,[1]OUT_TransportEnergyCons!K$4:K$10000))*1000&lt;0,0,(SUMPRODUCT(("Var_Cap"=[1]OUT_TransportEnergyCons!$B$4:$B$10000)*1,ISNUMBER(SEARCH("T_B_u*hyb*DSL*s4",[1]OUT_TransportEnergyCons!$A$4:$A$10000))*1,[1]OUT_TransportEnergyCons!K$4:K$10000))*1000)</f>
        <v>0</v>
      </c>
      <c r="N1967" s="1" cm="1">
        <f t="array" ref="N1967">IF((SUMPRODUCT(("Var_Cap"=[1]OUT_TransportEnergyCons!$B$4:$B$10000)*1,ISNUMBER(SEARCH("T_B_u*hyb*DSL*s4",[1]OUT_TransportEnergyCons!$A$4:$A$10000))*1,[1]OUT_TransportEnergyCons!L$4:L$10000))*1000&lt;0,0,(SUMPRODUCT(("Var_Cap"=[1]OUT_TransportEnergyCons!$B$4:$B$10000)*1,ISNUMBER(SEARCH("T_B_u*hyb*DSL*s4",[1]OUT_TransportEnergyCons!$A$4:$A$10000))*1,[1]OUT_TransportEnergyCons!L$4:L$10000))*1000)</f>
        <v>0</v>
      </c>
      <c r="O1967" s="1" cm="1">
        <f t="array" ref="O1967">IF((SUMPRODUCT(("Var_Cap"=[1]OUT_TransportEnergyCons!$B$4:$B$10000)*1,ISNUMBER(SEARCH("T_B_u*hyb*DSL*s4",[1]OUT_TransportEnergyCons!$A$4:$A$10000))*1,[1]OUT_TransportEnergyCons!M$4:M$10000))*1000&lt;0,0,(SUMPRODUCT(("Var_Cap"=[1]OUT_TransportEnergyCons!$B$4:$B$10000)*1,ISNUMBER(SEARCH("T_B_u*hyb*DSL*s4",[1]OUT_TransportEnergyCons!$A$4:$A$10000))*1,[1]OUT_TransportEnergyCons!M$4:M$10000))*1000)</f>
        <v>0</v>
      </c>
      <c r="P1967" s="1" cm="1">
        <f t="array" ref="P1967">IF((SUMPRODUCT(("Var_Cap"=[1]OUT_TransportEnergyCons!$B$4:$B$10000)*1,ISNUMBER(SEARCH("T_B_u*hyb*DSL*s4",[1]OUT_TransportEnergyCons!$A$4:$A$10000))*1,[1]OUT_TransportEnergyCons!N$4:N$10000))*1000&lt;0,0,(SUMPRODUCT(("Var_Cap"=[1]OUT_TransportEnergyCons!$B$4:$B$10000)*1,ISNUMBER(SEARCH("T_B_u*hyb*DSL*s4",[1]OUT_TransportEnergyCons!$A$4:$A$10000))*1,[1]OUT_TransportEnergyCons!N$4:N$10000))*1000)</f>
        <v>0</v>
      </c>
      <c r="Q1967" s="1" cm="1">
        <f t="array" ref="Q1967">IF((SUMPRODUCT(("Var_Cap"=[1]OUT_TransportEnergyCons!$B$4:$B$10000)*1,ISNUMBER(SEARCH("T_B_u*hyb*DSL*s4",[1]OUT_TransportEnergyCons!$A$4:$A$10000))*1,[1]OUT_TransportEnergyCons!O$4:O$10000))*1000&lt;0,0,(SUMPRODUCT(("Var_Cap"=[1]OUT_TransportEnergyCons!$B$4:$B$10000)*1,ISNUMBER(SEARCH("T_B_u*hyb*DSL*s4",[1]OUT_TransportEnergyCons!$A$4:$A$10000))*1,[1]OUT_TransportEnergyCons!O$4:O$10000))*1000)</f>
        <v>0</v>
      </c>
      <c r="S1967" s="3"/>
    </row>
    <row r="1968" spans="2:19" x14ac:dyDescent="0.5">
      <c r="B1968" s="5" t="str">
        <f t="shared" si="2157"/>
        <v>SPS1</v>
      </c>
      <c r="C1968" s="5" t="str">
        <f t="shared" si="2158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4.5678345582235398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2.2839181087762701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(SUMPRODUCT(("Var_Cap"=[1]OUT_TransportEnergyCons!$B$4:$B$10000)*1,ISNUMBER(SEARCH("T_B_u*ICE*DSL*ext",[1]OUT_TransportEnergyCons!$A$4:$A$10000))*1,[1]OUT_TransportEnergyCons!H$4:H$10000))*1000</f>
        <v>0</v>
      </c>
      <c r="K1968" s="1" cm="1">
        <f t="array" ref="K1968">(SUMPRODUCT(("Var_Cap"=[1]OUT_TransportEnergyCons!$B$4:$B$10000)*1,ISNUMBER(SEARCH("T_B_u*ICE*DSL*ext",[1]OUT_TransportEnergyCons!$A$4:$A$10000))*1,[1]OUT_TransportEnergyCons!I$4:I$10000))*1000</f>
        <v>0</v>
      </c>
      <c r="L1968" s="1" cm="1">
        <f t="array" ref="L1968">(SUMPRODUCT(("Var_Cap"=[1]OUT_TransportEnergyCons!$B$4:$B$10000)*1,ISNUMBER(SEARCH("T_B_u*ICE*DSL*ext",[1]OUT_TransportEnergyCons!$A$4:$A$10000))*1,[1]OUT_TransportEnergyCons!J$4:J$10000))*1000</f>
        <v>0</v>
      </c>
      <c r="M1968" s="1" cm="1">
        <f t="array" ref="M1968">(SUMPRODUCT(("Var_Cap"=[1]OUT_TransportEnergyCons!$B$4:$B$10000)*1,ISNUMBER(SEARCH("T_B_u*ICE*DSL*ext",[1]OUT_TransportEnergyCons!$A$4:$A$10000))*1,[1]OUT_TransportEnergyCons!K$4:K$10000))*1000</f>
        <v>0</v>
      </c>
      <c r="N1968" s="1" cm="1">
        <f t="array" ref="N1968">(SUMPRODUCT(("Var_Cap"=[1]OUT_TransportEnergyCons!$B$4:$B$10000)*1,ISNUMBER(SEARCH("T_B_u*ICE*DSL*ext",[1]OUT_TransportEnergyCons!$A$4:$A$10000))*1,[1]OUT_TransportEnergyCons!L$4:L$10000))*1000</f>
        <v>0</v>
      </c>
      <c r="O1968" s="1" cm="1">
        <f t="array" ref="O1968">(SUMPRODUCT(("Var_Cap"=[1]OUT_TransportEnergyCons!$B$4:$B$10000)*1,ISNUMBER(SEARCH("T_B_u*ICE*DSL*ext",[1]OUT_TransportEnergyCons!$A$4:$A$10000))*1,[1]OUT_TransportEnergyCons!M$4:M$10000))*1000</f>
        <v>0</v>
      </c>
      <c r="P1968" s="1" cm="1">
        <f t="array" ref="P1968">(SUMPRODUCT(("Var_Cap"=[1]OUT_TransportEnergyCons!$B$4:$B$10000)*1,ISNUMBER(SEARCH("T_B_u*ICE*DSL*ext",[1]OUT_TransportEnergyCons!$A$4:$A$10000))*1,[1]OUT_TransportEnergyCons!N$4:N$10000))*1000</f>
        <v>0</v>
      </c>
      <c r="Q1968" s="1" cm="1">
        <f t="array" ref="Q1968">(SUMPRODUCT(("Var_Cap"=[1]OUT_TransportEnergyCons!$B$4:$B$10000)*1,ISNUMBER(SEARCH("T_B_u*ICE*DSL*ext",[1]OUT_TransportEnergyCons!$A$4:$A$10000))*1,[1]OUT_TransportEnergyCons!O$4:O$10000))*1000</f>
        <v>0</v>
      </c>
      <c r="S1968" s="3"/>
    </row>
    <row r="1969" spans="2:19" x14ac:dyDescent="0.5">
      <c r="B1969" s="5" t="str">
        <f t="shared" si="2157"/>
        <v>SPS1</v>
      </c>
      <c r="C1969" s="5" t="str">
        <f t="shared" si="2158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0.46380476067751747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0.99197974956705348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1.2315567350640582E-4</v>
      </c>
      <c r="J1969" s="1" cm="1">
        <f t="array" ref="J1969">(SUMPRODUCT(("Var_Cap"=[1]OUT_TransportEnergyCons!$B$4:$B$10000)*1,ISNUMBER(SEARCH("T_B_u*ICE*DSL*s1",[1]OUT_TransportEnergyCons!$A$4:$A$10000))*1,[1]OUT_TransportEnergyCons!H$4:H$10000))*1000</f>
        <v>1.7614451601954614E-7</v>
      </c>
      <c r="K1969" s="1" cm="1">
        <f t="array" ref="K1969">(SUMPRODUCT(("Var_Cap"=[1]OUT_TransportEnergyCons!$B$4:$B$10000)*1,ISNUMBER(SEARCH("T_B_u*ICE*DSL*s1",[1]OUT_TransportEnergyCons!$A$4:$A$10000))*1,[1]OUT_TransportEnergyCons!I$4:I$10000))*1000</f>
        <v>0</v>
      </c>
      <c r="L1969" s="1" cm="1">
        <f t="array" ref="L1969">(SUMPRODUCT(("Var_Cap"=[1]OUT_TransportEnergyCons!$B$4:$B$10000)*1,ISNUMBER(SEARCH("T_B_u*ICE*DSL*s1",[1]OUT_TransportEnergyCons!$A$4:$A$10000))*1,[1]OUT_TransportEnergyCons!J$4:J$10000))*1000</f>
        <v>0</v>
      </c>
      <c r="M1969" s="1" cm="1">
        <f t="array" ref="M1969">(SUMPRODUCT(("Var_Cap"=[1]OUT_TransportEnergyCons!$B$4:$B$10000)*1,ISNUMBER(SEARCH("T_B_u*ICE*DSL*s1",[1]OUT_TransportEnergyCons!$A$4:$A$10000))*1,[1]OUT_TransportEnergyCons!K$4:K$10000))*1000</f>
        <v>0</v>
      </c>
      <c r="N1969" s="1" cm="1">
        <f t="array" ref="N1969">(SUMPRODUCT(("Var_Cap"=[1]OUT_TransportEnergyCons!$B$4:$B$10000)*1,ISNUMBER(SEARCH("T_B_u*ICE*DSL*s1",[1]OUT_TransportEnergyCons!$A$4:$A$10000))*1,[1]OUT_TransportEnergyCons!L$4:L$10000))*1000</f>
        <v>0</v>
      </c>
      <c r="O1969" s="1" cm="1">
        <f t="array" ref="O1969">(SUMPRODUCT(("Var_Cap"=[1]OUT_TransportEnergyCons!$B$4:$B$10000)*1,ISNUMBER(SEARCH("T_B_u*ICE*DSL*s1",[1]OUT_TransportEnergyCons!$A$4:$A$10000))*1,[1]OUT_TransportEnergyCons!M$4:M$10000))*1000</f>
        <v>0</v>
      </c>
      <c r="P1969" s="1" cm="1">
        <f t="array" ref="P1969">(SUMPRODUCT(("Var_Cap"=[1]OUT_TransportEnergyCons!$B$4:$B$10000)*1,ISNUMBER(SEARCH("T_B_u*ICE*DSL*s1",[1]OUT_TransportEnergyCons!$A$4:$A$10000))*1,[1]OUT_TransportEnergyCons!N$4:N$10000))*1000</f>
        <v>0</v>
      </c>
      <c r="Q1969" s="1" cm="1">
        <f t="array" ref="Q1969">(SUMPRODUCT(("Var_Cap"=[1]OUT_TransportEnergyCons!$B$4:$B$10000)*1,ISNUMBER(SEARCH("T_B_u*ICE*DSL*s1",[1]OUT_TransportEnergyCons!$A$4:$A$10000))*1,[1]OUT_TransportEnergyCons!O$4:O$10000))*1000</f>
        <v>0</v>
      </c>
      <c r="S1969" s="3"/>
    </row>
    <row r="1970" spans="2:19" x14ac:dyDescent="0.5">
      <c r="B1970" s="5" t="str">
        <f t="shared" si="2157"/>
        <v>SPS1</v>
      </c>
      <c r="C1970" s="5" t="str">
        <f t="shared" si="2158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0.18461603375527399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0.22804767931096229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0.41507677279107597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2.4210598940140743E-6</v>
      </c>
      <c r="J1970" s="1" cm="1">
        <f t="array" ref="J1970">IF((SUMPRODUCT(("Var_Cap"=[1]OUT_TransportEnergyCons!$B$4:$B$10000)*1,ISNUMBER(SEARCH("T_B_u*ICE*DSL*s2",[1]OUT_TransportEnergyCons!$A$4:$A$10000))*1,[1]OUT_TransportEnergyCons!H$4:H$10000))*1000&lt;0,0,(SUMPRODUCT(("Var_Cap"=[1]OUT_TransportEnergyCons!$B$4:$B$10000)*1,ISNUMBER(SEARCH("T_B_u*ICE*DSL*s2",[1]OUT_TransportEnergyCons!$A$4:$A$10000))*1,[1]OUT_TransportEnergyCons!H$4:H$10000))*1000)</f>
        <v>1.2685278361047013E-6</v>
      </c>
      <c r="K1970" s="1" cm="1">
        <f t="array" ref="K1970">IF((SUMPRODUCT(("Var_Cap"=[1]OUT_TransportEnergyCons!$B$4:$B$10000)*1,ISNUMBER(SEARCH("T_B_u*ICE*DSL*s2",[1]OUT_TransportEnergyCons!$A$4:$A$10000))*1,[1]OUT_TransportEnergyCons!I$4:I$10000))*1000&lt;0,0,(SUMPRODUCT(("Var_Cap"=[1]OUT_TransportEnergyCons!$B$4:$B$10000)*1,ISNUMBER(SEARCH("T_B_u*ICE*DSL*s2",[1]OUT_TransportEnergyCons!$A$4:$A$10000))*1,[1]OUT_TransportEnergyCons!I$4:I$10000))*1000)</f>
        <v>0</v>
      </c>
      <c r="L1970" s="1" cm="1">
        <f t="array" ref="L1970">IF((SUMPRODUCT(("Var_Cap"=[1]OUT_TransportEnergyCons!$B$4:$B$10000)*1,ISNUMBER(SEARCH("T_B_u*ICE*DSL*s2",[1]OUT_TransportEnergyCons!$A$4:$A$10000))*1,[1]OUT_TransportEnergyCons!J$4:J$10000))*1000&lt;0,0,(SUMPRODUCT(("Var_Cap"=[1]OUT_TransportEnergyCons!$B$4:$B$10000)*1,ISNUMBER(SEARCH("T_B_u*ICE*DSL*s2",[1]OUT_TransportEnergyCons!$A$4:$A$10000))*1,[1]OUT_TransportEnergyCons!J$4:J$10000))*1000)</f>
        <v>0</v>
      </c>
      <c r="M1970" s="1" cm="1">
        <f t="array" ref="M1970">IF((SUMPRODUCT(("Var_Cap"=[1]OUT_TransportEnergyCons!$B$4:$B$10000)*1,ISNUMBER(SEARCH("T_B_u*ICE*DSL*s2",[1]OUT_TransportEnergyCons!$A$4:$A$10000))*1,[1]OUT_TransportEnergyCons!K$4:K$10000))*1000&lt;0,0,(SUMPRODUCT(("Var_Cap"=[1]OUT_TransportEnergyCons!$B$4:$B$10000)*1,ISNUMBER(SEARCH("T_B_u*ICE*DSL*s2",[1]OUT_TransportEnergyCons!$A$4:$A$10000))*1,[1]OUT_TransportEnergyCons!K$4:K$10000))*1000)</f>
        <v>0</v>
      </c>
      <c r="N1970" s="1" cm="1">
        <f t="array" ref="N1970">IF((SUMPRODUCT(("Var_Cap"=[1]OUT_TransportEnergyCons!$B$4:$B$10000)*1,ISNUMBER(SEARCH("T_B_u*ICE*DSL*s2",[1]OUT_TransportEnergyCons!$A$4:$A$10000))*1,[1]OUT_TransportEnergyCons!L$4:L$10000))*1000&lt;0,0,(SUMPRODUCT(("Var_Cap"=[1]OUT_TransportEnergyCons!$B$4:$B$10000)*1,ISNUMBER(SEARCH("T_B_u*ICE*DSL*s2",[1]OUT_TransportEnergyCons!$A$4:$A$10000))*1,[1]OUT_TransportEnergyCons!L$4:L$10000))*1000)</f>
        <v>0</v>
      </c>
      <c r="O1970" s="1" cm="1">
        <f t="array" ref="O1970">IF((SUMPRODUCT(("Var_Cap"=[1]OUT_TransportEnergyCons!$B$4:$B$10000)*1,ISNUMBER(SEARCH("T_B_u*ICE*DSL*s2",[1]OUT_TransportEnergyCons!$A$4:$A$10000))*1,[1]OUT_TransportEnergyCons!M$4:M$10000))*1000&lt;0,0,(SUMPRODUCT(("Var_Cap"=[1]OUT_TransportEnergyCons!$B$4:$B$10000)*1,ISNUMBER(SEARCH("T_B_u*ICE*DSL*s2",[1]OUT_TransportEnergyCons!$A$4:$A$10000))*1,[1]OUT_TransportEnergyCons!M$4:M$10000))*1000)</f>
        <v>0</v>
      </c>
      <c r="P1970" s="1" cm="1">
        <f t="array" ref="P1970">IF((SUMPRODUCT(("Var_Cap"=[1]OUT_TransportEnergyCons!$B$4:$B$10000)*1,ISNUMBER(SEARCH("T_B_u*ICE*DSL*s2",[1]OUT_TransportEnergyCons!$A$4:$A$10000))*1,[1]OUT_TransportEnergyCons!N$4:N$10000))*1000&lt;0,0,(SUMPRODUCT(("Var_Cap"=[1]OUT_TransportEnergyCons!$B$4:$B$10000)*1,ISNUMBER(SEARCH("T_B_u*ICE*DSL*s2",[1]OUT_TransportEnergyCons!$A$4:$A$10000))*1,[1]OUT_TransportEnergyCons!N$4:N$10000))*1000)</f>
        <v>0</v>
      </c>
      <c r="Q1970" s="1" cm="1">
        <f t="array" ref="Q1970">IF((SUMPRODUCT(("Var_Cap"=[1]OUT_TransportEnergyCons!$B$4:$B$10000)*1,ISNUMBER(SEARCH("T_B_u*ICE*DSL*s2",[1]OUT_TransportEnergyCons!$A$4:$A$10000))*1,[1]OUT_TransportEnergyCons!O$4:O$10000))*1000&lt;0,0,(SUMPRODUCT(("Var_Cap"=[1]OUT_TransportEnergyCons!$B$4:$B$10000)*1,ISNUMBER(SEARCH("T_B_u*ICE*DSL*s2",[1]OUT_TransportEnergyCons!$A$4:$A$10000))*1,[1]OUT_TransportEnergyCons!O$4:O$10000))*1000)</f>
        <v>0</v>
      </c>
      <c r="S1970" s="3"/>
    </row>
    <row r="1971" spans="2:19" x14ac:dyDescent="0.5">
      <c r="B1971" s="5" t="str">
        <f t="shared" si="2157"/>
        <v>SPS1</v>
      </c>
      <c r="C1971" s="5" t="str">
        <f t="shared" si="2158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0.80681434599156099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1.0093504219890137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1.8419711651126029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[1]OUT_TransportEnergyCons!$B$4:$B$10000)*1,ISNUMBER(SEARCH("T_B_u*ICE*DSL*s3",[1]OUT_TransportEnergyCons!$A$4:$A$10000))*1,[1]OUT_TransportEnergyCons!H$4:H$10000))*1000&lt;0,0,(SUMPRODUCT(("Var_Cap"=[1]OUT_TransportEnergyCons!$B$4:$B$10000)*1,ISNUMBER(SEARCH("T_B_u*ICE*DSL*s3",[1]OUT_TransportEnergyCons!$A$4:$A$10000))*1,[1]OUT_TransportEnergyCons!H$4:H$10000))*1000)</f>
        <v>0</v>
      </c>
      <c r="K1971" s="1" cm="1">
        <f t="array" ref="K1971">IF((SUMPRODUCT(("Var_Cap"=[1]OUT_TransportEnergyCons!$B$4:$B$10000)*1,ISNUMBER(SEARCH("T_B_u*ICE*DSL*s3",[1]OUT_TransportEnergyCons!$A$4:$A$10000))*1,[1]OUT_TransportEnergyCons!I$4:I$10000))*1000&lt;0,0,(SUMPRODUCT(("Var_Cap"=[1]OUT_TransportEnergyCons!$B$4:$B$10000)*1,ISNUMBER(SEARCH("T_B_u*ICE*DSL*s3",[1]OUT_TransportEnergyCons!$A$4:$A$10000))*1,[1]OUT_TransportEnergyCons!I$4:I$10000))*1000)</f>
        <v>0</v>
      </c>
      <c r="L1971" s="1" cm="1">
        <f t="array" ref="L1971">IF((SUMPRODUCT(("Var_Cap"=[1]OUT_TransportEnergyCons!$B$4:$B$10000)*1,ISNUMBER(SEARCH("T_B_u*ICE*DSL*s3",[1]OUT_TransportEnergyCons!$A$4:$A$10000))*1,[1]OUT_TransportEnergyCons!J$4:J$10000))*1000&lt;0,0,(SUMPRODUCT(("Var_Cap"=[1]OUT_TransportEnergyCons!$B$4:$B$10000)*1,ISNUMBER(SEARCH("T_B_u*ICE*DSL*s3",[1]OUT_TransportEnergyCons!$A$4:$A$10000))*1,[1]OUT_TransportEnergyCons!J$4:J$10000))*1000)</f>
        <v>0</v>
      </c>
      <c r="M1971" s="1" cm="1">
        <f t="array" ref="M1971">IF((SUMPRODUCT(("Var_Cap"=[1]OUT_TransportEnergyCons!$B$4:$B$10000)*1,ISNUMBER(SEARCH("T_B_u*ICE*DSL*s3",[1]OUT_TransportEnergyCons!$A$4:$A$10000))*1,[1]OUT_TransportEnergyCons!K$4:K$10000))*1000&lt;0,0,(SUMPRODUCT(("Var_Cap"=[1]OUT_TransportEnergyCons!$B$4:$B$10000)*1,ISNUMBER(SEARCH("T_B_u*ICE*DSL*s3",[1]OUT_TransportEnergyCons!$A$4:$A$10000))*1,[1]OUT_TransportEnergyCons!K$4:K$10000))*1000)</f>
        <v>0</v>
      </c>
      <c r="N1971" s="1" cm="1">
        <f t="array" ref="N1971">IF((SUMPRODUCT(("Var_Cap"=[1]OUT_TransportEnergyCons!$B$4:$B$10000)*1,ISNUMBER(SEARCH("T_B_u*ICE*DSL*s3",[1]OUT_TransportEnergyCons!$A$4:$A$10000))*1,[1]OUT_TransportEnergyCons!L$4:L$10000))*1000&lt;0,0,(SUMPRODUCT(("Var_Cap"=[1]OUT_TransportEnergyCons!$B$4:$B$10000)*1,ISNUMBER(SEARCH("T_B_u*ICE*DSL*s3",[1]OUT_TransportEnergyCons!$A$4:$A$10000))*1,[1]OUT_TransportEnergyCons!L$4:L$10000))*1000)</f>
        <v>0</v>
      </c>
      <c r="O1971" s="1" cm="1">
        <f t="array" ref="O1971">IF((SUMPRODUCT(("Var_Cap"=[1]OUT_TransportEnergyCons!$B$4:$B$10000)*1,ISNUMBER(SEARCH("T_B_u*ICE*DSL*s3",[1]OUT_TransportEnergyCons!$A$4:$A$10000))*1,[1]OUT_TransportEnergyCons!M$4:M$10000))*1000&lt;0,0,(SUMPRODUCT(("Var_Cap"=[1]OUT_TransportEnergyCons!$B$4:$B$10000)*1,ISNUMBER(SEARCH("T_B_u*ICE*DSL*s3",[1]OUT_TransportEnergyCons!$A$4:$A$10000))*1,[1]OUT_TransportEnergyCons!M$4:M$10000))*1000)</f>
        <v>0</v>
      </c>
      <c r="P1971" s="1" cm="1">
        <f t="array" ref="P1971">IF((SUMPRODUCT(("Var_Cap"=[1]OUT_TransportEnergyCons!$B$4:$B$10000)*1,ISNUMBER(SEARCH("T_B_u*ICE*DSL*s3",[1]OUT_TransportEnergyCons!$A$4:$A$10000))*1,[1]OUT_TransportEnergyCons!N$4:N$10000))*1000&lt;0,0,(SUMPRODUCT(("Var_Cap"=[1]OUT_TransportEnergyCons!$B$4:$B$10000)*1,ISNUMBER(SEARCH("T_B_u*ICE*DSL*s3",[1]OUT_TransportEnergyCons!$A$4:$A$10000))*1,[1]OUT_TransportEnergyCons!N$4:N$10000))*1000)</f>
        <v>0</v>
      </c>
      <c r="Q1971" s="1" cm="1">
        <f t="array" ref="Q1971">IF((SUMPRODUCT(("Var_Cap"=[1]OUT_TransportEnergyCons!$B$4:$B$10000)*1,ISNUMBER(SEARCH("T_B_u*ICE*DSL*s3",[1]OUT_TransportEnergyCons!$A$4:$A$10000))*1,[1]OUT_TransportEnergyCons!O$4:O$10000))*1000&lt;0,0,(SUMPRODUCT(("Var_Cap"=[1]OUT_TransportEnergyCons!$B$4:$B$10000)*1,ISNUMBER(SEARCH("T_B_u*ICE*DSL*s3",[1]OUT_TransportEnergyCons!$A$4:$A$10000))*1,[1]OUT_TransportEnergyCons!O$4:O$10000))*1000)</f>
        <v>0</v>
      </c>
      <c r="S1971" s="3"/>
    </row>
    <row r="1972" spans="2:19" x14ac:dyDescent="0.5">
      <c r="B1972" s="5" t="str">
        <f t="shared" si="2157"/>
        <v>SPS1</v>
      </c>
      <c r="C1972" s="5" t="str">
        <f t="shared" si="2158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2.7951988131433591E-3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1.4535555598558652E-4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1.3917381377106603E-4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1.2805014788026183E-6</v>
      </c>
      <c r="J1972" s="1" cm="1">
        <f t="array" ref="J1972">IF((SUMPRODUCT(("Var_Cap"=[1]OUT_TransportEnergyCons!$B$4:$B$10000)*1,ISNUMBER(SEARCH("T_B_u*ICE*DSL*s4",[1]OUT_TransportEnergyCons!$A$4:$A$10000))*1,[1]OUT_TransportEnergyCons!H$4:H$10000))*1000&lt;0,0,(SUMPRODUCT(("Var_Cap"=[1]OUT_TransportEnergyCons!$B$4:$B$10000)*1,ISNUMBER(SEARCH("T_B_u*ICE*DSL*s4",[1]OUT_TransportEnergyCons!$A$4:$A$10000))*1,[1]OUT_TransportEnergyCons!H$4:H$10000))*1000)</f>
        <v>0</v>
      </c>
      <c r="K1972" s="1" cm="1">
        <f t="array" ref="K1972">IF((SUMPRODUCT(("Var_Cap"=[1]OUT_TransportEnergyCons!$B$4:$B$10000)*1,ISNUMBER(SEARCH("T_B_u*ICE*DSL*s4",[1]OUT_TransportEnergyCons!$A$4:$A$10000))*1,[1]OUT_TransportEnergyCons!I$4:I$10000))*1000&lt;0,0,(SUMPRODUCT(("Var_Cap"=[1]OUT_TransportEnergyCons!$B$4:$B$10000)*1,ISNUMBER(SEARCH("T_B_u*ICE*DSL*s4",[1]OUT_TransportEnergyCons!$A$4:$A$10000))*1,[1]OUT_TransportEnergyCons!I$4:I$10000))*1000)</f>
        <v>0</v>
      </c>
      <c r="L1972" s="1" cm="1">
        <f t="array" ref="L1972">IF((SUMPRODUCT(("Var_Cap"=[1]OUT_TransportEnergyCons!$B$4:$B$10000)*1,ISNUMBER(SEARCH("T_B_u*ICE*DSL*s4",[1]OUT_TransportEnergyCons!$A$4:$A$10000))*1,[1]OUT_TransportEnergyCons!J$4:J$10000))*1000&lt;0,0,(SUMPRODUCT(("Var_Cap"=[1]OUT_TransportEnergyCons!$B$4:$B$10000)*1,ISNUMBER(SEARCH("T_B_u*ICE*DSL*s4",[1]OUT_TransportEnergyCons!$A$4:$A$10000))*1,[1]OUT_TransportEnergyCons!J$4:J$10000))*1000)</f>
        <v>0</v>
      </c>
      <c r="M1972" s="1" cm="1">
        <f t="array" ref="M1972">IF((SUMPRODUCT(("Var_Cap"=[1]OUT_TransportEnergyCons!$B$4:$B$10000)*1,ISNUMBER(SEARCH("T_B_u*ICE*DSL*s4",[1]OUT_TransportEnergyCons!$A$4:$A$10000))*1,[1]OUT_TransportEnergyCons!K$4:K$10000))*1000&lt;0,0,(SUMPRODUCT(("Var_Cap"=[1]OUT_TransportEnergyCons!$B$4:$B$10000)*1,ISNUMBER(SEARCH("T_B_u*ICE*DSL*s4",[1]OUT_TransportEnergyCons!$A$4:$A$10000))*1,[1]OUT_TransportEnergyCons!K$4:K$10000))*1000)</f>
        <v>0</v>
      </c>
      <c r="N1972" s="1" cm="1">
        <f t="array" ref="N1972">IF((SUMPRODUCT(("Var_Cap"=[1]OUT_TransportEnergyCons!$B$4:$B$10000)*1,ISNUMBER(SEARCH("T_B_u*ICE*DSL*s4",[1]OUT_TransportEnergyCons!$A$4:$A$10000))*1,[1]OUT_TransportEnergyCons!L$4:L$10000))*1000&lt;0,0,(SUMPRODUCT(("Var_Cap"=[1]OUT_TransportEnergyCons!$B$4:$B$10000)*1,ISNUMBER(SEARCH("T_B_u*ICE*DSL*s4",[1]OUT_TransportEnergyCons!$A$4:$A$10000))*1,[1]OUT_TransportEnergyCons!L$4:L$10000))*1000)</f>
        <v>0</v>
      </c>
      <c r="O1972" s="1" cm="1">
        <f t="array" ref="O1972">IF((SUMPRODUCT(("Var_Cap"=[1]OUT_TransportEnergyCons!$B$4:$B$10000)*1,ISNUMBER(SEARCH("T_B_u*ICE*DSL*s4",[1]OUT_TransportEnergyCons!$A$4:$A$10000))*1,[1]OUT_TransportEnergyCons!M$4:M$10000))*1000&lt;0,0,(SUMPRODUCT(("Var_Cap"=[1]OUT_TransportEnergyCons!$B$4:$B$10000)*1,ISNUMBER(SEARCH("T_B_u*ICE*DSL*s4",[1]OUT_TransportEnergyCons!$A$4:$A$10000))*1,[1]OUT_TransportEnergyCons!M$4:M$10000))*1000)</f>
        <v>0</v>
      </c>
      <c r="P1972" s="1" cm="1">
        <f t="array" ref="P1972">IF((SUMPRODUCT(("Var_Cap"=[1]OUT_TransportEnergyCons!$B$4:$B$10000)*1,ISNUMBER(SEARCH("T_B_u*ICE*DSL*s4",[1]OUT_TransportEnergyCons!$A$4:$A$10000))*1,[1]OUT_TransportEnergyCons!N$4:N$10000))*1000&lt;0,0,(SUMPRODUCT(("Var_Cap"=[1]OUT_TransportEnergyCons!$B$4:$B$10000)*1,ISNUMBER(SEARCH("T_B_u*ICE*DSL*s4",[1]OUT_TransportEnergyCons!$A$4:$A$10000))*1,[1]OUT_TransportEnergyCons!N$4:N$10000))*1000)</f>
        <v>0</v>
      </c>
      <c r="Q1972" s="1" cm="1">
        <f t="array" ref="Q1972">IF((SUMPRODUCT(("Var_Cap"=[1]OUT_TransportEnergyCons!$B$4:$B$10000)*1,ISNUMBER(SEARCH("T_B_u*ICE*DSL*s4",[1]OUT_TransportEnergyCons!$A$4:$A$10000))*1,[1]OUT_TransportEnergyCons!O$4:O$10000))*1000&lt;0,0,(SUMPRODUCT(("Var_Cap"=[1]OUT_TransportEnergyCons!$B$4:$B$10000)*1,ISNUMBER(SEARCH("T_B_u*ICE*DSL*s4",[1]OUT_TransportEnergyCons!$A$4:$A$10000))*1,[1]OUT_TransportEnergyCons!O$4:O$10000))*1000)</f>
        <v>0</v>
      </c>
      <c r="S1972" s="3"/>
    </row>
    <row r="1973" spans="2:19" x14ac:dyDescent="0.5">
      <c r="B1973" s="5" t="str">
        <f t="shared" si="2157"/>
        <v>SPS1</v>
      </c>
      <c r="C1973" s="5" t="str">
        <f t="shared" si="2158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8.3573577075931299E-2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4.1787700865265807E-2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(SUMPRODUCT(("Var_Cap"=[1]OUT_TransportEnergyCons!$B$4:$B$10000)*1,ISNUMBER(SEARCH("T_B_u*ICE*nga*ext",[1]OUT_TransportEnergyCons!$A$4:$A$10000))*1,[1]OUT_TransportEnergyCons!H$4:H$10000))*1000</f>
        <v>0</v>
      </c>
      <c r="K1973" s="1" cm="1">
        <f t="array" ref="K1973">(SUMPRODUCT(("Var_Cap"=[1]OUT_TransportEnergyCons!$B$4:$B$10000)*1,ISNUMBER(SEARCH("T_B_u*ICE*nga*ext",[1]OUT_TransportEnergyCons!$A$4:$A$10000))*1,[1]OUT_TransportEnergyCons!I$4:I$10000))*1000</f>
        <v>0</v>
      </c>
      <c r="L1973" s="1" cm="1">
        <f t="array" ref="L1973">(SUMPRODUCT(("Var_Cap"=[1]OUT_TransportEnergyCons!$B$4:$B$10000)*1,ISNUMBER(SEARCH("T_B_u*ICE*nga*ext",[1]OUT_TransportEnergyCons!$A$4:$A$10000))*1,[1]OUT_TransportEnergyCons!J$4:J$10000))*1000</f>
        <v>0</v>
      </c>
      <c r="M1973" s="1" cm="1">
        <f t="array" ref="M1973">(SUMPRODUCT(("Var_Cap"=[1]OUT_TransportEnergyCons!$B$4:$B$10000)*1,ISNUMBER(SEARCH("T_B_u*ICE*nga*ext",[1]OUT_TransportEnergyCons!$A$4:$A$10000))*1,[1]OUT_TransportEnergyCons!K$4:K$10000))*1000</f>
        <v>0</v>
      </c>
      <c r="N1973" s="1" cm="1">
        <f t="array" ref="N1973">(SUMPRODUCT(("Var_Cap"=[1]OUT_TransportEnergyCons!$B$4:$B$10000)*1,ISNUMBER(SEARCH("T_B_u*ICE*nga*ext",[1]OUT_TransportEnergyCons!$A$4:$A$10000))*1,[1]OUT_TransportEnergyCons!L$4:L$10000))*1000</f>
        <v>0</v>
      </c>
      <c r="O1973" s="1" cm="1">
        <f t="array" ref="O1973">(SUMPRODUCT(("Var_Cap"=[1]OUT_TransportEnergyCons!$B$4:$B$10000)*1,ISNUMBER(SEARCH("T_B_u*ICE*nga*ext",[1]OUT_TransportEnergyCons!$A$4:$A$10000))*1,[1]OUT_TransportEnergyCons!M$4:M$10000))*1000</f>
        <v>0</v>
      </c>
      <c r="P1973" s="1" cm="1">
        <f t="array" ref="P1973">(SUMPRODUCT(("Var_Cap"=[1]OUT_TransportEnergyCons!$B$4:$B$10000)*1,ISNUMBER(SEARCH("T_B_u*ICE*nga*ext",[1]OUT_TransportEnergyCons!$A$4:$A$10000))*1,[1]OUT_TransportEnergyCons!N$4:N$10000))*1000</f>
        <v>0</v>
      </c>
      <c r="Q1973" s="1" cm="1">
        <f t="array" ref="Q1973">(SUMPRODUCT(("Var_Cap"=[1]OUT_TransportEnergyCons!$B$4:$B$10000)*1,ISNUMBER(SEARCH("T_B_u*ICE*nga*ext",[1]OUT_TransportEnergyCons!$A$4:$A$10000))*1,[1]OUT_TransportEnergyCons!O$4:O$10000))*1000</f>
        <v>0</v>
      </c>
      <c r="S1973" s="3"/>
    </row>
    <row r="1974" spans="2:19" x14ac:dyDescent="0.5">
      <c r="B1974" s="5" t="str">
        <f t="shared" si="2157"/>
        <v>SPS1</v>
      </c>
      <c r="C1974" s="5" t="str">
        <f t="shared" si="2158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1.68233224299215E-4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5.6349547510732795E-4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3.4323464862897264E-7</v>
      </c>
      <c r="J1974" s="1" cm="1">
        <f t="array" ref="J1974">(SUMPRODUCT(("Var_Cap"=[1]OUT_TransportEnergyCons!$B$4:$B$10000)*1,ISNUMBER(SEARCH("T_B_u*ICE*nga*s1",[1]OUT_TransportEnergyCons!$A$4:$A$10000))*1,[1]OUT_TransportEnergyCons!H$4:H$10000))*1000</f>
        <v>1.6080675238901443E-7</v>
      </c>
      <c r="K1974" s="1" cm="1">
        <f t="array" ref="K1974">(SUMPRODUCT(("Var_Cap"=[1]OUT_TransportEnergyCons!$B$4:$B$10000)*1,ISNUMBER(SEARCH("T_B_u*ICE*nga*s1",[1]OUT_TransportEnergyCons!$A$4:$A$10000))*1,[1]OUT_TransportEnergyCons!I$4:I$10000))*1000</f>
        <v>0</v>
      </c>
      <c r="L1974" s="1" cm="1">
        <f t="array" ref="L1974">(SUMPRODUCT(("Var_Cap"=[1]OUT_TransportEnergyCons!$B$4:$B$10000)*1,ISNUMBER(SEARCH("T_B_u*ICE*nga*s1",[1]OUT_TransportEnergyCons!$A$4:$A$10000))*1,[1]OUT_TransportEnergyCons!J$4:J$10000))*1000</f>
        <v>0</v>
      </c>
      <c r="M1974" s="1" cm="1">
        <f t="array" ref="M1974">(SUMPRODUCT(("Var_Cap"=[1]OUT_TransportEnergyCons!$B$4:$B$10000)*1,ISNUMBER(SEARCH("T_B_u*ICE*nga*s1",[1]OUT_TransportEnergyCons!$A$4:$A$10000))*1,[1]OUT_TransportEnergyCons!K$4:K$10000))*1000</f>
        <v>0</v>
      </c>
      <c r="N1974" s="1" cm="1">
        <f t="array" ref="N1974">(SUMPRODUCT(("Var_Cap"=[1]OUT_TransportEnergyCons!$B$4:$B$10000)*1,ISNUMBER(SEARCH("T_B_u*ICE*nga*s1",[1]OUT_TransportEnergyCons!$A$4:$A$10000))*1,[1]OUT_TransportEnergyCons!L$4:L$10000))*1000</f>
        <v>0</v>
      </c>
      <c r="O1974" s="1" cm="1">
        <f t="array" ref="O1974">(SUMPRODUCT(("Var_Cap"=[1]OUT_TransportEnergyCons!$B$4:$B$10000)*1,ISNUMBER(SEARCH("T_B_u*ICE*nga*s1",[1]OUT_TransportEnergyCons!$A$4:$A$10000))*1,[1]OUT_TransportEnergyCons!M$4:M$10000))*1000</f>
        <v>0</v>
      </c>
      <c r="P1974" s="1" cm="1">
        <f t="array" ref="P1974">(SUMPRODUCT(("Var_Cap"=[1]OUT_TransportEnergyCons!$B$4:$B$10000)*1,ISNUMBER(SEARCH("T_B_u*ICE*nga*s1",[1]OUT_TransportEnergyCons!$A$4:$A$10000))*1,[1]OUT_TransportEnergyCons!N$4:N$10000))*1000</f>
        <v>0</v>
      </c>
      <c r="Q1974" s="1" cm="1">
        <f t="array" ref="Q1974">(SUMPRODUCT(("Var_Cap"=[1]OUT_TransportEnergyCons!$B$4:$B$10000)*1,ISNUMBER(SEARCH("T_B_u*ICE*nga*s1",[1]OUT_TransportEnergyCons!$A$4:$A$10000))*1,[1]OUT_TransportEnergyCons!O$4:O$10000))*1000</f>
        <v>0</v>
      </c>
      <c r="S1974" s="3"/>
    </row>
    <row r="1975" spans="2:19" x14ac:dyDescent="0.5">
      <c r="B1975" s="5" t="str">
        <f t="shared" si="2157"/>
        <v>SPS1</v>
      </c>
      <c r="C1975" s="5" t="str">
        <f t="shared" si="2158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9.4088452694190996E-5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6.8095859863608803E-4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1.3330670083149859E-6</v>
      </c>
      <c r="J1975" s="1" cm="1">
        <f t="array" ref="J1975">(SUMPRODUCT(("Var_Cap"=[1]OUT_TransportEnergyCons!$B$4:$B$10000)*1,ISNUMBER(SEARCH("T_B_u*ICE*nga*s2",[1]OUT_TransportEnergyCons!$A$4:$A$10000))*1,[1]OUT_TransportEnergyCons!H$4:H$10000))*1000</f>
        <v>6.6088064329200622E-7</v>
      </c>
      <c r="K1975" s="1" cm="1">
        <f t="array" ref="K1975">(SUMPRODUCT(("Var_Cap"=[1]OUT_TransportEnergyCons!$B$4:$B$10000)*1,ISNUMBER(SEARCH("T_B_u*ICE*nga*s2",[1]OUT_TransportEnergyCons!$A$4:$A$10000))*1,[1]OUT_TransportEnergyCons!I$4:I$10000))*1000</f>
        <v>0</v>
      </c>
      <c r="L1975" s="1" cm="1">
        <f t="array" ref="L1975">(SUMPRODUCT(("Var_Cap"=[1]OUT_TransportEnergyCons!$B$4:$B$10000)*1,ISNUMBER(SEARCH("T_B_u*ICE*nga*s2",[1]OUT_TransportEnergyCons!$A$4:$A$10000))*1,[1]OUT_TransportEnergyCons!J$4:J$10000))*1000</f>
        <v>0</v>
      </c>
      <c r="M1975" s="1" cm="1">
        <f t="array" ref="M1975">(SUMPRODUCT(("Var_Cap"=[1]OUT_TransportEnergyCons!$B$4:$B$10000)*1,ISNUMBER(SEARCH("T_B_u*ICE*nga*s2",[1]OUT_TransportEnergyCons!$A$4:$A$10000))*1,[1]OUT_TransportEnergyCons!K$4:K$10000))*1000</f>
        <v>0</v>
      </c>
      <c r="N1975" s="1" cm="1">
        <f t="array" ref="N1975">(SUMPRODUCT(("Var_Cap"=[1]OUT_TransportEnergyCons!$B$4:$B$10000)*1,ISNUMBER(SEARCH("T_B_u*ICE*nga*s2",[1]OUT_TransportEnergyCons!$A$4:$A$10000))*1,[1]OUT_TransportEnergyCons!L$4:L$10000))*1000</f>
        <v>0</v>
      </c>
      <c r="O1975" s="1" cm="1">
        <f t="array" ref="O1975">(SUMPRODUCT(("Var_Cap"=[1]OUT_TransportEnergyCons!$B$4:$B$10000)*1,ISNUMBER(SEARCH("T_B_u*ICE*nga*s2",[1]OUT_TransportEnergyCons!$A$4:$A$10000))*1,[1]OUT_TransportEnergyCons!M$4:M$10000))*1000</f>
        <v>0</v>
      </c>
      <c r="P1975" s="1" cm="1">
        <f t="array" ref="P1975">(SUMPRODUCT(("Var_Cap"=[1]OUT_TransportEnergyCons!$B$4:$B$10000)*1,ISNUMBER(SEARCH("T_B_u*ICE*nga*s2",[1]OUT_TransportEnergyCons!$A$4:$A$10000))*1,[1]OUT_TransportEnergyCons!N$4:N$10000))*1000</f>
        <v>0</v>
      </c>
      <c r="Q1975" s="1" cm="1">
        <f t="array" ref="Q1975">(SUMPRODUCT(("Var_Cap"=[1]OUT_TransportEnergyCons!$B$4:$B$10000)*1,ISNUMBER(SEARCH("T_B_u*ICE*nga*s2",[1]OUT_TransportEnergyCons!$A$4:$A$10000))*1,[1]OUT_TransportEnergyCons!O$4:O$10000))*1000</f>
        <v>0</v>
      </c>
      <c r="S1975" s="3"/>
    </row>
    <row r="1976" spans="2:19" x14ac:dyDescent="0.5">
      <c r="B1976" s="5" t="str">
        <f t="shared" si="2157"/>
        <v>SPS1</v>
      </c>
      <c r="C1976" s="5" t="str">
        <f t="shared" si="2158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5.8040272098018901E-5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6.7759394887328796E-3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0</v>
      </c>
      <c r="J1976" s="1" cm="1">
        <f t="array" ref="J1976">IF((SUMPRODUCT(("Var_Cap"=[1]OUT_TransportEnergyCons!$B$4:$B$10000)*1,ISNUMBER(SEARCH("T_B_u*ICE*nga*s3",[1]OUT_TransportEnergyCons!$A$4:$A$10000))*1,[1]OUT_TransportEnergyCons!H$4:H$10000))*1000&lt;0,0,(SUMPRODUCT(("Var_Cap"=[1]OUT_TransportEnergyCons!$B$4:$B$10000)*1,ISNUMBER(SEARCH("T_B_u*ICE*nga*s3",[1]OUT_TransportEnergyCons!$A$4:$A$10000))*1,[1]OUT_TransportEnergyCons!H$4:H$10000))*1000)</f>
        <v>0</v>
      </c>
      <c r="K1976" s="1" cm="1">
        <f t="array" ref="K1976">IF((SUMPRODUCT(("Var_Cap"=[1]OUT_TransportEnergyCons!$B$4:$B$10000)*1,ISNUMBER(SEARCH("T_B_u*ICE*nga*s3",[1]OUT_TransportEnergyCons!$A$4:$A$10000))*1,[1]OUT_TransportEnergyCons!I$4:I$10000))*1000&lt;0,0,(SUMPRODUCT(("Var_Cap"=[1]OUT_TransportEnergyCons!$B$4:$B$10000)*1,ISNUMBER(SEARCH("T_B_u*ICE*nga*s3",[1]OUT_TransportEnergyCons!$A$4:$A$10000))*1,[1]OUT_TransportEnergyCons!I$4:I$10000))*1000)</f>
        <v>0</v>
      </c>
      <c r="L1976" s="1" cm="1">
        <f t="array" ref="L1976">IF((SUMPRODUCT(("Var_Cap"=[1]OUT_TransportEnergyCons!$B$4:$B$10000)*1,ISNUMBER(SEARCH("T_B_u*ICE*nga*s3",[1]OUT_TransportEnergyCons!$A$4:$A$10000))*1,[1]OUT_TransportEnergyCons!J$4:J$10000))*1000&lt;0,0,(SUMPRODUCT(("Var_Cap"=[1]OUT_TransportEnergyCons!$B$4:$B$10000)*1,ISNUMBER(SEARCH("T_B_u*ICE*nga*s3",[1]OUT_TransportEnergyCons!$A$4:$A$10000))*1,[1]OUT_TransportEnergyCons!J$4:J$10000))*1000)</f>
        <v>0</v>
      </c>
      <c r="M1976" s="1" cm="1">
        <f t="array" ref="M1976">IF((SUMPRODUCT(("Var_Cap"=[1]OUT_TransportEnergyCons!$B$4:$B$10000)*1,ISNUMBER(SEARCH("T_B_u*ICE*nga*s3",[1]OUT_TransportEnergyCons!$A$4:$A$10000))*1,[1]OUT_TransportEnergyCons!K$4:K$10000))*1000&lt;0,0,(SUMPRODUCT(("Var_Cap"=[1]OUT_TransportEnergyCons!$B$4:$B$10000)*1,ISNUMBER(SEARCH("T_B_u*ICE*nga*s3",[1]OUT_TransportEnergyCons!$A$4:$A$10000))*1,[1]OUT_TransportEnergyCons!K$4:K$10000))*1000)</f>
        <v>0</v>
      </c>
      <c r="N1976" s="1" cm="1">
        <f t="array" ref="N1976">IF((SUMPRODUCT(("Var_Cap"=[1]OUT_TransportEnergyCons!$B$4:$B$10000)*1,ISNUMBER(SEARCH("T_B_u*ICE*nga*s3",[1]OUT_TransportEnergyCons!$A$4:$A$10000))*1,[1]OUT_TransportEnergyCons!L$4:L$10000))*1000&lt;0,0,(SUMPRODUCT(("Var_Cap"=[1]OUT_TransportEnergyCons!$B$4:$B$10000)*1,ISNUMBER(SEARCH("T_B_u*ICE*nga*s3",[1]OUT_TransportEnergyCons!$A$4:$A$10000))*1,[1]OUT_TransportEnergyCons!L$4:L$10000))*1000)</f>
        <v>0</v>
      </c>
      <c r="O1976" s="1" cm="1">
        <f t="array" ref="O1976">IF((SUMPRODUCT(("Var_Cap"=[1]OUT_TransportEnergyCons!$B$4:$B$10000)*1,ISNUMBER(SEARCH("T_B_u*ICE*nga*s3",[1]OUT_TransportEnergyCons!$A$4:$A$10000))*1,[1]OUT_TransportEnergyCons!M$4:M$10000))*1000&lt;0,0,(SUMPRODUCT(("Var_Cap"=[1]OUT_TransportEnergyCons!$B$4:$B$10000)*1,ISNUMBER(SEARCH("T_B_u*ICE*nga*s3",[1]OUT_TransportEnergyCons!$A$4:$A$10000))*1,[1]OUT_TransportEnergyCons!M$4:M$10000))*1000)</f>
        <v>0</v>
      </c>
      <c r="P1976" s="1" cm="1">
        <f t="array" ref="P1976">IF((SUMPRODUCT(("Var_Cap"=[1]OUT_TransportEnergyCons!$B$4:$B$10000)*1,ISNUMBER(SEARCH("T_B_u*ICE*nga*s3",[1]OUT_TransportEnergyCons!$A$4:$A$10000))*1,[1]OUT_TransportEnergyCons!N$4:N$10000))*1000&lt;0,0,(SUMPRODUCT(("Var_Cap"=[1]OUT_TransportEnergyCons!$B$4:$B$10000)*1,ISNUMBER(SEARCH("T_B_u*ICE*nga*s3",[1]OUT_TransportEnergyCons!$A$4:$A$10000))*1,[1]OUT_TransportEnergyCons!N$4:N$10000))*1000)</f>
        <v>0</v>
      </c>
      <c r="Q1976" s="1" cm="1">
        <f t="array" ref="Q1976">IF((SUMPRODUCT(("Var_Cap"=[1]OUT_TransportEnergyCons!$B$4:$B$10000)*1,ISNUMBER(SEARCH("T_B_u*ICE*nga*s3",[1]OUT_TransportEnergyCons!$A$4:$A$10000))*1,[1]OUT_TransportEnergyCons!O$4:O$10000))*1000&lt;0,0,(SUMPRODUCT(("Var_Cap"=[1]OUT_TransportEnergyCons!$B$4:$B$10000)*1,ISNUMBER(SEARCH("T_B_u*ICE*nga*s3",[1]OUT_TransportEnergyCons!$A$4:$A$10000))*1,[1]OUT_TransportEnergyCons!O$4:O$10000))*1000)</f>
        <v>0</v>
      </c>
      <c r="S1976" s="3"/>
    </row>
    <row r="1977" spans="2:19" x14ac:dyDescent="0.5">
      <c r="B1977" s="5" t="str">
        <f t="shared" si="2157"/>
        <v>SPS1</v>
      </c>
      <c r="C1977" s="5" t="str">
        <f t="shared" si="2158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0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1.0549675827314899E-5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2.702477719511993E-7</v>
      </c>
      <c r="J1977" s="1" cm="1">
        <f t="array" ref="J1977">IF((SUMPRODUCT(("Var_Cap"=[1]OUT_TransportEnergyCons!$B$4:$B$10000)*1,ISNUMBER(SEARCH("T_B_u*ICE*nga*s4",[1]OUT_TransportEnergyCons!$A$4:$A$10000))*1,[1]OUT_TransportEnergyCons!H$4:H$10000))*1000&lt;0,0,(SUMPRODUCT(("Var_Cap"=[1]OUT_TransportEnergyCons!$B$4:$B$10000)*1,ISNUMBER(SEARCH("T_B_u*ICE*nga*s4",[1]OUT_TransportEnergyCons!$A$4:$A$10000))*1,[1]OUT_TransportEnergyCons!H$4:H$10000))*1000)</f>
        <v>0</v>
      </c>
      <c r="K1977" s="1" cm="1">
        <f t="array" ref="K1977">IF((SUMPRODUCT(("Var_Cap"=[1]OUT_TransportEnergyCons!$B$4:$B$10000)*1,ISNUMBER(SEARCH("T_B_u*ICE*nga*s4",[1]OUT_TransportEnergyCons!$A$4:$A$10000))*1,[1]OUT_TransportEnergyCons!I$4:I$10000))*1000&lt;0,0,(SUMPRODUCT(("Var_Cap"=[1]OUT_TransportEnergyCons!$B$4:$B$10000)*1,ISNUMBER(SEARCH("T_B_u*ICE*nga*s4",[1]OUT_TransportEnergyCons!$A$4:$A$10000))*1,[1]OUT_TransportEnergyCons!I$4:I$10000))*1000)</f>
        <v>0</v>
      </c>
      <c r="L1977" s="1" cm="1">
        <f t="array" ref="L1977">IF((SUMPRODUCT(("Var_Cap"=[1]OUT_TransportEnergyCons!$B$4:$B$10000)*1,ISNUMBER(SEARCH("T_B_u*ICE*nga*s4",[1]OUT_TransportEnergyCons!$A$4:$A$10000))*1,[1]OUT_TransportEnergyCons!J$4:J$10000))*1000&lt;0,0,(SUMPRODUCT(("Var_Cap"=[1]OUT_TransportEnergyCons!$B$4:$B$10000)*1,ISNUMBER(SEARCH("T_B_u*ICE*nga*s4",[1]OUT_TransportEnergyCons!$A$4:$A$10000))*1,[1]OUT_TransportEnergyCons!J$4:J$10000))*1000)</f>
        <v>0</v>
      </c>
      <c r="M1977" s="1" cm="1">
        <f t="array" ref="M1977">IF((SUMPRODUCT(("Var_Cap"=[1]OUT_TransportEnergyCons!$B$4:$B$10000)*1,ISNUMBER(SEARCH("T_B_u*ICE*nga*s4",[1]OUT_TransportEnergyCons!$A$4:$A$10000))*1,[1]OUT_TransportEnergyCons!K$4:K$10000))*1000&lt;0,0,(SUMPRODUCT(("Var_Cap"=[1]OUT_TransportEnergyCons!$B$4:$B$10000)*1,ISNUMBER(SEARCH("T_B_u*ICE*nga*s4",[1]OUT_TransportEnergyCons!$A$4:$A$10000))*1,[1]OUT_TransportEnergyCons!K$4:K$10000))*1000)</f>
        <v>0</v>
      </c>
      <c r="N1977" s="1" cm="1">
        <f t="array" ref="N1977">IF((SUMPRODUCT(("Var_Cap"=[1]OUT_TransportEnergyCons!$B$4:$B$10000)*1,ISNUMBER(SEARCH("T_B_u*ICE*nga*s4",[1]OUT_TransportEnergyCons!$A$4:$A$10000))*1,[1]OUT_TransportEnergyCons!L$4:L$10000))*1000&lt;0,0,(SUMPRODUCT(("Var_Cap"=[1]OUT_TransportEnergyCons!$B$4:$B$10000)*1,ISNUMBER(SEARCH("T_B_u*ICE*nga*s4",[1]OUT_TransportEnergyCons!$A$4:$A$10000))*1,[1]OUT_TransportEnergyCons!L$4:L$10000))*1000)</f>
        <v>0</v>
      </c>
      <c r="O1977" s="1" cm="1">
        <f t="array" ref="O1977">IF((SUMPRODUCT(("Var_Cap"=[1]OUT_TransportEnergyCons!$B$4:$B$10000)*1,ISNUMBER(SEARCH("T_B_u*ICE*nga*s4",[1]OUT_TransportEnergyCons!$A$4:$A$10000))*1,[1]OUT_TransportEnergyCons!M$4:M$10000))*1000&lt;0,0,(SUMPRODUCT(("Var_Cap"=[1]OUT_TransportEnergyCons!$B$4:$B$10000)*1,ISNUMBER(SEARCH("T_B_u*ICE*nga*s4",[1]OUT_TransportEnergyCons!$A$4:$A$10000))*1,[1]OUT_TransportEnergyCons!M$4:M$10000))*1000)</f>
        <v>0</v>
      </c>
      <c r="P1977" s="1" cm="1">
        <f t="array" ref="P1977">IF((SUMPRODUCT(("Var_Cap"=[1]OUT_TransportEnergyCons!$B$4:$B$10000)*1,ISNUMBER(SEARCH("T_B_u*ICE*nga*s4",[1]OUT_TransportEnergyCons!$A$4:$A$10000))*1,[1]OUT_TransportEnergyCons!N$4:N$10000))*1000&lt;0,0,(SUMPRODUCT(("Var_Cap"=[1]OUT_TransportEnergyCons!$B$4:$B$10000)*1,ISNUMBER(SEARCH("T_B_u*ICE*nga*s4",[1]OUT_TransportEnergyCons!$A$4:$A$10000))*1,[1]OUT_TransportEnergyCons!N$4:N$10000))*1000)</f>
        <v>0</v>
      </c>
      <c r="Q1977" s="1" cm="1">
        <f t="array" ref="Q1977">IF((SUMPRODUCT(("Var_Cap"=[1]OUT_TransportEnergyCons!$B$4:$B$10000)*1,ISNUMBER(SEARCH("T_B_u*ICE*nga*s4",[1]OUT_TransportEnergyCons!$A$4:$A$10000))*1,[1]OUT_TransportEnergyCons!O$4:O$10000))*1000&lt;0,0,(SUMPRODUCT(("Var_Cap"=[1]OUT_TransportEnergyCons!$B$4:$B$10000)*1,ISNUMBER(SEARCH("T_B_u*ICE*nga*s4",[1]OUT_TransportEnergyCons!$A$4:$A$10000))*1,[1]OUT_TransportEnergyCons!O$4:O$10000))*1000)</f>
        <v>0</v>
      </c>
      <c r="S1977" s="3"/>
    </row>
    <row r="1978" spans="2:19" x14ac:dyDescent="0.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2.8481249497384393</v>
      </c>
      <c r="G1978" s="3">
        <f t="shared" ref="G1978" si="2159">SUM(G1979:G2001)</f>
        <v>3.0790870518958799</v>
      </c>
      <c r="H1978" s="3">
        <f t="shared" ref="H1978" si="2160">SUM(H1979:H2001)</f>
        <v>2.8849501446979993</v>
      </c>
      <c r="I1978" s="3">
        <f t="shared" ref="I1978" si="2161">SUM(I1979:I2001)</f>
        <v>2.972449545146568</v>
      </c>
      <c r="J1978" s="3">
        <f t="shared" ref="J1978" si="2162">SUM(J1979:J2001)</f>
        <v>2.9280066206221731</v>
      </c>
      <c r="K1978" s="3">
        <f t="shared" ref="K1978" si="2163">SUM(K1979:K2001)</f>
        <v>2.9276623754853497</v>
      </c>
      <c r="L1978" s="3">
        <f t="shared" ref="L1978:O1978" si="2164">SUM(L1979:L2001)</f>
        <v>2.9348845622622708</v>
      </c>
      <c r="M1978" s="3">
        <f t="shared" si="2164"/>
        <v>2.9420765393924584</v>
      </c>
      <c r="N1978" s="3">
        <f t="shared" si="2164"/>
        <v>3.0354180804101749</v>
      </c>
      <c r="O1978" s="3">
        <f t="shared" si="2164"/>
        <v>3.1252823892496528</v>
      </c>
      <c r="P1978" s="3">
        <f>SUM(P1979:P2001)</f>
        <v>3.2117657524803516</v>
      </c>
      <c r="Q1978" s="3">
        <f>SUM(Q1979:Q2001)</f>
        <v>3.29495234321982</v>
      </c>
      <c r="S1978" s="3"/>
    </row>
    <row r="1979" spans="2:19" x14ac:dyDescent="0.5">
      <c r="B1979" s="5" t="str">
        <f t="shared" ref="B1979:B2001" si="2165">B1978</f>
        <v>SPS1</v>
      </c>
      <c r="C1979" s="5" t="str">
        <f t="shared" ref="C1979:C2001" si="2166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(SUMPRODUCT(("Var_Cap"=[1]OUT_TransportEnergyCons!$B$4:$B$10000)*1,ISNUMBER(SEARCH("T_b_c*bev*ext",[1]OUT_TransportEnergyCons!$A$4:$A$10000))*1,[1]OUT_TransportEnergyCons!H$4:H$10000))*1000</f>
        <v>0</v>
      </c>
      <c r="K1979" s="1" cm="1">
        <f t="array" ref="K1979">(SUMPRODUCT(("Var_Cap"=[1]OUT_TransportEnergyCons!$B$4:$B$10000)*1,ISNUMBER(SEARCH("T_b_c*bev*ext",[1]OUT_TransportEnergyCons!$A$4:$A$10000))*1,[1]OUT_TransportEnergyCons!I$4:I$10000))*1000</f>
        <v>0</v>
      </c>
      <c r="L1979" s="1" cm="1">
        <f t="array" ref="L1979">(SUMPRODUCT(("Var_Cap"=[1]OUT_TransportEnergyCons!$B$4:$B$10000)*1,ISNUMBER(SEARCH("T_b_c*bev*ext",[1]OUT_TransportEnergyCons!$A$4:$A$10000))*1,[1]OUT_TransportEnergyCons!J$4:J$10000))*1000</f>
        <v>0</v>
      </c>
      <c r="M1979" s="1" cm="1">
        <f t="array" ref="M1979">(SUMPRODUCT(("Var_Cap"=[1]OUT_TransportEnergyCons!$B$4:$B$10000)*1,ISNUMBER(SEARCH("T_b_c*bev*ext",[1]OUT_TransportEnergyCons!$A$4:$A$10000))*1,[1]OUT_TransportEnergyCons!K$4:K$10000))*1000</f>
        <v>0</v>
      </c>
      <c r="N1979" s="1" cm="1">
        <f t="array" ref="N1979">(SUMPRODUCT(("Var_Cap"=[1]OUT_TransportEnergyCons!$B$4:$B$10000)*1,ISNUMBER(SEARCH("T_b_c*bev*ext",[1]OUT_TransportEnergyCons!$A$4:$A$10000))*1,[1]OUT_TransportEnergyCons!L$4:L$10000))*1000</f>
        <v>0</v>
      </c>
      <c r="O1979" s="1" cm="1">
        <f t="array" ref="O1979">(SUMPRODUCT(("Var_Cap"=[1]OUT_TransportEnergyCons!$B$4:$B$10000)*1,ISNUMBER(SEARCH("T_b_c*bev*ext",[1]OUT_TransportEnergyCons!$A$4:$A$10000))*1,[1]OUT_TransportEnergyCons!M$4:M$10000))*1000</f>
        <v>0</v>
      </c>
      <c r="P1979" s="1" cm="1">
        <f t="array" ref="P1979">(SUMPRODUCT(("Var_Cap"=[1]OUT_TransportEnergyCons!$B$4:$B$10000)*1,ISNUMBER(SEARCH("T_b_c*bev*ext",[1]OUT_TransportEnergyCons!$A$4:$A$10000))*1,[1]OUT_TransportEnergyCons!N$4:N$10000))*1000</f>
        <v>0</v>
      </c>
      <c r="Q1979" s="1" cm="1">
        <f t="array" ref="Q1979">(SUMPRODUCT(("Var_Cap"=[1]OUT_TransportEnergyCons!$B$4:$B$10000)*1,ISNUMBER(SEARCH("T_b_c*bev*ext",[1]OUT_TransportEnergyCons!$A$4:$A$10000))*1,[1]OUT_TransportEnergyCons!O$4:O$10000))*1000</f>
        <v>0</v>
      </c>
      <c r="S1979" s="3"/>
    </row>
    <row r="1980" spans="2:19" x14ac:dyDescent="0.5">
      <c r="B1980" s="5" t="str">
        <f t="shared" si="2165"/>
        <v>SPS1</v>
      </c>
      <c r="C1980" s="5" t="str">
        <f t="shared" si="2166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8.3498306971554401E-3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1.167852569498477E-2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1.4050952792649636</v>
      </c>
      <c r="J1980" s="1" cm="1">
        <f t="array" ref="J1980">(SUMPRODUCT(("Var_Cap"=[1]OUT_TransportEnergyCons!$B$4:$B$10000)*1,ISNUMBER(SEARCH("T_b_c*bev*s1",[1]OUT_TransportEnergyCons!$A$4:$A$10000))*1,[1]OUT_TransportEnergyCons!H$4:H$10000))*1000</f>
        <v>1.4107322140944498</v>
      </c>
      <c r="K1980" s="1" cm="1">
        <f t="array" ref="K1980">(SUMPRODUCT(("Var_Cap"=[1]OUT_TransportEnergyCons!$B$4:$B$10000)*1,ISNUMBER(SEARCH("T_b_c*bev*s1",[1]OUT_TransportEnergyCons!$A$4:$A$10000))*1,[1]OUT_TransportEnergyCons!I$4:I$10000))*1000</f>
        <v>1.4097055160763972</v>
      </c>
      <c r="L1980" s="1" cm="1">
        <f t="array" ref="L1980">(SUMPRODUCT(("Var_Cap"=[1]OUT_TransportEnergyCons!$B$4:$B$10000)*1,ISNUMBER(SEARCH("T_b_c*bev*s1",[1]OUT_TransportEnergyCons!$A$4:$A$10000))*1,[1]OUT_TransportEnergyCons!J$4:J$10000))*1000</f>
        <v>1.4066408262471291</v>
      </c>
      <c r="M1980" s="1" cm="1">
        <f t="array" ref="M1980">(SUMPRODUCT(("Var_Cap"=[1]OUT_TransportEnergyCons!$B$4:$B$10000)*1,ISNUMBER(SEARCH("T_b_c*bev*s1",[1]OUT_TransportEnergyCons!$A$4:$A$10000))*1,[1]OUT_TransportEnergyCons!K$4:K$10000))*1000</f>
        <v>1.4100437280683618</v>
      </c>
      <c r="N1980" s="1" cm="1">
        <f t="array" ref="N1980">(SUMPRODUCT(("Var_Cap"=[1]OUT_TransportEnergyCons!$B$4:$B$10000)*1,ISNUMBER(SEARCH("T_b_c*bev*s1",[1]OUT_TransportEnergyCons!$A$4:$A$10000))*1,[1]OUT_TransportEnergyCons!L$4:L$10000))*1000</f>
        <v>1.461520254635825</v>
      </c>
      <c r="O1980" s="1" cm="1">
        <f t="array" ref="O1980">(SUMPRODUCT(("Var_Cap"=[1]OUT_TransportEnergyCons!$B$4:$B$10000)*1,ISNUMBER(SEARCH("T_b_c*bev*s1",[1]OUT_TransportEnergyCons!$A$4:$A$10000))*1,[1]OUT_TransportEnergyCons!M$4:M$10000))*1000</f>
        <v>1.5047801252279227</v>
      </c>
      <c r="P1980" s="1" cm="1">
        <f t="array" ref="P1980">(SUMPRODUCT(("Var_Cap"=[1]OUT_TransportEnergyCons!$B$4:$B$10000)*1,ISNUMBER(SEARCH("T_b_c*bev*s1",[1]OUT_TransportEnergyCons!$A$4:$A$10000))*1,[1]OUT_TransportEnergyCons!N$4:N$10000))*1000</f>
        <v>1.5463396825437885</v>
      </c>
      <c r="Q1980" s="1" cm="1">
        <f t="array" ref="Q1980">(SUMPRODUCT(("Var_Cap"=[1]OUT_TransportEnergyCons!$B$4:$B$10000)*1,ISNUMBER(SEARCH("T_b_c*bev*s1",[1]OUT_TransportEnergyCons!$A$4:$A$10000))*1,[1]OUT_TransportEnergyCons!O$4:O$10000))*1000</f>
        <v>1.5862551297045269</v>
      </c>
      <c r="S1980" s="3"/>
    </row>
    <row r="1981" spans="2:19" x14ac:dyDescent="0.5">
      <c r="B1981" s="5" t="str">
        <f t="shared" si="2165"/>
        <v>SPS1</v>
      </c>
      <c r="C1981" s="5" t="str">
        <f t="shared" si="2166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3.5720432425982102E-3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3.5325391764329758E-3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3.9391584722186348E-3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1.2474617999894126</v>
      </c>
      <c r="J1981" s="1" cm="1">
        <f t="array" ref="J1981">(SUMPRODUCT(("Var_Cap"=[1]OUT_TransportEnergyCons!$B$4:$B$10000)*1,ISNUMBER(SEARCH("T_b_c*bev*s2",[1]OUT_TransportEnergyCons!$A$4:$A$10000))*1,[1]OUT_TransportEnergyCons!H$4:H$10000))*1000</f>
        <v>1.2495450464673257</v>
      </c>
      <c r="K1981" s="1" cm="1">
        <f t="array" ref="K1981">(SUMPRODUCT(("Var_Cap"=[1]OUT_TransportEnergyCons!$B$4:$B$10000)*1,ISNUMBER(SEARCH("T_b_c*bev*s2",[1]OUT_TransportEnergyCons!$A$4:$A$10000))*1,[1]OUT_TransportEnergyCons!I$4:I$10000))*1000</f>
        <v>1.2503672523617186</v>
      </c>
      <c r="L1981" s="1" cm="1">
        <f t="array" ref="L1981">(SUMPRODUCT(("Var_Cap"=[1]OUT_TransportEnergyCons!$B$4:$B$10000)*1,ISNUMBER(SEARCH("T_b_c*bev*s2",[1]OUT_TransportEnergyCons!$A$4:$A$10000))*1,[1]OUT_TransportEnergyCons!J$4:J$10000))*1000</f>
        <v>1.2534284849877999</v>
      </c>
      <c r="M1981" s="1" cm="1">
        <f t="array" ref="M1981">(SUMPRODUCT(("Var_Cap"=[1]OUT_TransportEnergyCons!$B$4:$B$10000)*1,ISNUMBER(SEARCH("T_b_c*bev*s2",[1]OUT_TransportEnergyCons!$A$4:$A$10000))*1,[1]OUT_TransportEnergyCons!K$4:K$10000))*1000</f>
        <v>1.2564951095289001</v>
      </c>
      <c r="N1981" s="1" cm="1">
        <f t="array" ref="N1981">(SUMPRODUCT(("Var_Cap"=[1]OUT_TransportEnergyCons!$B$4:$B$10000)*1,ISNUMBER(SEARCH("T_b_c*bev*s2",[1]OUT_TransportEnergyCons!$A$4:$A$10000))*1,[1]OUT_TransportEnergyCons!L$4:L$10000))*1000</f>
        <v>1.29637695486743</v>
      </c>
      <c r="O1981" s="1" cm="1">
        <f t="array" ref="O1981">(SUMPRODUCT(("Var_Cap"=[1]OUT_TransportEnergyCons!$B$4:$B$10000)*1,ISNUMBER(SEARCH("T_b_c*bev*s2",[1]OUT_TransportEnergyCons!$A$4:$A$10000))*1,[1]OUT_TransportEnergyCons!M$4:M$10000))*1000</f>
        <v>1.3347613981970301</v>
      </c>
      <c r="P1981" s="1" cm="1">
        <f t="array" ref="P1981">(SUMPRODUCT(("Var_Cap"=[1]OUT_TransportEnergyCons!$B$4:$B$10000)*1,ISNUMBER(SEARCH("T_b_c*bev*s2",[1]OUT_TransportEnergyCons!$A$4:$A$10000))*1,[1]OUT_TransportEnergyCons!N$4:N$10000))*1000</f>
        <v>1.3716917896297709</v>
      </c>
      <c r="Q1981" s="1" cm="1">
        <f t="array" ref="Q1981">(SUMPRODUCT(("Var_Cap"=[1]OUT_TransportEnergyCons!$B$4:$B$10000)*1,ISNUMBER(SEARCH("T_b_c*bev*s2",[1]OUT_TransportEnergyCons!$A$4:$A$10000))*1,[1]OUT_TransportEnergyCons!O$4:O$10000))*1000</f>
        <v>1.4072222014680982</v>
      </c>
      <c r="S1981" s="3"/>
    </row>
    <row r="1982" spans="2:19" x14ac:dyDescent="0.5">
      <c r="B1982" s="5" t="str">
        <f t="shared" si="2165"/>
        <v>SPS1</v>
      </c>
      <c r="C1982" s="5" t="str">
        <f t="shared" si="2166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7.9305164848136021E-4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9.3110670614921908E-4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1.071641106313278E-3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0.27565820626450588</v>
      </c>
      <c r="J1982" s="1" cm="1">
        <f t="array" ref="J1982">(SUMPRODUCT(("Var_Cap"=[1]OUT_TransportEnergyCons!$B$4:$B$10000)*1,ISNUMBER(SEARCH("T_b_c*bev*s3",[1]OUT_TransportEnergyCons!$A$4:$A$10000))*1,[1]OUT_TransportEnergyCons!H$4:H$10000))*1000</f>
        <v>0.26765188967951842</v>
      </c>
      <c r="K1982" s="1" cm="1">
        <f t="array" ref="K1982">(SUMPRODUCT(("Var_Cap"=[1]OUT_TransportEnergyCons!$B$4:$B$10000)*1,ISNUMBER(SEARCH("T_b_c*bev*s3",[1]OUT_TransportEnergyCons!$A$4:$A$10000))*1,[1]OUT_TransportEnergyCons!I$4:I$10000))*1000</f>
        <v>0.26743251474243002</v>
      </c>
      <c r="L1982" s="1" cm="1">
        <f t="array" ref="L1982">(SUMPRODUCT(("Var_Cap"=[1]OUT_TransportEnergyCons!$B$4:$B$10000)*1,ISNUMBER(SEARCH("T_b_c*bev*s3",[1]OUT_TransportEnergyCons!$A$4:$A$10000))*1,[1]OUT_TransportEnergyCons!J$4:J$10000))*1000</f>
        <v>0.26809834843374097</v>
      </c>
      <c r="M1982" s="1" cm="1">
        <f t="array" ref="M1982">(SUMPRODUCT(("Var_Cap"=[1]OUT_TransportEnergyCons!$B$4:$B$10000)*1,ISNUMBER(SEARCH("T_b_c*bev*s3",[1]OUT_TransportEnergyCons!$A$4:$A$10000))*1,[1]OUT_TransportEnergyCons!K$4:K$10000))*1000</f>
        <v>0.26874950287810001</v>
      </c>
      <c r="N1982" s="1" cm="1">
        <f t="array" ref="N1982">(SUMPRODUCT(("Var_Cap"=[1]OUT_TransportEnergyCons!$B$4:$B$10000)*1,ISNUMBER(SEARCH("T_b_c*bev*s3",[1]OUT_TransportEnergyCons!$A$4:$A$10000))*1,[1]OUT_TransportEnergyCons!L$4:L$10000))*1000</f>
        <v>0.277273612808276</v>
      </c>
      <c r="O1982" s="1" cm="1">
        <f t="array" ref="O1982">(SUMPRODUCT(("Var_Cap"=[1]OUT_TransportEnergyCons!$B$4:$B$10000)*1,ISNUMBER(SEARCH("T_b_c*bev*s3",[1]OUT_TransportEnergyCons!$A$4:$A$10000))*1,[1]OUT_TransportEnergyCons!M$4:M$10000))*1000</f>
        <v>0.28548343720145503</v>
      </c>
      <c r="P1982" s="1" cm="1">
        <f t="array" ref="P1982">(SUMPRODUCT(("Var_Cap"=[1]OUT_TransportEnergyCons!$B$4:$B$10000)*1,ISNUMBER(SEARCH("T_b_c*bev*s3",[1]OUT_TransportEnergyCons!$A$4:$A$10000))*1,[1]OUT_TransportEnergyCons!N$4:N$10000))*1000</f>
        <v>0.29338262584908303</v>
      </c>
      <c r="Q1982" s="1" cm="1">
        <f t="array" ref="Q1982">(SUMPRODUCT(("Var_Cap"=[1]OUT_TransportEnergyCons!$B$4:$B$10000)*1,ISNUMBER(SEARCH("T_b_c*bev*s3",[1]OUT_TransportEnergyCons!$A$4:$A$10000))*1,[1]OUT_TransportEnergyCons!O$4:O$10000))*1000</f>
        <v>0.30098431998486103</v>
      </c>
      <c r="S1982" s="3"/>
    </row>
    <row r="1983" spans="2:19" x14ac:dyDescent="0.5">
      <c r="B1983" s="5" t="str">
        <f t="shared" si="2165"/>
        <v>SPS1</v>
      </c>
      <c r="C1983" s="5" t="str">
        <f t="shared" si="2166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4.7467203811558801E-5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9.1330580814250991E-5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5.2053297140742693E-5</v>
      </c>
      <c r="J1983" s="1" cm="1">
        <f t="array" ref="J1983">(SUMPRODUCT(("Var_Cap"=[1]OUT_TransportEnergyCons!$B$4:$B$10000)*1,ISNUMBER(SEARCH("T_b_c*bev*s4",[1]OUT_TransportEnergyCons!$A$4:$A$10000))*1,[1]OUT_TransportEnergyCons!H$4:H$10000))*1000</f>
        <v>6.5024222185189199E-5</v>
      </c>
      <c r="K1983" s="1" cm="1">
        <f t="array" ref="K1983">(SUMPRODUCT(("Var_Cap"=[1]OUT_TransportEnergyCons!$B$4:$B$10000)*1,ISNUMBER(SEARCH("T_b_c*bev*s4",[1]OUT_TransportEnergyCons!$A$4:$A$10000))*1,[1]OUT_TransportEnergyCons!I$4:I$10000))*1000</f>
        <v>1.55153804902111E-4</v>
      </c>
      <c r="L1983" s="1" cm="1">
        <f t="array" ref="L1983">(SUMPRODUCT(("Var_Cap"=[1]OUT_TransportEnergyCons!$B$4:$B$10000)*1,ISNUMBER(SEARCH("T_b_c*bev*s4",[1]OUT_TransportEnergyCons!$A$4:$A$10000))*1,[1]OUT_TransportEnergyCons!J$4:J$10000))*1000</f>
        <v>1.8633639278966898E-4</v>
      </c>
      <c r="M1983" s="1" cm="1">
        <f t="array" ref="M1983">(SUMPRODUCT(("Var_Cap"=[1]OUT_TransportEnergyCons!$B$4:$B$10000)*1,ISNUMBER(SEARCH("T_b_c*bev*s4",[1]OUT_TransportEnergyCons!$A$4:$A$10000))*1,[1]OUT_TransportEnergyCons!K$4:K$10000))*1000</f>
        <v>2.5763271628555104E-4</v>
      </c>
      <c r="N1983" s="1" cm="1">
        <f t="array" ref="N1983">(SUMPRODUCT(("Var_Cap"=[1]OUT_TransportEnergyCons!$B$4:$B$10000)*1,ISNUMBER(SEARCH("T_b_c*bev*s4",[1]OUT_TransportEnergyCons!$A$4:$A$10000))*1,[1]OUT_TransportEnergyCons!L$4:L$10000))*1000</f>
        <v>2.4725809864418005E-4</v>
      </c>
      <c r="O1983" s="1" cm="1">
        <f t="array" ref="O1983">(SUMPRODUCT(("Var_Cap"=[1]OUT_TransportEnergyCons!$B$4:$B$10000)*1,ISNUMBER(SEARCH("T_b_c*bev*s4",[1]OUT_TransportEnergyCons!$A$4:$A$10000))*1,[1]OUT_TransportEnergyCons!M$4:M$10000))*1000</f>
        <v>2.5742862324487702E-4</v>
      </c>
      <c r="P1983" s="1" cm="1">
        <f t="array" ref="P1983">(SUMPRODUCT(("Var_Cap"=[1]OUT_TransportEnergyCons!$B$4:$B$10000)*1,ISNUMBER(SEARCH("T_b_c*bev*s4",[1]OUT_TransportEnergyCons!$A$4:$A$10000))*1,[1]OUT_TransportEnergyCons!N$4:N$10000))*1000</f>
        <v>3.5165445770897046E-4</v>
      </c>
      <c r="Q1983" s="1" cm="1">
        <f t="array" ref="Q1983">(SUMPRODUCT(("Var_Cap"=[1]OUT_TransportEnergyCons!$B$4:$B$10000)*1,ISNUMBER(SEARCH("T_b_c*bev*s4",[1]OUT_TransportEnergyCons!$A$4:$A$10000))*1,[1]OUT_TransportEnergyCons!O$4:O$10000))*1000</f>
        <v>4.9069206233410894E-4</v>
      </c>
      <c r="S1983" s="3"/>
    </row>
    <row r="1984" spans="2:19" x14ac:dyDescent="0.5">
      <c r="B1984" s="5" t="str">
        <f t="shared" si="2165"/>
        <v>SPS1</v>
      </c>
      <c r="C1984" s="5" t="str">
        <f t="shared" si="2166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0</v>
      </c>
      <c r="J1984" s="1" cm="1">
        <f t="array" ref="J1984">IF((SUMPRODUCT(("Var_Cap"=[1]OUT_TransportEnergyCons!$B$4:$B$10000)*1,ISNUMBER(SEARCH("T_b_c*h2o*s1",[1]OUT_TransportEnergyCons!$A$4:$A$10000))*1,[1]OUT_TransportEnergyCons!H$4:H$10000))*1000&lt;0,0,(SUMPRODUCT(("Var_Cap"=[1]OUT_TransportEnergyCons!$B$4:$B$10000)*1,ISNUMBER(SEARCH("T_b_c*h2o*s1",[1]OUT_TransportEnergyCons!$A$4:$A$10000))*1,[1]OUT_TransportEnergyCons!H$4:H$10000))*1000)</f>
        <v>0</v>
      </c>
      <c r="K1984" s="1" cm="1">
        <f t="array" ref="K1984">IF((SUMPRODUCT(("Var_Cap"=[1]OUT_TransportEnergyCons!$B$4:$B$10000)*1,ISNUMBER(SEARCH("T_b_c*h2o*s1",[1]OUT_TransportEnergyCons!$A$4:$A$10000))*1,[1]OUT_TransportEnergyCons!I$4:I$10000))*1000&lt;0,0,(SUMPRODUCT(("Var_Cap"=[1]OUT_TransportEnergyCons!$B$4:$B$10000)*1,ISNUMBER(SEARCH("T_b_c*h2o*s1",[1]OUT_TransportEnergyCons!$A$4:$A$10000))*1,[1]OUT_TransportEnergyCons!I$4:I$10000))*1000)</f>
        <v>0</v>
      </c>
      <c r="L1984" s="1" cm="1">
        <f t="array" ref="L1984">IF((SUMPRODUCT(("Var_Cap"=[1]OUT_TransportEnergyCons!$B$4:$B$10000)*1,ISNUMBER(SEARCH("T_b_c*h2o*s1",[1]OUT_TransportEnergyCons!$A$4:$A$10000))*1,[1]OUT_TransportEnergyCons!J$4:J$10000))*1000&lt;0,0,(SUMPRODUCT(("Var_Cap"=[1]OUT_TransportEnergyCons!$B$4:$B$10000)*1,ISNUMBER(SEARCH("T_b_c*h2o*s1",[1]OUT_TransportEnergyCons!$A$4:$A$10000))*1,[1]OUT_TransportEnergyCons!J$4:J$10000))*1000)</f>
        <v>0</v>
      </c>
      <c r="M1984" s="1" cm="1">
        <f t="array" ref="M1984">IF((SUMPRODUCT(("Var_Cap"=[1]OUT_TransportEnergyCons!$B$4:$B$10000)*1,ISNUMBER(SEARCH("T_b_c*h2o*s1",[1]OUT_TransportEnergyCons!$A$4:$A$10000))*1,[1]OUT_TransportEnergyCons!K$4:K$10000))*1000&lt;0,0,(SUMPRODUCT(("Var_Cap"=[1]OUT_TransportEnergyCons!$B$4:$B$10000)*1,ISNUMBER(SEARCH("T_b_c*h2o*s1",[1]OUT_TransportEnergyCons!$A$4:$A$10000))*1,[1]OUT_TransportEnergyCons!K$4:K$10000))*1000)</f>
        <v>0</v>
      </c>
      <c r="N1984" s="1" cm="1">
        <f t="array" ref="N1984">IF((SUMPRODUCT(("Var_Cap"=[1]OUT_TransportEnergyCons!$B$4:$B$10000)*1,ISNUMBER(SEARCH("T_b_c*h2o*s1",[1]OUT_TransportEnergyCons!$A$4:$A$10000))*1,[1]OUT_TransportEnergyCons!L$4:L$10000))*1000&lt;0,0,(SUMPRODUCT(("Var_Cap"=[1]OUT_TransportEnergyCons!$B$4:$B$10000)*1,ISNUMBER(SEARCH("T_b_c*h2o*s1",[1]OUT_TransportEnergyCons!$A$4:$A$10000))*1,[1]OUT_TransportEnergyCons!L$4:L$10000))*1000)</f>
        <v>0</v>
      </c>
      <c r="O1984" s="1" cm="1">
        <f t="array" ref="O1984">IF((SUMPRODUCT(("Var_Cap"=[1]OUT_TransportEnergyCons!$B$4:$B$10000)*1,ISNUMBER(SEARCH("T_b_c*h2o*s1",[1]OUT_TransportEnergyCons!$A$4:$A$10000))*1,[1]OUT_TransportEnergyCons!M$4:M$10000))*1000&lt;0,0,(SUMPRODUCT(("Var_Cap"=[1]OUT_TransportEnergyCons!$B$4:$B$10000)*1,ISNUMBER(SEARCH("T_b_c*h2o*s1",[1]OUT_TransportEnergyCons!$A$4:$A$10000))*1,[1]OUT_TransportEnergyCons!M$4:M$10000))*1000)</f>
        <v>0</v>
      </c>
      <c r="P1984" s="1" cm="1">
        <f t="array" ref="P1984">IF((SUMPRODUCT(("Var_Cap"=[1]OUT_TransportEnergyCons!$B$4:$B$10000)*1,ISNUMBER(SEARCH("T_b_c*h2o*s1",[1]OUT_TransportEnergyCons!$A$4:$A$10000))*1,[1]OUT_TransportEnergyCons!N$4:N$10000))*1000&lt;0,0,(SUMPRODUCT(("Var_Cap"=[1]OUT_TransportEnergyCons!$B$4:$B$10000)*1,ISNUMBER(SEARCH("T_b_c*h2o*s1",[1]OUT_TransportEnergyCons!$A$4:$A$10000))*1,[1]OUT_TransportEnergyCons!N$4:N$10000))*1000)</f>
        <v>0</v>
      </c>
      <c r="Q1984" s="1" cm="1">
        <f t="array" ref="Q1984">IF((SUMPRODUCT(("Var_Cap"=[1]OUT_TransportEnergyCons!$B$4:$B$10000)*1,ISNUMBER(SEARCH("T_b_c*h2o*s1",[1]OUT_TransportEnergyCons!$A$4:$A$10000))*1,[1]OUT_TransportEnergyCons!O$4:O$10000))*1000&lt;0,0,(SUMPRODUCT(("Var_Cap"=[1]OUT_TransportEnergyCons!$B$4:$B$10000)*1,ISNUMBER(SEARCH("T_b_c*h2o*s1",[1]OUT_TransportEnergyCons!$A$4:$A$10000))*1,[1]OUT_TransportEnergyCons!O$4:O$10000))*1000)</f>
        <v>0</v>
      </c>
      <c r="S1984" s="3"/>
    </row>
    <row r="1985" spans="2:19" x14ac:dyDescent="0.5">
      <c r="B1985" s="5" t="str">
        <f t="shared" si="2165"/>
        <v>SPS1</v>
      </c>
      <c r="C1985" s="5" t="str">
        <f t="shared" si="2166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0</v>
      </c>
      <c r="J1985" s="1" cm="1">
        <f t="array" ref="J1985">IF((SUMPRODUCT(("Var_Cap"=[1]OUT_TransportEnergyCons!$B$4:$B$10000)*1,ISNUMBER(SEARCH("T_b_c*h2o*s2",[1]OUT_TransportEnergyCons!$A$4:$A$10000))*1,[1]OUT_TransportEnergyCons!H$4:H$10000))*1000&lt;0,0,(SUMPRODUCT(("Var_Cap"=[1]OUT_TransportEnergyCons!$B$4:$B$10000)*1,ISNUMBER(SEARCH("T_b_c*h2o*s2",[1]OUT_TransportEnergyCons!$A$4:$A$10000))*1,[1]OUT_TransportEnergyCons!H$4:H$10000))*1000)</f>
        <v>0</v>
      </c>
      <c r="K1985" s="1" cm="1">
        <f t="array" ref="K1985">IF((SUMPRODUCT(("Var_Cap"=[1]OUT_TransportEnergyCons!$B$4:$B$10000)*1,ISNUMBER(SEARCH("T_b_c*h2o*s2",[1]OUT_TransportEnergyCons!$A$4:$A$10000))*1,[1]OUT_TransportEnergyCons!I$4:I$10000))*1000&lt;0,0,(SUMPRODUCT(("Var_Cap"=[1]OUT_TransportEnergyCons!$B$4:$B$10000)*1,ISNUMBER(SEARCH("T_b_c*h2o*s2",[1]OUT_TransportEnergyCons!$A$4:$A$10000))*1,[1]OUT_TransportEnergyCons!I$4:I$10000))*1000)</f>
        <v>0</v>
      </c>
      <c r="L1985" s="1" cm="1">
        <f t="array" ref="L1985">IF((SUMPRODUCT(("Var_Cap"=[1]OUT_TransportEnergyCons!$B$4:$B$10000)*1,ISNUMBER(SEARCH("T_b_c*h2o*s2",[1]OUT_TransportEnergyCons!$A$4:$A$10000))*1,[1]OUT_TransportEnergyCons!J$4:J$10000))*1000&lt;0,0,(SUMPRODUCT(("Var_Cap"=[1]OUT_TransportEnergyCons!$B$4:$B$10000)*1,ISNUMBER(SEARCH("T_b_c*h2o*s2",[1]OUT_TransportEnergyCons!$A$4:$A$10000))*1,[1]OUT_TransportEnergyCons!J$4:J$10000))*1000)</f>
        <v>0</v>
      </c>
      <c r="M1985" s="1" cm="1">
        <f t="array" ref="M1985">IF((SUMPRODUCT(("Var_Cap"=[1]OUT_TransportEnergyCons!$B$4:$B$10000)*1,ISNUMBER(SEARCH("T_b_c*h2o*s2",[1]OUT_TransportEnergyCons!$A$4:$A$10000))*1,[1]OUT_TransportEnergyCons!K$4:K$10000))*1000&lt;0,0,(SUMPRODUCT(("Var_Cap"=[1]OUT_TransportEnergyCons!$B$4:$B$10000)*1,ISNUMBER(SEARCH("T_b_c*h2o*s2",[1]OUT_TransportEnergyCons!$A$4:$A$10000))*1,[1]OUT_TransportEnergyCons!K$4:K$10000))*1000)</f>
        <v>0</v>
      </c>
      <c r="N1985" s="1" cm="1">
        <f t="array" ref="N1985">IF((SUMPRODUCT(("Var_Cap"=[1]OUT_TransportEnergyCons!$B$4:$B$10000)*1,ISNUMBER(SEARCH("T_b_c*h2o*s2",[1]OUT_TransportEnergyCons!$A$4:$A$10000))*1,[1]OUT_TransportEnergyCons!L$4:L$10000))*1000&lt;0,0,(SUMPRODUCT(("Var_Cap"=[1]OUT_TransportEnergyCons!$B$4:$B$10000)*1,ISNUMBER(SEARCH("T_b_c*h2o*s2",[1]OUT_TransportEnergyCons!$A$4:$A$10000))*1,[1]OUT_TransportEnergyCons!L$4:L$10000))*1000)</f>
        <v>0</v>
      </c>
      <c r="O1985" s="1" cm="1">
        <f t="array" ref="O1985">IF((SUMPRODUCT(("Var_Cap"=[1]OUT_TransportEnergyCons!$B$4:$B$10000)*1,ISNUMBER(SEARCH("T_b_c*h2o*s2",[1]OUT_TransportEnergyCons!$A$4:$A$10000))*1,[1]OUT_TransportEnergyCons!M$4:M$10000))*1000&lt;0,0,(SUMPRODUCT(("Var_Cap"=[1]OUT_TransportEnergyCons!$B$4:$B$10000)*1,ISNUMBER(SEARCH("T_b_c*h2o*s2",[1]OUT_TransportEnergyCons!$A$4:$A$10000))*1,[1]OUT_TransportEnergyCons!M$4:M$10000))*1000)</f>
        <v>0</v>
      </c>
      <c r="P1985" s="1" cm="1">
        <f t="array" ref="P1985">IF((SUMPRODUCT(("Var_Cap"=[1]OUT_TransportEnergyCons!$B$4:$B$10000)*1,ISNUMBER(SEARCH("T_b_c*h2o*s2",[1]OUT_TransportEnergyCons!$A$4:$A$10000))*1,[1]OUT_TransportEnergyCons!N$4:N$10000))*1000&lt;0,0,(SUMPRODUCT(("Var_Cap"=[1]OUT_TransportEnergyCons!$B$4:$B$10000)*1,ISNUMBER(SEARCH("T_b_c*h2o*s2",[1]OUT_TransportEnergyCons!$A$4:$A$10000))*1,[1]OUT_TransportEnergyCons!N$4:N$10000))*1000)</f>
        <v>0</v>
      </c>
      <c r="Q1985" s="1" cm="1">
        <f t="array" ref="Q1985">IF((SUMPRODUCT(("Var_Cap"=[1]OUT_TransportEnergyCons!$B$4:$B$10000)*1,ISNUMBER(SEARCH("T_b_c*h2o*s2",[1]OUT_TransportEnergyCons!$A$4:$A$10000))*1,[1]OUT_TransportEnergyCons!O$4:O$10000))*1000&lt;0,0,(SUMPRODUCT(("Var_Cap"=[1]OUT_TransportEnergyCons!$B$4:$B$10000)*1,ISNUMBER(SEARCH("T_b_c*h2o*s2",[1]OUT_TransportEnergyCons!$A$4:$A$10000))*1,[1]OUT_TransportEnergyCons!O$4:O$10000))*1000)</f>
        <v>0</v>
      </c>
      <c r="S1985" s="3"/>
    </row>
    <row r="1986" spans="2:19" x14ac:dyDescent="0.5">
      <c r="B1986" s="5" t="str">
        <f t="shared" si="2165"/>
        <v>SPS1</v>
      </c>
      <c r="C1986" s="5" t="str">
        <f t="shared" si="2166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0</v>
      </c>
      <c r="J1986" s="1" cm="1">
        <f t="array" ref="J1986">IF((SUMPRODUCT(("Var_Cap"=[1]OUT_TransportEnergyCons!$B$4:$B$10000)*1,ISNUMBER(SEARCH("T_b_c*h2o*s3",[1]OUT_TransportEnergyCons!$A$4:$A$10000))*1,[1]OUT_TransportEnergyCons!H$4:H$10000))*1000&lt;0,0,(SUMPRODUCT(("Var_Cap"=[1]OUT_TransportEnergyCons!$B$4:$B$10000)*1,ISNUMBER(SEARCH("T_b_c*h2o*s3",[1]OUT_TransportEnergyCons!$A$4:$A$10000))*1,[1]OUT_TransportEnergyCons!H$4:H$10000))*1000)</f>
        <v>0</v>
      </c>
      <c r="K1986" s="1" cm="1">
        <f t="array" ref="K1986">IF((SUMPRODUCT(("Var_Cap"=[1]OUT_TransportEnergyCons!$B$4:$B$10000)*1,ISNUMBER(SEARCH("T_b_c*h2o*s3",[1]OUT_TransportEnergyCons!$A$4:$A$10000))*1,[1]OUT_TransportEnergyCons!I$4:I$10000))*1000&lt;0,0,(SUMPRODUCT(("Var_Cap"=[1]OUT_TransportEnergyCons!$B$4:$B$10000)*1,ISNUMBER(SEARCH("T_b_c*h2o*s3",[1]OUT_TransportEnergyCons!$A$4:$A$10000))*1,[1]OUT_TransportEnergyCons!I$4:I$10000))*1000)</f>
        <v>0</v>
      </c>
      <c r="L1986" s="1" cm="1">
        <f t="array" ref="L1986">IF((SUMPRODUCT(("Var_Cap"=[1]OUT_TransportEnergyCons!$B$4:$B$10000)*1,ISNUMBER(SEARCH("T_b_c*h2o*s3",[1]OUT_TransportEnergyCons!$A$4:$A$10000))*1,[1]OUT_TransportEnergyCons!J$4:J$10000))*1000&lt;0,0,(SUMPRODUCT(("Var_Cap"=[1]OUT_TransportEnergyCons!$B$4:$B$10000)*1,ISNUMBER(SEARCH("T_b_c*h2o*s3",[1]OUT_TransportEnergyCons!$A$4:$A$10000))*1,[1]OUT_TransportEnergyCons!J$4:J$10000))*1000)</f>
        <v>0</v>
      </c>
      <c r="M1986" s="1" cm="1">
        <f t="array" ref="M1986">IF((SUMPRODUCT(("Var_Cap"=[1]OUT_TransportEnergyCons!$B$4:$B$10000)*1,ISNUMBER(SEARCH("T_b_c*h2o*s3",[1]OUT_TransportEnergyCons!$A$4:$A$10000))*1,[1]OUT_TransportEnergyCons!K$4:K$10000))*1000&lt;0,0,(SUMPRODUCT(("Var_Cap"=[1]OUT_TransportEnergyCons!$B$4:$B$10000)*1,ISNUMBER(SEARCH("T_b_c*h2o*s3",[1]OUT_TransportEnergyCons!$A$4:$A$10000))*1,[1]OUT_TransportEnergyCons!K$4:K$10000))*1000)</f>
        <v>0</v>
      </c>
      <c r="N1986" s="1" cm="1">
        <f t="array" ref="N1986">IF((SUMPRODUCT(("Var_Cap"=[1]OUT_TransportEnergyCons!$B$4:$B$10000)*1,ISNUMBER(SEARCH("T_b_c*h2o*s3",[1]OUT_TransportEnergyCons!$A$4:$A$10000))*1,[1]OUT_TransportEnergyCons!L$4:L$10000))*1000&lt;0,0,(SUMPRODUCT(("Var_Cap"=[1]OUT_TransportEnergyCons!$B$4:$B$10000)*1,ISNUMBER(SEARCH("T_b_c*h2o*s3",[1]OUT_TransportEnergyCons!$A$4:$A$10000))*1,[1]OUT_TransportEnergyCons!L$4:L$10000))*1000)</f>
        <v>0</v>
      </c>
      <c r="O1986" s="1" cm="1">
        <f t="array" ref="O1986">IF((SUMPRODUCT(("Var_Cap"=[1]OUT_TransportEnergyCons!$B$4:$B$10000)*1,ISNUMBER(SEARCH("T_b_c*h2o*s3",[1]OUT_TransportEnergyCons!$A$4:$A$10000))*1,[1]OUT_TransportEnergyCons!M$4:M$10000))*1000&lt;0,0,(SUMPRODUCT(("Var_Cap"=[1]OUT_TransportEnergyCons!$B$4:$B$10000)*1,ISNUMBER(SEARCH("T_b_c*h2o*s3",[1]OUT_TransportEnergyCons!$A$4:$A$10000))*1,[1]OUT_TransportEnergyCons!M$4:M$10000))*1000)</f>
        <v>0</v>
      </c>
      <c r="P1986" s="1" cm="1">
        <f t="array" ref="P1986">IF((SUMPRODUCT(("Var_Cap"=[1]OUT_TransportEnergyCons!$B$4:$B$10000)*1,ISNUMBER(SEARCH("T_b_c*h2o*s3",[1]OUT_TransportEnergyCons!$A$4:$A$10000))*1,[1]OUT_TransportEnergyCons!N$4:N$10000))*1000&lt;0,0,(SUMPRODUCT(("Var_Cap"=[1]OUT_TransportEnergyCons!$B$4:$B$10000)*1,ISNUMBER(SEARCH("T_b_c*h2o*s3",[1]OUT_TransportEnergyCons!$A$4:$A$10000))*1,[1]OUT_TransportEnergyCons!N$4:N$10000))*1000)</f>
        <v>0</v>
      </c>
      <c r="Q1986" s="1" cm="1">
        <f t="array" ref="Q1986">IF((SUMPRODUCT(("Var_Cap"=[1]OUT_TransportEnergyCons!$B$4:$B$10000)*1,ISNUMBER(SEARCH("T_b_c*h2o*s3",[1]OUT_TransportEnergyCons!$A$4:$A$10000))*1,[1]OUT_TransportEnergyCons!O$4:O$10000))*1000&lt;0,0,(SUMPRODUCT(("Var_Cap"=[1]OUT_TransportEnergyCons!$B$4:$B$10000)*1,ISNUMBER(SEARCH("T_b_c*h2o*s3",[1]OUT_TransportEnergyCons!$A$4:$A$10000))*1,[1]OUT_TransportEnergyCons!O$4:O$10000))*1000)</f>
        <v>0</v>
      </c>
      <c r="S1986" s="3"/>
    </row>
    <row r="1987" spans="2:19" x14ac:dyDescent="0.5">
      <c r="B1987" s="5" t="str">
        <f t="shared" si="2165"/>
        <v>SPS1</v>
      </c>
      <c r="C1987" s="5" t="str">
        <f t="shared" si="2166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[1]OUT_TransportEnergyCons!$B$4:$B$10000)*1,ISNUMBER(SEARCH("T_b_c*h2o*s4",[1]OUT_TransportEnergyCons!$A$4:$A$10000))*1,[1]OUT_TransportEnergyCons!H$4:H$10000))*1000&lt;0,0,(SUMPRODUCT(("Var_Cap"=[1]OUT_TransportEnergyCons!$B$4:$B$10000)*1,ISNUMBER(SEARCH("T_b_c*h2o*s4",[1]OUT_TransportEnergyCons!$A$4:$A$10000))*1,[1]OUT_TransportEnergyCons!H$4:H$10000))*1000)</f>
        <v>0</v>
      </c>
      <c r="K1987" s="1" cm="1">
        <f t="array" ref="K1987">IF((SUMPRODUCT(("Var_Cap"=[1]OUT_TransportEnergyCons!$B$4:$B$10000)*1,ISNUMBER(SEARCH("T_b_c*h2o*s4",[1]OUT_TransportEnergyCons!$A$4:$A$10000))*1,[1]OUT_TransportEnergyCons!I$4:I$10000))*1000&lt;0,0,(SUMPRODUCT(("Var_Cap"=[1]OUT_TransportEnergyCons!$B$4:$B$10000)*1,ISNUMBER(SEARCH("T_b_c*h2o*s4",[1]OUT_TransportEnergyCons!$A$4:$A$10000))*1,[1]OUT_TransportEnergyCons!I$4:I$10000))*1000)</f>
        <v>0</v>
      </c>
      <c r="L1987" s="1" cm="1">
        <f t="array" ref="L1987">IF((SUMPRODUCT(("Var_Cap"=[1]OUT_TransportEnergyCons!$B$4:$B$10000)*1,ISNUMBER(SEARCH("T_b_c*h2o*s4",[1]OUT_TransportEnergyCons!$A$4:$A$10000))*1,[1]OUT_TransportEnergyCons!J$4:J$10000))*1000&lt;0,0,(SUMPRODUCT(("Var_Cap"=[1]OUT_TransportEnergyCons!$B$4:$B$10000)*1,ISNUMBER(SEARCH("T_b_c*h2o*s4",[1]OUT_TransportEnergyCons!$A$4:$A$10000))*1,[1]OUT_TransportEnergyCons!J$4:J$10000))*1000)</f>
        <v>0</v>
      </c>
      <c r="M1987" s="1" cm="1">
        <f t="array" ref="M1987">IF((SUMPRODUCT(("Var_Cap"=[1]OUT_TransportEnergyCons!$B$4:$B$10000)*1,ISNUMBER(SEARCH("T_b_c*h2o*s4",[1]OUT_TransportEnergyCons!$A$4:$A$10000))*1,[1]OUT_TransportEnergyCons!K$4:K$10000))*1000&lt;0,0,(SUMPRODUCT(("Var_Cap"=[1]OUT_TransportEnergyCons!$B$4:$B$10000)*1,ISNUMBER(SEARCH("T_b_c*h2o*s4",[1]OUT_TransportEnergyCons!$A$4:$A$10000))*1,[1]OUT_TransportEnergyCons!K$4:K$10000))*1000)</f>
        <v>0</v>
      </c>
      <c r="N1987" s="1" cm="1">
        <f t="array" ref="N1987">IF((SUMPRODUCT(("Var_Cap"=[1]OUT_TransportEnergyCons!$B$4:$B$10000)*1,ISNUMBER(SEARCH("T_b_c*h2o*s4",[1]OUT_TransportEnergyCons!$A$4:$A$10000))*1,[1]OUT_TransportEnergyCons!L$4:L$10000))*1000&lt;0,0,(SUMPRODUCT(("Var_Cap"=[1]OUT_TransportEnergyCons!$B$4:$B$10000)*1,ISNUMBER(SEARCH("T_b_c*h2o*s4",[1]OUT_TransportEnergyCons!$A$4:$A$10000))*1,[1]OUT_TransportEnergyCons!L$4:L$10000))*1000)</f>
        <v>0</v>
      </c>
      <c r="O1987" s="1" cm="1">
        <f t="array" ref="O1987">IF((SUMPRODUCT(("Var_Cap"=[1]OUT_TransportEnergyCons!$B$4:$B$10000)*1,ISNUMBER(SEARCH("T_b_c*h2o*s4",[1]OUT_TransportEnergyCons!$A$4:$A$10000))*1,[1]OUT_TransportEnergyCons!M$4:M$10000))*1000&lt;0,0,(SUMPRODUCT(("Var_Cap"=[1]OUT_TransportEnergyCons!$B$4:$B$10000)*1,ISNUMBER(SEARCH("T_b_c*h2o*s4",[1]OUT_TransportEnergyCons!$A$4:$A$10000))*1,[1]OUT_TransportEnergyCons!M$4:M$10000))*1000)</f>
        <v>0</v>
      </c>
      <c r="P1987" s="1" cm="1">
        <f t="array" ref="P1987">IF((SUMPRODUCT(("Var_Cap"=[1]OUT_TransportEnergyCons!$B$4:$B$10000)*1,ISNUMBER(SEARCH("T_b_c*h2o*s4",[1]OUT_TransportEnergyCons!$A$4:$A$10000))*1,[1]OUT_TransportEnergyCons!N$4:N$10000))*1000&lt;0,0,(SUMPRODUCT(("Var_Cap"=[1]OUT_TransportEnergyCons!$B$4:$B$10000)*1,ISNUMBER(SEARCH("T_b_c*h2o*s4",[1]OUT_TransportEnergyCons!$A$4:$A$10000))*1,[1]OUT_TransportEnergyCons!N$4:N$10000))*1000)</f>
        <v>0</v>
      </c>
      <c r="Q1987" s="1" cm="1">
        <f t="array" ref="Q1987">IF((SUMPRODUCT(("Var_Cap"=[1]OUT_TransportEnergyCons!$B$4:$B$10000)*1,ISNUMBER(SEARCH("T_b_c*h2o*s4",[1]OUT_TransportEnergyCons!$A$4:$A$10000))*1,[1]OUT_TransportEnergyCons!O$4:O$10000))*1000&lt;0,0,(SUMPRODUCT(("Var_Cap"=[1]OUT_TransportEnergyCons!$B$4:$B$10000)*1,ISNUMBER(SEARCH("T_b_c*h2o*s4",[1]OUT_TransportEnergyCons!$A$4:$A$10000))*1,[1]OUT_TransportEnergyCons!O$4:O$10000))*1000)</f>
        <v>0</v>
      </c>
      <c r="S1987" s="3"/>
    </row>
    <row r="1988" spans="2:19" x14ac:dyDescent="0.5">
      <c r="B1988" s="5" t="str">
        <f t="shared" si="2165"/>
        <v>SPS1</v>
      </c>
      <c r="C1988" s="5" t="str">
        <f t="shared" si="2166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2.6033311042883496E-3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3.0696516857959201E-3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1.106641212787986E-5</v>
      </c>
      <c r="J1988" s="1" cm="1">
        <f t="array" ref="J1988">(SUMPRODUCT(("Var_Cap"=[1]OUT_TransportEnergyCons!$B$4:$B$10000)*1,ISNUMBER(SEARCH("T_b_c*hyb*DSL*s1",[1]OUT_TransportEnergyCons!$A$4:$A$10000))*1,[1]OUT_TransportEnergyCons!H$4:H$10000))*1000</f>
        <v>2.2263933222379677E-6</v>
      </c>
      <c r="K1988" s="1" cm="1">
        <f t="array" ref="K1988">(SUMPRODUCT(("Var_Cap"=[1]OUT_TransportEnergyCons!$B$4:$B$10000)*1,ISNUMBER(SEARCH("T_b_c*hyb*DSL*s1",[1]OUT_TransportEnergyCons!$A$4:$A$10000))*1,[1]OUT_TransportEnergyCons!I$4:I$10000))*1000</f>
        <v>0</v>
      </c>
      <c r="L1988" s="1" cm="1">
        <f t="array" ref="L1988">(SUMPRODUCT(("Var_Cap"=[1]OUT_TransportEnergyCons!$B$4:$B$10000)*1,ISNUMBER(SEARCH("T_b_c*hyb*DSL*s1",[1]OUT_TransportEnergyCons!$A$4:$A$10000))*1,[1]OUT_TransportEnergyCons!J$4:J$10000))*1000</f>
        <v>1.6921095071359901E-3</v>
      </c>
      <c r="M1988" s="1" cm="1">
        <f t="array" ref="M1988">(SUMPRODUCT(("Var_Cap"=[1]OUT_TransportEnergyCons!$B$4:$B$10000)*1,ISNUMBER(SEARCH("T_b_c*hyb*DSL*s1",[1]OUT_TransportEnergyCons!$A$4:$A$10000))*1,[1]OUT_TransportEnergyCons!K$4:K$10000))*1000</f>
        <v>1.6921095071359901E-3</v>
      </c>
      <c r="N1988" s="1" cm="1">
        <f t="array" ref="N1988">(SUMPRODUCT(("Var_Cap"=[1]OUT_TransportEnergyCons!$B$4:$B$10000)*1,ISNUMBER(SEARCH("T_b_c*hyb*DSL*s1",[1]OUT_TransportEnergyCons!$A$4:$A$10000))*1,[1]OUT_TransportEnergyCons!L$4:L$10000))*1000</f>
        <v>0</v>
      </c>
      <c r="O1988" s="1" cm="1">
        <f t="array" ref="O1988">(SUMPRODUCT(("Var_Cap"=[1]OUT_TransportEnergyCons!$B$4:$B$10000)*1,ISNUMBER(SEARCH("T_b_c*hyb*DSL*s1",[1]OUT_TransportEnergyCons!$A$4:$A$10000))*1,[1]OUT_TransportEnergyCons!M$4:M$10000))*1000</f>
        <v>0</v>
      </c>
      <c r="P1988" s="1" cm="1">
        <f t="array" ref="P1988">(SUMPRODUCT(("Var_Cap"=[1]OUT_TransportEnergyCons!$B$4:$B$10000)*1,ISNUMBER(SEARCH("T_b_c*hyb*DSL*s1",[1]OUT_TransportEnergyCons!$A$4:$A$10000))*1,[1]OUT_TransportEnergyCons!N$4:N$10000))*1000</f>
        <v>0</v>
      </c>
      <c r="Q1988" s="1" cm="1">
        <f t="array" ref="Q1988">(SUMPRODUCT(("Var_Cap"=[1]OUT_TransportEnergyCons!$B$4:$B$10000)*1,ISNUMBER(SEARCH("T_b_c*hyb*DSL*s1",[1]OUT_TransportEnergyCons!$A$4:$A$10000))*1,[1]OUT_TransportEnergyCons!O$4:O$10000))*1000</f>
        <v>0</v>
      </c>
      <c r="S1988" s="3"/>
    </row>
    <row r="1989" spans="2:19" x14ac:dyDescent="0.5">
      <c r="B1989" s="5" t="str">
        <f t="shared" si="2165"/>
        <v>SPS1</v>
      </c>
      <c r="C1989" s="5" t="str">
        <f t="shared" si="2166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1.74403080779741E-4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3.4091073586058697E-4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2.8718524166929549E-6</v>
      </c>
      <c r="J1989" s="1" cm="1">
        <f t="array" ref="J1989">(SUMPRODUCT(("Var_Cap"=[1]OUT_TransportEnergyCons!$B$4:$B$10000)*1,ISNUMBER(SEARCH("T_b_c*hyb*DSL*s2",[1]OUT_TransportEnergyCons!$A$4:$A$10000))*1,[1]OUT_TransportEnergyCons!H$4:H$10000))*1000</f>
        <v>4.7012134566929429E-7</v>
      </c>
      <c r="K1989" s="1" cm="1">
        <f t="array" ref="K1989">(SUMPRODUCT(("Var_Cap"=[1]OUT_TransportEnergyCons!$B$4:$B$10000)*1,ISNUMBER(SEARCH("T_b_c*hyb*DSL*s2",[1]OUT_TransportEnergyCons!$A$4:$A$10000))*1,[1]OUT_TransportEnergyCons!I$4:I$10000))*1000</f>
        <v>0</v>
      </c>
      <c r="L1989" s="1" cm="1">
        <f t="array" ref="L1989">(SUMPRODUCT(("Var_Cap"=[1]OUT_TransportEnergyCons!$B$4:$B$10000)*1,ISNUMBER(SEARCH("T_b_c*hyb*DSL*s2",[1]OUT_TransportEnergyCons!$A$4:$A$10000))*1,[1]OUT_TransportEnergyCons!J$4:J$10000))*1000</f>
        <v>0</v>
      </c>
      <c r="M1989" s="1" cm="1">
        <f t="array" ref="M1989">(SUMPRODUCT(("Var_Cap"=[1]OUT_TransportEnergyCons!$B$4:$B$10000)*1,ISNUMBER(SEARCH("T_b_c*hyb*DSL*s2",[1]OUT_TransportEnergyCons!$A$4:$A$10000))*1,[1]OUT_TransportEnergyCons!K$4:K$10000))*1000</f>
        <v>0</v>
      </c>
      <c r="N1989" s="1" cm="1">
        <f t="array" ref="N1989">(SUMPRODUCT(("Var_Cap"=[1]OUT_TransportEnergyCons!$B$4:$B$10000)*1,ISNUMBER(SEARCH("T_b_c*hyb*DSL*s2",[1]OUT_TransportEnergyCons!$A$4:$A$10000))*1,[1]OUT_TransportEnergyCons!L$4:L$10000))*1000</f>
        <v>0</v>
      </c>
      <c r="O1989" s="1" cm="1">
        <f t="array" ref="O1989">(SUMPRODUCT(("Var_Cap"=[1]OUT_TransportEnergyCons!$B$4:$B$10000)*1,ISNUMBER(SEARCH("T_b_c*hyb*DSL*s2",[1]OUT_TransportEnergyCons!$A$4:$A$10000))*1,[1]OUT_TransportEnergyCons!M$4:M$10000))*1000</f>
        <v>0</v>
      </c>
      <c r="P1989" s="1" cm="1">
        <f t="array" ref="P1989">(SUMPRODUCT(("Var_Cap"=[1]OUT_TransportEnergyCons!$B$4:$B$10000)*1,ISNUMBER(SEARCH("T_b_c*hyb*DSL*s2",[1]OUT_TransportEnergyCons!$A$4:$A$10000))*1,[1]OUT_TransportEnergyCons!N$4:N$10000))*1000</f>
        <v>0</v>
      </c>
      <c r="Q1989" s="1" cm="1">
        <f t="array" ref="Q1989">(SUMPRODUCT(("Var_Cap"=[1]OUT_TransportEnergyCons!$B$4:$B$10000)*1,ISNUMBER(SEARCH("T_b_c*hyb*DSL*s2",[1]OUT_TransportEnergyCons!$A$4:$A$10000))*1,[1]OUT_TransportEnergyCons!O$4:O$10000))*1000</f>
        <v>0</v>
      </c>
      <c r="S1989" s="3"/>
    </row>
    <row r="1990" spans="2:19" x14ac:dyDescent="0.5">
      <c r="B1990" s="5" t="str">
        <f t="shared" si="2165"/>
        <v>SPS1</v>
      </c>
      <c r="C1990" s="5" t="str">
        <f t="shared" si="2166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8.0701286296765008E-5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1.4795702058574E-4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4.2000984616900609E-7</v>
      </c>
      <c r="J1990" s="1" cm="1">
        <f t="array" ref="J1990">(SUMPRODUCT(("Var_Cap"=[1]OUT_TransportEnergyCons!$B$4:$B$10000)*1,ISNUMBER(SEARCH("T_b_c*hyb*DSL*s3",[1]OUT_TransportEnergyCons!$A$4:$A$10000))*1,[1]OUT_TransportEnergyCons!H$4:H$10000))*1000</f>
        <v>0</v>
      </c>
      <c r="K1990" s="1" cm="1">
        <f t="array" ref="K1990">(SUMPRODUCT(("Var_Cap"=[1]OUT_TransportEnergyCons!$B$4:$B$10000)*1,ISNUMBER(SEARCH("T_b_c*hyb*DSL*s3",[1]OUT_TransportEnergyCons!$A$4:$A$10000))*1,[1]OUT_TransportEnergyCons!I$4:I$10000))*1000</f>
        <v>0</v>
      </c>
      <c r="L1990" s="1" cm="1">
        <f t="array" ref="L1990">(SUMPRODUCT(("Var_Cap"=[1]OUT_TransportEnergyCons!$B$4:$B$10000)*1,ISNUMBER(SEARCH("T_b_c*hyb*DSL*s3",[1]OUT_TransportEnergyCons!$A$4:$A$10000))*1,[1]OUT_TransportEnergyCons!J$4:J$10000))*1000</f>
        <v>0</v>
      </c>
      <c r="M1990" s="1" cm="1">
        <f t="array" ref="M1990">(SUMPRODUCT(("Var_Cap"=[1]OUT_TransportEnergyCons!$B$4:$B$10000)*1,ISNUMBER(SEARCH("T_b_c*hyb*DSL*s3",[1]OUT_TransportEnergyCons!$A$4:$A$10000))*1,[1]OUT_TransportEnergyCons!K$4:K$10000))*1000</f>
        <v>0</v>
      </c>
      <c r="N1990" s="1" cm="1">
        <f t="array" ref="N1990">(SUMPRODUCT(("Var_Cap"=[1]OUT_TransportEnergyCons!$B$4:$B$10000)*1,ISNUMBER(SEARCH("T_b_c*hyb*DSL*s3",[1]OUT_TransportEnergyCons!$A$4:$A$10000))*1,[1]OUT_TransportEnergyCons!L$4:L$10000))*1000</f>
        <v>0</v>
      </c>
      <c r="O1990" s="1" cm="1">
        <f t="array" ref="O1990">(SUMPRODUCT(("Var_Cap"=[1]OUT_TransportEnergyCons!$B$4:$B$10000)*1,ISNUMBER(SEARCH("T_b_c*hyb*DSL*s3",[1]OUT_TransportEnergyCons!$A$4:$A$10000))*1,[1]OUT_TransportEnergyCons!M$4:M$10000))*1000</f>
        <v>0</v>
      </c>
      <c r="P1990" s="1" cm="1">
        <f t="array" ref="P1990">(SUMPRODUCT(("Var_Cap"=[1]OUT_TransportEnergyCons!$B$4:$B$10000)*1,ISNUMBER(SEARCH("T_b_c*hyb*DSL*s3",[1]OUT_TransportEnergyCons!$A$4:$A$10000))*1,[1]OUT_TransportEnergyCons!N$4:N$10000))*1000</f>
        <v>0</v>
      </c>
      <c r="Q1990" s="1" cm="1">
        <f t="array" ref="Q1990">(SUMPRODUCT(("Var_Cap"=[1]OUT_TransportEnergyCons!$B$4:$B$10000)*1,ISNUMBER(SEARCH("T_b_c*hyb*DSL*s3",[1]OUT_TransportEnergyCons!$A$4:$A$10000))*1,[1]OUT_TransportEnergyCons!O$4:O$10000))*1000</f>
        <v>0</v>
      </c>
      <c r="S1990" s="3"/>
    </row>
    <row r="1991" spans="2:19" x14ac:dyDescent="0.5">
      <c r="B1991" s="5" t="str">
        <f t="shared" si="2165"/>
        <v>SPS1</v>
      </c>
      <c r="C1991" s="5" t="str">
        <f t="shared" si="2166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1.9092248585616501E-5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3.47412697099185E-5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1.1923279279532009E-6</v>
      </c>
      <c r="J1991" s="1" cm="1">
        <f t="array" ref="J1991">IF((SUMPRODUCT(("Var_Cap"=[1]OUT_TransportEnergyCons!$B$4:$B$10000)*1,ISNUMBER(SEARCH("T_b_c*hyb*DSL*s4",[1]OUT_TransportEnergyCons!$A$4:$A$10000))*1,[1]OUT_TransportEnergyCons!H$4:H$10000))*1000&lt;0,0,(SUMPRODUCT(("Var_Cap"=[1]OUT_TransportEnergyCons!$B$4:$B$10000)*1,ISNUMBER(SEARCH("T_b_c*hyb*DSL*s4",[1]OUT_TransportEnergyCons!$A$4:$A$10000))*1,[1]OUT_TransportEnergyCons!H$4:H$10000))*1000)</f>
        <v>0</v>
      </c>
      <c r="K1991" s="1" cm="1">
        <f t="array" ref="K1991">IF((SUMPRODUCT(("Var_Cap"=[1]OUT_TransportEnergyCons!$B$4:$B$10000)*1,ISNUMBER(SEARCH("T_b_c*hyb*DSL*s4",[1]OUT_TransportEnergyCons!$A$4:$A$10000))*1,[1]OUT_TransportEnergyCons!I$4:I$10000))*1000&lt;0,0,(SUMPRODUCT(("Var_Cap"=[1]OUT_TransportEnergyCons!$B$4:$B$10000)*1,ISNUMBER(SEARCH("T_b_c*hyb*DSL*s4",[1]OUT_TransportEnergyCons!$A$4:$A$10000))*1,[1]OUT_TransportEnergyCons!I$4:I$10000))*1000)</f>
        <v>0</v>
      </c>
      <c r="L1991" s="1" cm="1">
        <f t="array" ref="L1991">IF((SUMPRODUCT(("Var_Cap"=[1]OUT_TransportEnergyCons!$B$4:$B$10000)*1,ISNUMBER(SEARCH("T_b_c*hyb*DSL*s4",[1]OUT_TransportEnergyCons!$A$4:$A$10000))*1,[1]OUT_TransportEnergyCons!J$4:J$10000))*1000&lt;0,0,(SUMPRODUCT(("Var_Cap"=[1]OUT_TransportEnergyCons!$B$4:$B$10000)*1,ISNUMBER(SEARCH("T_b_c*hyb*DSL*s4",[1]OUT_TransportEnergyCons!$A$4:$A$10000))*1,[1]OUT_TransportEnergyCons!J$4:J$10000))*1000)</f>
        <v>0</v>
      </c>
      <c r="M1991" s="1" cm="1">
        <f t="array" ref="M1991">IF((SUMPRODUCT(("Var_Cap"=[1]OUT_TransportEnergyCons!$B$4:$B$10000)*1,ISNUMBER(SEARCH("T_b_c*hyb*DSL*s4",[1]OUT_TransportEnergyCons!$A$4:$A$10000))*1,[1]OUT_TransportEnergyCons!K$4:K$10000))*1000&lt;0,0,(SUMPRODUCT(("Var_Cap"=[1]OUT_TransportEnergyCons!$B$4:$B$10000)*1,ISNUMBER(SEARCH("T_b_c*hyb*DSL*s4",[1]OUT_TransportEnergyCons!$A$4:$A$10000))*1,[1]OUT_TransportEnergyCons!K$4:K$10000))*1000)</f>
        <v>0</v>
      </c>
      <c r="N1991" s="1" cm="1">
        <f t="array" ref="N1991">IF((SUMPRODUCT(("Var_Cap"=[1]OUT_TransportEnergyCons!$B$4:$B$10000)*1,ISNUMBER(SEARCH("T_b_c*hyb*DSL*s4",[1]OUT_TransportEnergyCons!$A$4:$A$10000))*1,[1]OUT_TransportEnergyCons!L$4:L$10000))*1000&lt;0,0,(SUMPRODUCT(("Var_Cap"=[1]OUT_TransportEnergyCons!$B$4:$B$10000)*1,ISNUMBER(SEARCH("T_b_c*hyb*DSL*s4",[1]OUT_TransportEnergyCons!$A$4:$A$10000))*1,[1]OUT_TransportEnergyCons!L$4:L$10000))*1000)</f>
        <v>0</v>
      </c>
      <c r="O1991" s="1" cm="1">
        <f t="array" ref="O1991">IF((SUMPRODUCT(("Var_Cap"=[1]OUT_TransportEnergyCons!$B$4:$B$10000)*1,ISNUMBER(SEARCH("T_b_c*hyb*DSL*s4",[1]OUT_TransportEnergyCons!$A$4:$A$10000))*1,[1]OUT_TransportEnergyCons!M$4:M$10000))*1000&lt;0,0,(SUMPRODUCT(("Var_Cap"=[1]OUT_TransportEnergyCons!$B$4:$B$10000)*1,ISNUMBER(SEARCH("T_b_c*hyb*DSL*s4",[1]OUT_TransportEnergyCons!$A$4:$A$10000))*1,[1]OUT_TransportEnergyCons!M$4:M$10000))*1000)</f>
        <v>0</v>
      </c>
      <c r="P1991" s="1" cm="1">
        <f t="array" ref="P1991">IF((SUMPRODUCT(("Var_Cap"=[1]OUT_TransportEnergyCons!$B$4:$B$10000)*1,ISNUMBER(SEARCH("T_b_c*hyb*DSL*s4",[1]OUT_TransportEnergyCons!$A$4:$A$10000))*1,[1]OUT_TransportEnergyCons!N$4:N$10000))*1000&lt;0,0,(SUMPRODUCT(("Var_Cap"=[1]OUT_TransportEnergyCons!$B$4:$B$10000)*1,ISNUMBER(SEARCH("T_b_c*hyb*DSL*s4",[1]OUT_TransportEnergyCons!$A$4:$A$10000))*1,[1]OUT_TransportEnergyCons!N$4:N$10000))*1000)</f>
        <v>0</v>
      </c>
      <c r="Q1991" s="1" cm="1">
        <f t="array" ref="Q1991">IF((SUMPRODUCT(("Var_Cap"=[1]OUT_TransportEnergyCons!$B$4:$B$10000)*1,ISNUMBER(SEARCH("T_b_c*hyb*DSL*s4",[1]OUT_TransportEnergyCons!$A$4:$A$10000))*1,[1]OUT_TransportEnergyCons!O$4:O$10000))*1000&lt;0,0,(SUMPRODUCT(("Var_Cap"=[1]OUT_TransportEnergyCons!$B$4:$B$10000)*1,ISNUMBER(SEARCH("T_b_c*hyb*DSL*s4",[1]OUT_TransportEnergyCons!$A$4:$A$10000))*1,[1]OUT_TransportEnergyCons!O$4:O$10000))*1000)</f>
        <v>0</v>
      </c>
      <c r="S1991" s="3"/>
    </row>
    <row r="1992" spans="2:19" x14ac:dyDescent="0.5">
      <c r="B1992" s="5" t="str">
        <f t="shared" si="2165"/>
        <v>SPS1</v>
      </c>
      <c r="C1992" s="5" t="str">
        <f t="shared" si="2166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1.3033198107382686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0.65166023760633496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(SUMPRODUCT(("Var_Cap"=[1]OUT_TransportEnergyCons!$B$4:$B$10000)*1,ISNUMBER(SEARCH("T_b_c*ICE*DSL*ext",[1]OUT_TransportEnergyCons!$A$4:$A$10000))*1,[1]OUT_TransportEnergyCons!H$4:H$10000))*1000</f>
        <v>0</v>
      </c>
      <c r="K1992" s="1" cm="1">
        <f t="array" ref="K1992">(SUMPRODUCT(("Var_Cap"=[1]OUT_TransportEnergyCons!$B$4:$B$10000)*1,ISNUMBER(SEARCH("T_b_c*ICE*DSL*ext",[1]OUT_TransportEnergyCons!$A$4:$A$10000))*1,[1]OUT_TransportEnergyCons!I$4:I$10000))*1000</f>
        <v>0</v>
      </c>
      <c r="L1992" s="1" cm="1">
        <f t="array" ref="L1992">(SUMPRODUCT(("Var_Cap"=[1]OUT_TransportEnergyCons!$B$4:$B$10000)*1,ISNUMBER(SEARCH("T_b_c*ICE*DSL*ext",[1]OUT_TransportEnergyCons!$A$4:$A$10000))*1,[1]OUT_TransportEnergyCons!J$4:J$10000))*1000</f>
        <v>0</v>
      </c>
      <c r="M1992" s="1" cm="1">
        <f t="array" ref="M1992">(SUMPRODUCT(("Var_Cap"=[1]OUT_TransportEnergyCons!$B$4:$B$10000)*1,ISNUMBER(SEARCH("T_b_c*ICE*DSL*ext",[1]OUT_TransportEnergyCons!$A$4:$A$10000))*1,[1]OUT_TransportEnergyCons!K$4:K$10000))*1000</f>
        <v>0</v>
      </c>
      <c r="N1992" s="1" cm="1">
        <f t="array" ref="N1992">(SUMPRODUCT(("Var_Cap"=[1]OUT_TransportEnergyCons!$B$4:$B$10000)*1,ISNUMBER(SEARCH("T_b_c*ICE*DSL*ext",[1]OUT_TransportEnergyCons!$A$4:$A$10000))*1,[1]OUT_TransportEnergyCons!L$4:L$10000))*1000</f>
        <v>0</v>
      </c>
      <c r="O1992" s="1" cm="1">
        <f t="array" ref="O1992">(SUMPRODUCT(("Var_Cap"=[1]OUT_TransportEnergyCons!$B$4:$B$10000)*1,ISNUMBER(SEARCH("T_b_c*ICE*DSL*ext",[1]OUT_TransportEnergyCons!$A$4:$A$10000))*1,[1]OUT_TransportEnergyCons!M$4:M$10000))*1000</f>
        <v>0</v>
      </c>
      <c r="P1992" s="1" cm="1">
        <f t="array" ref="P1992">(SUMPRODUCT(("Var_Cap"=[1]OUT_TransportEnergyCons!$B$4:$B$10000)*1,ISNUMBER(SEARCH("T_b_c*ICE*DSL*ext",[1]OUT_TransportEnergyCons!$A$4:$A$10000))*1,[1]OUT_TransportEnergyCons!N$4:N$10000))*1000</f>
        <v>0</v>
      </c>
      <c r="Q1992" s="1" cm="1">
        <f t="array" ref="Q1992">(SUMPRODUCT(("Var_Cap"=[1]OUT_TransportEnergyCons!$B$4:$B$10000)*1,ISNUMBER(SEARCH("T_b_c*ICE*DSL*ext",[1]OUT_TransportEnergyCons!$A$4:$A$10000))*1,[1]OUT_TransportEnergyCons!O$4:O$10000))*1000</f>
        <v>0</v>
      </c>
      <c r="S1992" s="3"/>
    </row>
    <row r="1993" spans="2:19" x14ac:dyDescent="0.5">
      <c r="B1993" s="5" t="str">
        <f t="shared" si="2165"/>
        <v>SPS1</v>
      </c>
      <c r="C1993" s="5" t="str">
        <f t="shared" si="2166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0.85319453907532294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1.027372892127854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1.6590743230856013E-2</v>
      </c>
      <c r="J1993" s="1" cm="1">
        <f t="array" ref="J1993">IF((SUMPRODUCT(("Var_Cap"=[1]OUT_TransportEnergyCons!$B$4:$B$10000)*1,ISNUMBER(SEARCH("T_b_c*ICE*DSL*s1",[1]OUT_TransportEnergyCons!$A$4:$A$10000))*1,[1]OUT_TransportEnergyCons!H$4:H$10000))*1000&lt;0,0,(SUMPRODUCT(("Var_Cap"=[1]OUT_TransportEnergyCons!$B$4:$B$10000)*1,ISNUMBER(SEARCH("T_b_c*ICE*DSL*s1",[1]OUT_TransportEnergyCons!$A$4:$A$10000))*1,[1]OUT_TransportEnergyCons!H$4:H$10000))*1000)</f>
        <v>4.3927337794118877E-6</v>
      </c>
      <c r="K1993" s="1" cm="1">
        <f t="array" ref="K1993">IF((SUMPRODUCT(("Var_Cap"=[1]OUT_TransportEnergyCons!$B$4:$B$10000)*1,ISNUMBER(SEARCH("T_b_c*ICE*DSL*s1",[1]OUT_TransportEnergyCons!$A$4:$A$10000))*1,[1]OUT_TransportEnergyCons!I$4:I$10000))*1000&lt;0,0,(SUMPRODUCT(("Var_Cap"=[1]OUT_TransportEnergyCons!$B$4:$B$10000)*1,ISNUMBER(SEARCH("T_b_c*ICE*DSL*s1",[1]OUT_TransportEnergyCons!$A$4:$A$10000))*1,[1]OUT_TransportEnergyCons!I$4:I$10000))*1000)</f>
        <v>9.5474444782309868E-7</v>
      </c>
      <c r="L1993" s="1" cm="1">
        <f t="array" ref="L1993">IF((SUMPRODUCT(("Var_Cap"=[1]OUT_TransportEnergyCons!$B$4:$B$10000)*1,ISNUMBER(SEARCH("T_b_c*ICE*DSL*s1",[1]OUT_TransportEnergyCons!$A$4:$A$10000))*1,[1]OUT_TransportEnergyCons!J$4:J$10000))*1000&lt;0,0,(SUMPRODUCT(("Var_Cap"=[1]OUT_TransportEnergyCons!$B$4:$B$10000)*1,ISNUMBER(SEARCH("T_b_c*ICE*DSL*s1",[1]OUT_TransportEnergyCons!$A$4:$A$10000))*1,[1]OUT_TransportEnergyCons!J$4:J$10000))*1000)</f>
        <v>1.1745694685471399E-5</v>
      </c>
      <c r="M1993" s="1" cm="1">
        <f t="array" ref="M1993">IF((SUMPRODUCT(("Var_Cap"=[1]OUT_TransportEnergyCons!$B$4:$B$10000)*1,ISNUMBER(SEARCH("T_b_c*ICE*DSL*s1",[1]OUT_TransportEnergyCons!$A$4:$A$10000))*1,[1]OUT_TransportEnergyCons!K$4:K$10000))*1000&lt;0,0,(SUMPRODUCT(("Var_Cap"=[1]OUT_TransportEnergyCons!$B$4:$B$10000)*1,ISNUMBER(SEARCH("T_b_c*ICE*DSL*s1",[1]OUT_TransportEnergyCons!$A$4:$A$10000))*1,[1]OUT_TransportEnergyCons!K$4:K$10000))*1000)</f>
        <v>1.1745694685471399E-5</v>
      </c>
      <c r="N1993" s="1" cm="1">
        <f t="array" ref="N1993">IF((SUMPRODUCT(("Var_Cap"=[1]OUT_TransportEnergyCons!$B$4:$B$10000)*1,ISNUMBER(SEARCH("T_b_c*ICE*DSL*s1",[1]OUT_TransportEnergyCons!$A$4:$A$10000))*1,[1]OUT_TransportEnergyCons!L$4:L$10000))*1000&lt;0,0,(SUMPRODUCT(("Var_Cap"=[1]OUT_TransportEnergyCons!$B$4:$B$10000)*1,ISNUMBER(SEARCH("T_b_c*ICE*DSL*s1",[1]OUT_TransportEnergyCons!$A$4:$A$10000))*1,[1]OUT_TransportEnergyCons!L$4:L$10000))*1000)</f>
        <v>0</v>
      </c>
      <c r="O1993" s="1" cm="1">
        <f t="array" ref="O1993">IF((SUMPRODUCT(("Var_Cap"=[1]OUT_TransportEnergyCons!$B$4:$B$10000)*1,ISNUMBER(SEARCH("T_b_c*ICE*DSL*s1",[1]OUT_TransportEnergyCons!$A$4:$A$10000))*1,[1]OUT_TransportEnergyCons!M$4:M$10000))*1000&lt;0,0,(SUMPRODUCT(("Var_Cap"=[1]OUT_TransportEnergyCons!$B$4:$B$10000)*1,ISNUMBER(SEARCH("T_b_c*ICE*DSL*s1",[1]OUT_TransportEnergyCons!$A$4:$A$10000))*1,[1]OUT_TransportEnergyCons!M$4:M$10000))*1000)</f>
        <v>0</v>
      </c>
      <c r="P1993" s="1" cm="1">
        <f t="array" ref="P1993">IF((SUMPRODUCT(("Var_Cap"=[1]OUT_TransportEnergyCons!$B$4:$B$10000)*1,ISNUMBER(SEARCH("T_b_c*ICE*DSL*s1",[1]OUT_TransportEnergyCons!$A$4:$A$10000))*1,[1]OUT_TransportEnergyCons!N$4:N$10000))*1000&lt;0,0,(SUMPRODUCT(("Var_Cap"=[1]OUT_TransportEnergyCons!$B$4:$B$10000)*1,ISNUMBER(SEARCH("T_b_c*ICE*DSL*s1",[1]OUT_TransportEnergyCons!$A$4:$A$10000))*1,[1]OUT_TransportEnergyCons!N$4:N$10000))*1000)</f>
        <v>0</v>
      </c>
      <c r="Q1993" s="1" cm="1">
        <f t="array" ref="Q1993">IF((SUMPRODUCT(("Var_Cap"=[1]OUT_TransportEnergyCons!$B$4:$B$10000)*1,ISNUMBER(SEARCH("T_b_c*ICE*DSL*s1",[1]OUT_TransportEnergyCons!$A$4:$A$10000))*1,[1]OUT_TransportEnergyCons!O$4:O$10000))*1000&lt;0,0,(SUMPRODUCT(("Var_Cap"=[1]OUT_TransportEnergyCons!$B$4:$B$10000)*1,ISNUMBER(SEARCH("T_b_c*ICE*DSL*s1",[1]OUT_TransportEnergyCons!$A$4:$A$10000))*1,[1]OUT_TransportEnergyCons!O$4:O$10000))*1000)</f>
        <v>0</v>
      </c>
      <c r="S1993" s="3"/>
    </row>
    <row r="1994" spans="2:19" x14ac:dyDescent="0.5">
      <c r="B1994" s="5" t="str">
        <f t="shared" si="2165"/>
        <v>SPS1</v>
      </c>
      <c r="C1994" s="5" t="str">
        <f t="shared" si="2166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0.98784375000000002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0.94191630571022367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0.94244764941571701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2.0957450795069076E-5</v>
      </c>
      <c r="J1994" s="1" cm="1">
        <f t="array" ref="J1994">IF((SUMPRODUCT(("Var_Cap"=[1]OUT_TransportEnergyCons!$B$4:$B$10000)*1,ISNUMBER(SEARCH("T_b_c*ICE*DSL*s2",[1]OUT_TransportEnergyCons!$A$4:$A$10000))*1,[1]OUT_TransportEnergyCons!H$4:H$10000))*1000&lt;0,0,(SUMPRODUCT(("Var_Cap"=[1]OUT_TransportEnergyCons!$B$4:$B$10000)*1,ISNUMBER(SEARCH("T_b_c*ICE*DSL*s2",[1]OUT_TransportEnergyCons!$A$4:$A$10000))*1,[1]OUT_TransportEnergyCons!H$4:H$10000))*1000)</f>
        <v>4.2361518475502238E-7</v>
      </c>
      <c r="K1994" s="1" cm="1">
        <f t="array" ref="K1994">IF((SUMPRODUCT(("Var_Cap"=[1]OUT_TransportEnergyCons!$B$4:$B$10000)*1,ISNUMBER(SEARCH("T_b_c*ICE*DSL*s2",[1]OUT_TransportEnergyCons!$A$4:$A$10000))*1,[1]OUT_TransportEnergyCons!I$4:I$10000))*1000&lt;0,0,(SUMPRODUCT(("Var_Cap"=[1]OUT_TransportEnergyCons!$B$4:$B$10000)*1,ISNUMBER(SEARCH("T_b_c*ICE*DSL*s2",[1]OUT_TransportEnergyCons!$A$4:$A$10000))*1,[1]OUT_TransportEnergyCons!I$4:I$10000))*1000)</f>
        <v>0</v>
      </c>
      <c r="L1994" s="1" cm="1">
        <f t="array" ref="L1994">IF((SUMPRODUCT(("Var_Cap"=[1]OUT_TransportEnergyCons!$B$4:$B$10000)*1,ISNUMBER(SEARCH("T_b_c*ICE*DSL*s2",[1]OUT_TransportEnergyCons!$A$4:$A$10000))*1,[1]OUT_TransportEnergyCons!J$4:J$10000))*1000&lt;0,0,(SUMPRODUCT(("Var_Cap"=[1]OUT_TransportEnergyCons!$B$4:$B$10000)*1,ISNUMBER(SEARCH("T_b_c*ICE*DSL*s2",[1]OUT_TransportEnergyCons!$A$4:$A$10000))*1,[1]OUT_TransportEnergyCons!J$4:J$10000))*1000)</f>
        <v>0</v>
      </c>
      <c r="M1994" s="1" cm="1">
        <f t="array" ref="M1994">IF((SUMPRODUCT(("Var_Cap"=[1]OUT_TransportEnergyCons!$B$4:$B$10000)*1,ISNUMBER(SEARCH("T_b_c*ICE*DSL*s2",[1]OUT_TransportEnergyCons!$A$4:$A$10000))*1,[1]OUT_TransportEnergyCons!K$4:K$10000))*1000&lt;0,0,(SUMPRODUCT(("Var_Cap"=[1]OUT_TransportEnergyCons!$B$4:$B$10000)*1,ISNUMBER(SEARCH("T_b_c*ICE*DSL*s2",[1]OUT_TransportEnergyCons!$A$4:$A$10000))*1,[1]OUT_TransportEnergyCons!K$4:K$10000))*1000)</f>
        <v>0</v>
      </c>
      <c r="N1994" s="1" cm="1">
        <f t="array" ref="N1994">IF((SUMPRODUCT(("Var_Cap"=[1]OUT_TransportEnergyCons!$B$4:$B$10000)*1,ISNUMBER(SEARCH("T_b_c*ICE*DSL*s2",[1]OUT_TransportEnergyCons!$A$4:$A$10000))*1,[1]OUT_TransportEnergyCons!L$4:L$10000))*1000&lt;0,0,(SUMPRODUCT(("Var_Cap"=[1]OUT_TransportEnergyCons!$B$4:$B$10000)*1,ISNUMBER(SEARCH("T_b_c*ICE*DSL*s2",[1]OUT_TransportEnergyCons!$A$4:$A$10000))*1,[1]OUT_TransportEnergyCons!L$4:L$10000))*1000)</f>
        <v>0</v>
      </c>
      <c r="O1994" s="1" cm="1">
        <f t="array" ref="O1994">IF((SUMPRODUCT(("Var_Cap"=[1]OUT_TransportEnergyCons!$B$4:$B$10000)*1,ISNUMBER(SEARCH("T_b_c*ICE*DSL*s2",[1]OUT_TransportEnergyCons!$A$4:$A$10000))*1,[1]OUT_TransportEnergyCons!M$4:M$10000))*1000&lt;0,0,(SUMPRODUCT(("Var_Cap"=[1]OUT_TransportEnergyCons!$B$4:$B$10000)*1,ISNUMBER(SEARCH("T_b_c*ICE*DSL*s2",[1]OUT_TransportEnergyCons!$A$4:$A$10000))*1,[1]OUT_TransportEnergyCons!M$4:M$10000))*1000)</f>
        <v>0</v>
      </c>
      <c r="P1994" s="1" cm="1">
        <f t="array" ref="P1994">IF((SUMPRODUCT(("Var_Cap"=[1]OUT_TransportEnergyCons!$B$4:$B$10000)*1,ISNUMBER(SEARCH("T_b_c*ICE*DSL*s2",[1]OUT_TransportEnergyCons!$A$4:$A$10000))*1,[1]OUT_TransportEnergyCons!N$4:N$10000))*1000&lt;0,0,(SUMPRODUCT(("Var_Cap"=[1]OUT_TransportEnergyCons!$B$4:$B$10000)*1,ISNUMBER(SEARCH("T_b_c*ICE*DSL*s2",[1]OUT_TransportEnergyCons!$A$4:$A$10000))*1,[1]OUT_TransportEnergyCons!N$4:N$10000))*1000)</f>
        <v>0</v>
      </c>
      <c r="Q1994" s="1" cm="1">
        <f t="array" ref="Q1994">IF((SUMPRODUCT(("Var_Cap"=[1]OUT_TransportEnergyCons!$B$4:$B$10000)*1,ISNUMBER(SEARCH("T_b_c*ICE*DSL*s2",[1]OUT_TransportEnergyCons!$A$4:$A$10000))*1,[1]OUT_TransportEnergyCons!O$4:O$10000))*1000&lt;0,0,(SUMPRODUCT(("Var_Cap"=[1]OUT_TransportEnergyCons!$B$4:$B$10000)*1,ISNUMBER(SEARCH("T_b_c*ICE*DSL*s2",[1]OUT_TransportEnergyCons!$A$4:$A$10000))*1,[1]OUT_TransportEnergyCons!O$4:O$10000))*1000)</f>
        <v>0</v>
      </c>
      <c r="S1994" s="3"/>
    </row>
    <row r="1995" spans="2:19" x14ac:dyDescent="0.5">
      <c r="B1995" s="5" t="str">
        <f t="shared" si="2165"/>
        <v>SPS1</v>
      </c>
      <c r="C1995" s="5" t="str">
        <f t="shared" si="2166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0.20285597037476014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0.20116645498032737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0.20129708029488411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1.3723411903935646E-6</v>
      </c>
      <c r="J1995" s="1" cm="1">
        <f t="array" ref="J1995">IF((SUMPRODUCT(("Var_Cap"=[1]OUT_TransportEnergyCons!$B$4:$B$10000)*1,ISNUMBER(SEARCH("T_b_c*ICE*DSL*s3",[1]OUT_TransportEnergyCons!$A$4:$A$10000))*1,[1]OUT_TransportEnergyCons!H$4:H$10000))*1000&lt;0,0,(SUMPRODUCT(("Var_Cap"=[1]OUT_TransportEnergyCons!$B$4:$B$10000)*1,ISNUMBER(SEARCH("T_b_c*ICE*DSL*s3",[1]OUT_TransportEnergyCons!$A$4:$A$10000))*1,[1]OUT_TransportEnergyCons!H$4:H$10000))*1000)</f>
        <v>0</v>
      </c>
      <c r="K1995" s="1" cm="1">
        <f t="array" ref="K1995">IF((SUMPRODUCT(("Var_Cap"=[1]OUT_TransportEnergyCons!$B$4:$B$10000)*1,ISNUMBER(SEARCH("T_b_c*ICE*DSL*s3",[1]OUT_TransportEnergyCons!$A$4:$A$10000))*1,[1]OUT_TransportEnergyCons!I$4:I$10000))*1000&lt;0,0,(SUMPRODUCT(("Var_Cap"=[1]OUT_TransportEnergyCons!$B$4:$B$10000)*1,ISNUMBER(SEARCH("T_b_c*ICE*DSL*s3",[1]OUT_TransportEnergyCons!$A$4:$A$10000))*1,[1]OUT_TransportEnergyCons!I$4:I$10000))*1000)</f>
        <v>0</v>
      </c>
      <c r="L1995" s="1" cm="1">
        <f t="array" ref="L1995">IF((SUMPRODUCT(("Var_Cap"=[1]OUT_TransportEnergyCons!$B$4:$B$10000)*1,ISNUMBER(SEARCH("T_b_c*ICE*DSL*s3",[1]OUT_TransportEnergyCons!$A$4:$A$10000))*1,[1]OUT_TransportEnergyCons!J$4:J$10000))*1000&lt;0,0,(SUMPRODUCT(("Var_Cap"=[1]OUT_TransportEnergyCons!$B$4:$B$10000)*1,ISNUMBER(SEARCH("T_b_c*ICE*DSL*s3",[1]OUT_TransportEnergyCons!$A$4:$A$10000))*1,[1]OUT_TransportEnergyCons!J$4:J$10000))*1000)</f>
        <v>0</v>
      </c>
      <c r="M1995" s="1" cm="1">
        <f t="array" ref="M1995">IF((SUMPRODUCT(("Var_Cap"=[1]OUT_TransportEnergyCons!$B$4:$B$10000)*1,ISNUMBER(SEARCH("T_b_c*ICE*DSL*s3",[1]OUT_TransportEnergyCons!$A$4:$A$10000))*1,[1]OUT_TransportEnergyCons!K$4:K$10000))*1000&lt;0,0,(SUMPRODUCT(("Var_Cap"=[1]OUT_TransportEnergyCons!$B$4:$B$10000)*1,ISNUMBER(SEARCH("T_b_c*ICE*DSL*s3",[1]OUT_TransportEnergyCons!$A$4:$A$10000))*1,[1]OUT_TransportEnergyCons!K$4:K$10000))*1000)</f>
        <v>0</v>
      </c>
      <c r="N1995" s="1" cm="1">
        <f t="array" ref="N1995">IF((SUMPRODUCT(("Var_Cap"=[1]OUT_TransportEnergyCons!$B$4:$B$10000)*1,ISNUMBER(SEARCH("T_b_c*ICE*DSL*s3",[1]OUT_TransportEnergyCons!$A$4:$A$10000))*1,[1]OUT_TransportEnergyCons!L$4:L$10000))*1000&lt;0,0,(SUMPRODUCT(("Var_Cap"=[1]OUT_TransportEnergyCons!$B$4:$B$10000)*1,ISNUMBER(SEARCH("T_b_c*ICE*DSL*s3",[1]OUT_TransportEnergyCons!$A$4:$A$10000))*1,[1]OUT_TransportEnergyCons!L$4:L$10000))*1000)</f>
        <v>0</v>
      </c>
      <c r="O1995" s="1" cm="1">
        <f t="array" ref="O1995">IF((SUMPRODUCT(("Var_Cap"=[1]OUT_TransportEnergyCons!$B$4:$B$10000)*1,ISNUMBER(SEARCH("T_b_c*ICE*DSL*s3",[1]OUT_TransportEnergyCons!$A$4:$A$10000))*1,[1]OUT_TransportEnergyCons!M$4:M$10000))*1000&lt;0,0,(SUMPRODUCT(("Var_Cap"=[1]OUT_TransportEnergyCons!$B$4:$B$10000)*1,ISNUMBER(SEARCH("T_b_c*ICE*DSL*s3",[1]OUT_TransportEnergyCons!$A$4:$A$10000))*1,[1]OUT_TransportEnergyCons!M$4:M$10000))*1000)</f>
        <v>0</v>
      </c>
      <c r="P1995" s="1" cm="1">
        <f t="array" ref="P1995">IF((SUMPRODUCT(("Var_Cap"=[1]OUT_TransportEnergyCons!$B$4:$B$10000)*1,ISNUMBER(SEARCH("T_b_c*ICE*DSL*s3",[1]OUT_TransportEnergyCons!$A$4:$A$10000))*1,[1]OUT_TransportEnergyCons!N$4:N$10000))*1000&lt;0,0,(SUMPRODUCT(("Var_Cap"=[1]OUT_TransportEnergyCons!$B$4:$B$10000)*1,ISNUMBER(SEARCH("T_b_c*ICE*DSL*s3",[1]OUT_TransportEnergyCons!$A$4:$A$10000))*1,[1]OUT_TransportEnergyCons!N$4:N$10000))*1000)</f>
        <v>0</v>
      </c>
      <c r="Q1995" s="1" cm="1">
        <f t="array" ref="Q1995">IF((SUMPRODUCT(("Var_Cap"=[1]OUT_TransportEnergyCons!$B$4:$B$10000)*1,ISNUMBER(SEARCH("T_b_c*ICE*DSL*s3",[1]OUT_TransportEnergyCons!$A$4:$A$10000))*1,[1]OUT_TransportEnergyCons!O$4:O$10000))*1000&lt;0,0,(SUMPRODUCT(("Var_Cap"=[1]OUT_TransportEnergyCons!$B$4:$B$10000)*1,ISNUMBER(SEARCH("T_b_c*ICE*DSL*s3",[1]OUT_TransportEnergyCons!$A$4:$A$10000))*1,[1]OUT_TransportEnergyCons!O$4:O$10000))*1000)</f>
        <v>0</v>
      </c>
      <c r="S1995" s="3"/>
    </row>
    <row r="1996" spans="2:19" x14ac:dyDescent="0.5">
      <c r="B1996" s="5" t="str">
        <f t="shared" si="2165"/>
        <v>SPS1</v>
      </c>
      <c r="C1996" s="5" t="str">
        <f t="shared" si="2166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1.0841240818267204E-2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1.5992876127679891E-4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1.7128218085461951E-4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1.4633112860818917E-6</v>
      </c>
      <c r="J1996" s="1" cm="1">
        <f t="array" ref="J1996">IF((SUMPRODUCT(("Var_Cap"=[1]OUT_TransportEnergyCons!$B$4:$B$10000)*1,ISNUMBER(SEARCH("T_b_c*ICE*DSL*s4",[1]OUT_TransportEnergyCons!$A$4:$A$10000))*1,[1]OUT_TransportEnergyCons!H$4:H$10000))*1000&lt;0,0,(SUMPRODUCT(("Var_Cap"=[1]OUT_TransportEnergyCons!$B$4:$B$10000)*1,ISNUMBER(SEARCH("T_b_c*ICE*DSL*s4",[1]OUT_TransportEnergyCons!$A$4:$A$10000))*1,[1]OUT_TransportEnergyCons!H$4:H$10000))*1000)</f>
        <v>0</v>
      </c>
      <c r="K1996" s="1" cm="1">
        <f t="array" ref="K1996">IF((SUMPRODUCT(("Var_Cap"=[1]OUT_TransportEnergyCons!$B$4:$B$10000)*1,ISNUMBER(SEARCH("T_b_c*ICE*DSL*s4",[1]OUT_TransportEnergyCons!$A$4:$A$10000))*1,[1]OUT_TransportEnergyCons!I$4:I$10000))*1000&lt;0,0,(SUMPRODUCT(("Var_Cap"=[1]OUT_TransportEnergyCons!$B$4:$B$10000)*1,ISNUMBER(SEARCH("T_b_c*ICE*DSL*s4",[1]OUT_TransportEnergyCons!$A$4:$A$10000))*1,[1]OUT_TransportEnergyCons!I$4:I$10000))*1000)</f>
        <v>0</v>
      </c>
      <c r="L1996" s="1" cm="1">
        <f t="array" ref="L1996">IF((SUMPRODUCT(("Var_Cap"=[1]OUT_TransportEnergyCons!$B$4:$B$10000)*1,ISNUMBER(SEARCH("T_b_c*ICE*DSL*s4",[1]OUT_TransportEnergyCons!$A$4:$A$10000))*1,[1]OUT_TransportEnergyCons!J$4:J$10000))*1000&lt;0,0,(SUMPRODUCT(("Var_Cap"=[1]OUT_TransportEnergyCons!$B$4:$B$10000)*1,ISNUMBER(SEARCH("T_b_c*ICE*DSL*s4",[1]OUT_TransportEnergyCons!$A$4:$A$10000))*1,[1]OUT_TransportEnergyCons!J$4:J$10000))*1000)</f>
        <v>0</v>
      </c>
      <c r="M1996" s="1" cm="1">
        <f t="array" ref="M1996">IF((SUMPRODUCT(("Var_Cap"=[1]OUT_TransportEnergyCons!$B$4:$B$10000)*1,ISNUMBER(SEARCH("T_b_c*ICE*DSL*s4",[1]OUT_TransportEnergyCons!$A$4:$A$10000))*1,[1]OUT_TransportEnergyCons!K$4:K$10000))*1000&lt;0,0,(SUMPRODUCT(("Var_Cap"=[1]OUT_TransportEnergyCons!$B$4:$B$10000)*1,ISNUMBER(SEARCH("T_b_c*ICE*DSL*s4",[1]OUT_TransportEnergyCons!$A$4:$A$10000))*1,[1]OUT_TransportEnergyCons!K$4:K$10000))*1000)</f>
        <v>0</v>
      </c>
      <c r="N1996" s="1" cm="1">
        <f t="array" ref="N1996">IF((SUMPRODUCT(("Var_Cap"=[1]OUT_TransportEnergyCons!$B$4:$B$10000)*1,ISNUMBER(SEARCH("T_b_c*ICE*DSL*s4",[1]OUT_TransportEnergyCons!$A$4:$A$10000))*1,[1]OUT_TransportEnergyCons!L$4:L$10000))*1000&lt;0,0,(SUMPRODUCT(("Var_Cap"=[1]OUT_TransportEnergyCons!$B$4:$B$10000)*1,ISNUMBER(SEARCH("T_b_c*ICE*DSL*s4",[1]OUT_TransportEnergyCons!$A$4:$A$10000))*1,[1]OUT_TransportEnergyCons!L$4:L$10000))*1000)</f>
        <v>0</v>
      </c>
      <c r="O1996" s="1" cm="1">
        <f t="array" ref="O1996">IF((SUMPRODUCT(("Var_Cap"=[1]OUT_TransportEnergyCons!$B$4:$B$10000)*1,ISNUMBER(SEARCH("T_b_c*ICE*DSL*s4",[1]OUT_TransportEnergyCons!$A$4:$A$10000))*1,[1]OUT_TransportEnergyCons!M$4:M$10000))*1000&lt;0,0,(SUMPRODUCT(("Var_Cap"=[1]OUT_TransportEnergyCons!$B$4:$B$10000)*1,ISNUMBER(SEARCH("T_b_c*ICE*DSL*s4",[1]OUT_TransportEnergyCons!$A$4:$A$10000))*1,[1]OUT_TransportEnergyCons!M$4:M$10000))*1000)</f>
        <v>0</v>
      </c>
      <c r="P1996" s="1" cm="1">
        <f t="array" ref="P1996">IF((SUMPRODUCT(("Var_Cap"=[1]OUT_TransportEnergyCons!$B$4:$B$10000)*1,ISNUMBER(SEARCH("T_b_c*ICE*DSL*s4",[1]OUT_TransportEnergyCons!$A$4:$A$10000))*1,[1]OUT_TransportEnergyCons!N$4:N$10000))*1000&lt;0,0,(SUMPRODUCT(("Var_Cap"=[1]OUT_TransportEnergyCons!$B$4:$B$10000)*1,ISNUMBER(SEARCH("T_b_c*ICE*DSL*s4",[1]OUT_TransportEnergyCons!$A$4:$A$10000))*1,[1]OUT_TransportEnergyCons!N$4:N$10000))*1000)</f>
        <v>0</v>
      </c>
      <c r="Q1996" s="1" cm="1">
        <f t="array" ref="Q1996">IF((SUMPRODUCT(("Var_Cap"=[1]OUT_TransportEnergyCons!$B$4:$B$10000)*1,ISNUMBER(SEARCH("T_b_c*ICE*DSL*s4",[1]OUT_TransportEnergyCons!$A$4:$A$10000))*1,[1]OUT_TransportEnergyCons!O$4:O$10000))*1000&lt;0,0,(SUMPRODUCT(("Var_Cap"=[1]OUT_TransportEnergyCons!$B$4:$B$10000)*1,ISNUMBER(SEARCH("T_b_c*ICE*DSL*s4",[1]OUT_TransportEnergyCons!$A$4:$A$10000))*1,[1]OUT_TransportEnergyCons!O$4:O$10000))*1000)</f>
        <v>0</v>
      </c>
      <c r="S1996" s="3"/>
    </row>
    <row r="1997" spans="2:19" x14ac:dyDescent="0.5">
      <c r="B1997" s="5" t="str">
        <f t="shared" si="2165"/>
        <v>SPS1</v>
      </c>
      <c r="C1997" s="5" t="str">
        <f t="shared" si="2166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2.9722400223756468E-2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1.4861396303901497E-2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(SUMPRODUCT(("Var_Cap"=[1]OUT_TransportEnergyCons!$B$4:$B$10000)*1,ISNUMBER(SEARCH("T_b_c*ICE*nga*ext",[1]OUT_TransportEnergyCons!$A$4:$A$10000))*1,[1]OUT_TransportEnergyCons!H$4:H$10000))*1000</f>
        <v>0</v>
      </c>
      <c r="K1997" s="1" cm="1">
        <f t="array" ref="K1997">(SUMPRODUCT(("Var_Cap"=[1]OUT_TransportEnergyCons!$B$4:$B$10000)*1,ISNUMBER(SEARCH("T_b_c*ICE*nga*ext",[1]OUT_TransportEnergyCons!$A$4:$A$10000))*1,[1]OUT_TransportEnergyCons!I$4:I$10000))*1000</f>
        <v>0</v>
      </c>
      <c r="L1997" s="1" cm="1">
        <f t="array" ref="L1997">(SUMPRODUCT(("Var_Cap"=[1]OUT_TransportEnergyCons!$B$4:$B$10000)*1,ISNUMBER(SEARCH("T_b_c*ICE*nga*ext",[1]OUT_TransportEnergyCons!$A$4:$A$10000))*1,[1]OUT_TransportEnergyCons!J$4:J$10000))*1000</f>
        <v>0</v>
      </c>
      <c r="M1997" s="1" cm="1">
        <f t="array" ref="M1997">(SUMPRODUCT(("Var_Cap"=[1]OUT_TransportEnergyCons!$B$4:$B$10000)*1,ISNUMBER(SEARCH("T_b_c*ICE*nga*ext",[1]OUT_TransportEnergyCons!$A$4:$A$10000))*1,[1]OUT_TransportEnergyCons!K$4:K$10000))*1000</f>
        <v>0</v>
      </c>
      <c r="N1997" s="1" cm="1">
        <f t="array" ref="N1997">(SUMPRODUCT(("Var_Cap"=[1]OUT_TransportEnergyCons!$B$4:$B$10000)*1,ISNUMBER(SEARCH("T_b_c*ICE*nga*ext",[1]OUT_TransportEnergyCons!$A$4:$A$10000))*1,[1]OUT_TransportEnergyCons!L$4:L$10000))*1000</f>
        <v>0</v>
      </c>
      <c r="O1997" s="1" cm="1">
        <f t="array" ref="O1997">(SUMPRODUCT(("Var_Cap"=[1]OUT_TransportEnergyCons!$B$4:$B$10000)*1,ISNUMBER(SEARCH("T_b_c*ICE*nga*ext",[1]OUT_TransportEnergyCons!$A$4:$A$10000))*1,[1]OUT_TransportEnergyCons!M$4:M$10000))*1000</f>
        <v>0</v>
      </c>
      <c r="P1997" s="1" cm="1">
        <f t="array" ref="P1997">(SUMPRODUCT(("Var_Cap"=[1]OUT_TransportEnergyCons!$B$4:$B$10000)*1,ISNUMBER(SEARCH("T_b_c*ICE*nga*ext",[1]OUT_TransportEnergyCons!$A$4:$A$10000))*1,[1]OUT_TransportEnergyCons!N$4:N$10000))*1000</f>
        <v>0</v>
      </c>
      <c r="Q1997" s="1" cm="1">
        <f t="array" ref="Q1997">(SUMPRODUCT(("Var_Cap"=[1]OUT_TransportEnergyCons!$B$4:$B$10000)*1,ISNUMBER(SEARCH("T_b_c*ICE*nga*ext",[1]OUT_TransportEnergyCons!$A$4:$A$10000))*1,[1]OUT_TransportEnergyCons!O$4:O$10000))*1000</f>
        <v>0</v>
      </c>
      <c r="S1997" s="3"/>
    </row>
    <row r="1998" spans="2:19" x14ac:dyDescent="0.5">
      <c r="B1998" s="5" t="str">
        <f t="shared" si="2165"/>
        <v>SPS1</v>
      </c>
      <c r="C1998" s="5" t="str">
        <f t="shared" si="2166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3.3218738363998096E-4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2.62592191049974E-2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2.75481228522882E-2</v>
      </c>
      <c r="J1998" s="1" cm="1">
        <f t="array" ref="J1998">(SUMPRODUCT(("Var_Cap"=[1]OUT_TransportEnergyCons!$B$4:$B$10000)*1,ISNUMBER(SEARCH("T_b_c*ICE*nga*s1",[1]OUT_TransportEnergyCons!$A$4:$A$10000))*1,[1]OUT_TransportEnergyCons!H$4:H$10000))*1000</f>
        <v>4.6055407431995265E-6</v>
      </c>
      <c r="K1998" s="1" cm="1">
        <f t="array" ref="K1998">(SUMPRODUCT(("Var_Cap"=[1]OUT_TransportEnergyCons!$B$4:$B$10000)*1,ISNUMBER(SEARCH("T_b_c*ICE*nga*s1",[1]OUT_TransportEnergyCons!$A$4:$A$10000))*1,[1]OUT_TransportEnergyCons!I$4:I$10000))*1000</f>
        <v>9.8375545387399092E-7</v>
      </c>
      <c r="L1998" s="1" cm="1">
        <f t="array" ref="L1998">(SUMPRODUCT(("Var_Cap"=[1]OUT_TransportEnergyCons!$B$4:$B$10000)*1,ISNUMBER(SEARCH("T_b_c*ICE*nga*s1",[1]OUT_TransportEnergyCons!$A$4:$A$10000))*1,[1]OUT_TransportEnergyCons!J$4:J$10000))*1000</f>
        <v>4.8120178639716599E-3</v>
      </c>
      <c r="M1998" s="1" cm="1">
        <f t="array" ref="M1998">(SUMPRODUCT(("Var_Cap"=[1]OUT_TransportEnergyCons!$B$4:$B$10000)*1,ISNUMBER(SEARCH("T_b_c*ICE*nga*s1",[1]OUT_TransportEnergyCons!$A$4:$A$10000))*1,[1]OUT_TransportEnergyCons!K$4:K$10000))*1000</f>
        <v>4.8120178639716599E-3</v>
      </c>
      <c r="N1998" s="1" cm="1">
        <f t="array" ref="N1998">(SUMPRODUCT(("Var_Cap"=[1]OUT_TransportEnergyCons!$B$4:$B$10000)*1,ISNUMBER(SEARCH("T_b_c*ICE*nga*s1",[1]OUT_TransportEnergyCons!$A$4:$A$10000))*1,[1]OUT_TransportEnergyCons!L$4:L$10000))*1000</f>
        <v>0</v>
      </c>
      <c r="O1998" s="1" cm="1">
        <f t="array" ref="O1998">(SUMPRODUCT(("Var_Cap"=[1]OUT_TransportEnergyCons!$B$4:$B$10000)*1,ISNUMBER(SEARCH("T_b_c*ICE*nga*s1",[1]OUT_TransportEnergyCons!$A$4:$A$10000))*1,[1]OUT_TransportEnergyCons!M$4:M$10000))*1000</f>
        <v>0</v>
      </c>
      <c r="P1998" s="1" cm="1">
        <f t="array" ref="P1998">(SUMPRODUCT(("Var_Cap"=[1]OUT_TransportEnergyCons!$B$4:$B$10000)*1,ISNUMBER(SEARCH("T_b_c*ICE*nga*s1",[1]OUT_TransportEnergyCons!$A$4:$A$10000))*1,[1]OUT_TransportEnergyCons!N$4:N$10000))*1000</f>
        <v>0</v>
      </c>
      <c r="Q1998" s="1" cm="1">
        <f t="array" ref="Q1998">(SUMPRODUCT(("Var_Cap"=[1]OUT_TransportEnergyCons!$B$4:$B$10000)*1,ISNUMBER(SEARCH("T_b_c*ICE*nga*s1",[1]OUT_TransportEnergyCons!$A$4:$A$10000))*1,[1]OUT_TransportEnergyCons!O$4:O$10000))*1000</f>
        <v>0</v>
      </c>
      <c r="S1998" s="3"/>
    </row>
    <row r="1999" spans="2:19" x14ac:dyDescent="0.5">
      <c r="B1999" s="5" t="str">
        <f t="shared" si="2165"/>
        <v>SPS1</v>
      </c>
      <c r="C1999" s="5" t="str">
        <f t="shared" si="2166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8.3943119908762098E-5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3.2264148583266401E-4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2.1587209139490031E-6</v>
      </c>
      <c r="J1999" s="1" cm="1">
        <f t="array" ref="J1999">IF((SUMPRODUCT(("Var_Cap"=[1]OUT_TransportEnergyCons!$B$4:$B$10000)*1,ISNUMBER(SEARCH("T_b_c*ICE*nga*s2",[1]OUT_TransportEnergyCons!$A$4:$A$10000))*1,[1]OUT_TransportEnergyCons!H$4:H$10000))*1000&lt;0,0,(SUMPRODUCT(("Var_Cap"=[1]OUT_TransportEnergyCons!$B$4:$B$10000)*1,ISNUMBER(SEARCH("T_b_c*ICE*nga*s2",[1]OUT_TransportEnergyCons!$A$4:$A$10000))*1,[1]OUT_TransportEnergyCons!H$4:H$10000))*1000)</f>
        <v>3.2775431862000181E-7</v>
      </c>
      <c r="K1999" s="1" cm="1">
        <f t="array" ref="K1999">IF((SUMPRODUCT(("Var_Cap"=[1]OUT_TransportEnergyCons!$B$4:$B$10000)*1,ISNUMBER(SEARCH("T_b_c*ICE*nga*s2",[1]OUT_TransportEnergyCons!$A$4:$A$10000))*1,[1]OUT_TransportEnergyCons!I$4:I$10000))*1000&lt;0,0,(SUMPRODUCT(("Var_Cap"=[1]OUT_TransportEnergyCons!$B$4:$B$10000)*1,ISNUMBER(SEARCH("T_b_c*ICE*nga*s2",[1]OUT_TransportEnergyCons!$A$4:$A$10000))*1,[1]OUT_TransportEnergyCons!I$4:I$10000))*1000)</f>
        <v>0</v>
      </c>
      <c r="L1999" s="1" cm="1">
        <f t="array" ref="L1999">IF((SUMPRODUCT(("Var_Cap"=[1]OUT_TransportEnergyCons!$B$4:$B$10000)*1,ISNUMBER(SEARCH("T_b_c*ICE*nga*s2",[1]OUT_TransportEnergyCons!$A$4:$A$10000))*1,[1]OUT_TransportEnergyCons!J$4:J$10000))*1000&lt;0,0,(SUMPRODUCT(("Var_Cap"=[1]OUT_TransportEnergyCons!$B$4:$B$10000)*1,ISNUMBER(SEARCH("T_b_c*ICE*nga*s2",[1]OUT_TransportEnergyCons!$A$4:$A$10000))*1,[1]OUT_TransportEnergyCons!J$4:J$10000))*1000)</f>
        <v>1.4693135018044401E-5</v>
      </c>
      <c r="M1999" s="1" cm="1">
        <f t="array" ref="M1999">IF((SUMPRODUCT(("Var_Cap"=[1]OUT_TransportEnergyCons!$B$4:$B$10000)*1,ISNUMBER(SEARCH("T_b_c*ICE*nga*s2",[1]OUT_TransportEnergyCons!$A$4:$A$10000))*1,[1]OUT_TransportEnergyCons!K$4:K$10000))*1000&lt;0,0,(SUMPRODUCT(("Var_Cap"=[1]OUT_TransportEnergyCons!$B$4:$B$10000)*1,ISNUMBER(SEARCH("T_b_c*ICE*nga*s2",[1]OUT_TransportEnergyCons!$A$4:$A$10000))*1,[1]OUT_TransportEnergyCons!K$4:K$10000))*1000)</f>
        <v>1.4693135018044401E-5</v>
      </c>
      <c r="N1999" s="1" cm="1">
        <f t="array" ref="N1999">IF((SUMPRODUCT(("Var_Cap"=[1]OUT_TransportEnergyCons!$B$4:$B$10000)*1,ISNUMBER(SEARCH("T_b_c*ICE*nga*s2",[1]OUT_TransportEnergyCons!$A$4:$A$10000))*1,[1]OUT_TransportEnergyCons!L$4:L$10000))*1000&lt;0,0,(SUMPRODUCT(("Var_Cap"=[1]OUT_TransportEnergyCons!$B$4:$B$10000)*1,ISNUMBER(SEARCH("T_b_c*ICE*nga*s2",[1]OUT_TransportEnergyCons!$A$4:$A$10000))*1,[1]OUT_TransportEnergyCons!L$4:L$10000))*1000)</f>
        <v>0</v>
      </c>
      <c r="O1999" s="1" cm="1">
        <f t="array" ref="O1999">IF((SUMPRODUCT(("Var_Cap"=[1]OUT_TransportEnergyCons!$B$4:$B$10000)*1,ISNUMBER(SEARCH("T_b_c*ICE*nga*s2",[1]OUT_TransportEnergyCons!$A$4:$A$10000))*1,[1]OUT_TransportEnergyCons!M$4:M$10000))*1000&lt;0,0,(SUMPRODUCT(("Var_Cap"=[1]OUT_TransportEnergyCons!$B$4:$B$10000)*1,ISNUMBER(SEARCH("T_b_c*ICE*nga*s2",[1]OUT_TransportEnergyCons!$A$4:$A$10000))*1,[1]OUT_TransportEnergyCons!M$4:M$10000))*1000)</f>
        <v>0</v>
      </c>
      <c r="P1999" s="1" cm="1">
        <f t="array" ref="P1999">IF((SUMPRODUCT(("Var_Cap"=[1]OUT_TransportEnergyCons!$B$4:$B$10000)*1,ISNUMBER(SEARCH("T_b_c*ICE*nga*s2",[1]OUT_TransportEnergyCons!$A$4:$A$10000))*1,[1]OUT_TransportEnergyCons!N$4:N$10000))*1000&lt;0,0,(SUMPRODUCT(("Var_Cap"=[1]OUT_TransportEnergyCons!$B$4:$B$10000)*1,ISNUMBER(SEARCH("T_b_c*ICE*nga*s2",[1]OUT_TransportEnergyCons!$A$4:$A$10000))*1,[1]OUT_TransportEnergyCons!N$4:N$10000))*1000)</f>
        <v>0</v>
      </c>
      <c r="Q1999" s="1" cm="1">
        <f t="array" ref="Q1999">IF((SUMPRODUCT(("Var_Cap"=[1]OUT_TransportEnergyCons!$B$4:$B$10000)*1,ISNUMBER(SEARCH("T_b_c*ICE*nga*s2",[1]OUT_TransportEnergyCons!$A$4:$A$10000))*1,[1]OUT_TransportEnergyCons!O$4:O$10000))*1000&lt;0,0,(SUMPRODUCT(("Var_Cap"=[1]OUT_TransportEnergyCons!$B$4:$B$10000)*1,ISNUMBER(SEARCH("T_b_c*ICE*nga*s2",[1]OUT_TransportEnergyCons!$A$4:$A$10000))*1,[1]OUT_TransportEnergyCons!O$4:O$10000))*1000)</f>
        <v>0</v>
      </c>
      <c r="S1999" s="3"/>
    </row>
    <row r="2000" spans="2:19" x14ac:dyDescent="0.5">
      <c r="B2000" s="5" t="str">
        <f t="shared" si="2165"/>
        <v>SPS1</v>
      </c>
      <c r="C2000" s="5" t="str">
        <f t="shared" si="2166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4.7773913372694696E-5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1.53203510408922E-4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7.6163569256297973E-7</v>
      </c>
      <c r="J2000" s="1" cm="1">
        <f t="array" ref="J2000">(SUMPRODUCT(("Var_Cap"=[1]OUT_TransportEnergyCons!$B$4:$B$10000)*1,ISNUMBER(SEARCH("T_b_c*ICE*nga*s3",[1]OUT_TransportEnergyCons!$A$4:$A$10000))*1,[1]OUT_TransportEnergyCons!H$4:H$10000))*1000</f>
        <v>0</v>
      </c>
      <c r="K2000" s="1" cm="1">
        <f t="array" ref="K2000">(SUMPRODUCT(("Var_Cap"=[1]OUT_TransportEnergyCons!$B$4:$B$10000)*1,ISNUMBER(SEARCH("T_b_c*ICE*nga*s3",[1]OUT_TransportEnergyCons!$A$4:$A$10000))*1,[1]OUT_TransportEnergyCons!I$4:I$10000))*1000</f>
        <v>0</v>
      </c>
      <c r="L2000" s="1" cm="1">
        <f t="array" ref="L2000">(SUMPRODUCT(("Var_Cap"=[1]OUT_TransportEnergyCons!$B$4:$B$10000)*1,ISNUMBER(SEARCH("T_b_c*ICE*nga*s3",[1]OUT_TransportEnergyCons!$A$4:$A$10000))*1,[1]OUT_TransportEnergyCons!J$4:J$10000))*1000</f>
        <v>0</v>
      </c>
      <c r="M2000" s="1" cm="1">
        <f t="array" ref="M2000">(SUMPRODUCT(("Var_Cap"=[1]OUT_TransportEnergyCons!$B$4:$B$10000)*1,ISNUMBER(SEARCH("T_b_c*ICE*nga*s3",[1]OUT_TransportEnergyCons!$A$4:$A$10000))*1,[1]OUT_TransportEnergyCons!K$4:K$10000))*1000</f>
        <v>0</v>
      </c>
      <c r="N2000" s="1" cm="1">
        <f t="array" ref="N2000">(SUMPRODUCT(("Var_Cap"=[1]OUT_TransportEnergyCons!$B$4:$B$10000)*1,ISNUMBER(SEARCH("T_b_c*ICE*nga*s3",[1]OUT_TransportEnergyCons!$A$4:$A$10000))*1,[1]OUT_TransportEnergyCons!L$4:L$10000))*1000</f>
        <v>0</v>
      </c>
      <c r="O2000" s="1" cm="1">
        <f t="array" ref="O2000">(SUMPRODUCT(("Var_Cap"=[1]OUT_TransportEnergyCons!$B$4:$B$10000)*1,ISNUMBER(SEARCH("T_b_c*ICE*nga*s3",[1]OUT_TransportEnergyCons!$A$4:$A$10000))*1,[1]OUT_TransportEnergyCons!M$4:M$10000))*1000</f>
        <v>0</v>
      </c>
      <c r="P2000" s="1" cm="1">
        <f t="array" ref="P2000">(SUMPRODUCT(("Var_Cap"=[1]OUT_TransportEnergyCons!$B$4:$B$10000)*1,ISNUMBER(SEARCH("T_b_c*ICE*nga*s3",[1]OUT_TransportEnergyCons!$A$4:$A$10000))*1,[1]OUT_TransportEnergyCons!N$4:N$10000))*1000</f>
        <v>0</v>
      </c>
      <c r="Q2000" s="1" cm="1">
        <f t="array" ref="Q2000">(SUMPRODUCT(("Var_Cap"=[1]OUT_TransportEnergyCons!$B$4:$B$10000)*1,ISNUMBER(SEARCH("T_b_c*ICE*nga*s3",[1]OUT_TransportEnergyCons!$A$4:$A$10000))*1,[1]OUT_TransportEnergyCons!O$4:O$10000))*1000</f>
        <v>0</v>
      </c>
      <c r="S2000" s="3"/>
    </row>
    <row r="2001" spans="2:19" x14ac:dyDescent="0.5">
      <c r="B2001" s="5" t="str">
        <f t="shared" si="2165"/>
        <v>SPS1</v>
      </c>
      <c r="C2001" s="5" t="str">
        <f t="shared" si="2166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1.2833191925151501E-5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3.06261009311763E-5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1.0761852040465001E-6</v>
      </c>
      <c r="J2001" s="1" cm="1">
        <f t="array" ref="J2001">IF((SUMPRODUCT(("Var_Cap"=[1]OUT_TransportEnergyCons!$B$4:$B$10000)*1,ISNUMBER(SEARCH("T_b_c*ICE*nga*s4",[1]OUT_TransportEnergyCons!$A$4:$A$10000))*1,[1]OUT_TransportEnergyCons!H$4:H$10000))*1000&lt;0,0,(SUMPRODUCT(("Var_Cap"=[1]OUT_TransportEnergyCons!$B$4:$B$10000)*1,ISNUMBER(SEARCH("T_b_c*ICE*nga*s4",[1]OUT_TransportEnergyCons!$A$4:$A$10000))*1,[1]OUT_TransportEnergyCons!H$4:H$10000))*1000)</f>
        <v>0</v>
      </c>
      <c r="K2001" s="1" cm="1">
        <f t="array" ref="K2001">IF((SUMPRODUCT(("Var_Cap"=[1]OUT_TransportEnergyCons!$B$4:$B$10000)*1,ISNUMBER(SEARCH("T_b_c*ICE*nga*s4",[1]OUT_TransportEnergyCons!$A$4:$A$10000))*1,[1]OUT_TransportEnergyCons!I$4:I$10000))*1000&lt;0,0,(SUMPRODUCT(("Var_Cap"=[1]OUT_TransportEnergyCons!$B$4:$B$10000)*1,ISNUMBER(SEARCH("T_b_c*ICE*nga*s4",[1]OUT_TransportEnergyCons!$A$4:$A$10000))*1,[1]OUT_TransportEnergyCons!I$4:I$10000))*1000)</f>
        <v>0</v>
      </c>
      <c r="L2001" s="1" cm="1">
        <f t="array" ref="L2001">IF((SUMPRODUCT(("Var_Cap"=[1]OUT_TransportEnergyCons!$B$4:$B$10000)*1,ISNUMBER(SEARCH("T_b_c*ICE*nga*s4",[1]OUT_TransportEnergyCons!$A$4:$A$10000))*1,[1]OUT_TransportEnergyCons!J$4:J$10000))*1000&lt;0,0,(SUMPRODUCT(("Var_Cap"=[1]OUT_TransportEnergyCons!$B$4:$B$10000)*1,ISNUMBER(SEARCH("T_b_c*ICE*nga*s4",[1]OUT_TransportEnergyCons!$A$4:$A$10000))*1,[1]OUT_TransportEnergyCons!J$4:J$10000))*1000)</f>
        <v>0</v>
      </c>
      <c r="M2001" s="1" cm="1">
        <f t="array" ref="M2001">IF((SUMPRODUCT(("Var_Cap"=[1]OUT_TransportEnergyCons!$B$4:$B$10000)*1,ISNUMBER(SEARCH("T_b_c*ICE*nga*s4",[1]OUT_TransportEnergyCons!$A$4:$A$10000))*1,[1]OUT_TransportEnergyCons!K$4:K$10000))*1000&lt;0,0,(SUMPRODUCT(("Var_Cap"=[1]OUT_TransportEnergyCons!$B$4:$B$10000)*1,ISNUMBER(SEARCH("T_b_c*ICE*nga*s4",[1]OUT_TransportEnergyCons!$A$4:$A$10000))*1,[1]OUT_TransportEnergyCons!K$4:K$10000))*1000)</f>
        <v>0</v>
      </c>
      <c r="N2001" s="1" cm="1">
        <f t="array" ref="N2001">IF((SUMPRODUCT(("Var_Cap"=[1]OUT_TransportEnergyCons!$B$4:$B$10000)*1,ISNUMBER(SEARCH("T_b_c*ICE*nga*s4",[1]OUT_TransportEnergyCons!$A$4:$A$10000))*1,[1]OUT_TransportEnergyCons!L$4:L$10000))*1000&lt;0,0,(SUMPRODUCT(("Var_Cap"=[1]OUT_TransportEnergyCons!$B$4:$B$10000)*1,ISNUMBER(SEARCH("T_b_c*ICE*nga*s4",[1]OUT_TransportEnergyCons!$A$4:$A$10000))*1,[1]OUT_TransportEnergyCons!L$4:L$10000))*1000)</f>
        <v>0</v>
      </c>
      <c r="O2001" s="1" cm="1">
        <f t="array" ref="O2001">IF((SUMPRODUCT(("Var_Cap"=[1]OUT_TransportEnergyCons!$B$4:$B$10000)*1,ISNUMBER(SEARCH("T_b_c*ICE*nga*s4",[1]OUT_TransportEnergyCons!$A$4:$A$10000))*1,[1]OUT_TransportEnergyCons!M$4:M$10000))*1000&lt;0,0,(SUMPRODUCT(("Var_Cap"=[1]OUT_TransportEnergyCons!$B$4:$B$10000)*1,ISNUMBER(SEARCH("T_b_c*ICE*nga*s4",[1]OUT_TransportEnergyCons!$A$4:$A$10000))*1,[1]OUT_TransportEnergyCons!M$4:M$10000))*1000)</f>
        <v>0</v>
      </c>
      <c r="P2001" s="1" cm="1">
        <f t="array" ref="P2001">IF((SUMPRODUCT(("Var_Cap"=[1]OUT_TransportEnergyCons!$B$4:$B$10000)*1,ISNUMBER(SEARCH("T_b_c*ICE*nga*s4",[1]OUT_TransportEnergyCons!$A$4:$A$10000))*1,[1]OUT_TransportEnergyCons!N$4:N$10000))*1000&lt;0,0,(SUMPRODUCT(("Var_Cap"=[1]OUT_TransportEnergyCons!$B$4:$B$10000)*1,ISNUMBER(SEARCH("T_b_c*ICE*nga*s4",[1]OUT_TransportEnergyCons!$A$4:$A$10000))*1,[1]OUT_TransportEnergyCons!N$4:N$10000))*1000)</f>
        <v>0</v>
      </c>
      <c r="Q2001" s="1" cm="1">
        <f t="array" ref="Q2001">IF((SUMPRODUCT(("Var_Cap"=[1]OUT_TransportEnergyCons!$B$4:$B$10000)*1,ISNUMBER(SEARCH("T_b_c*ICE*nga*s4",[1]OUT_TransportEnergyCons!$A$4:$A$10000))*1,[1]OUT_TransportEnergyCons!O$4:O$10000))*1000&lt;0,0,(SUMPRODUCT(("Var_Cap"=[1]OUT_TransportEnergyCons!$B$4:$B$10000)*1,ISNUMBER(SEARCH("T_b_c*ICE*nga*s4",[1]OUT_TransportEnergyCons!$A$4:$A$10000))*1,[1]OUT_TransportEnergyCons!O$4:O$10000))*1000)</f>
        <v>0</v>
      </c>
      <c r="S2001" s="3"/>
    </row>
    <row r="2002" spans="2:19" x14ac:dyDescent="0.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393.43981606456259</v>
      </c>
      <c r="G2002" s="3">
        <f t="shared" ref="G2002:K2002" si="2167">SUM(G2003:G2011)</f>
        <v>399.40260159634624</v>
      </c>
      <c r="H2002" s="3">
        <f t="shared" si="2167"/>
        <v>407.08098791713559</v>
      </c>
      <c r="I2002" s="3">
        <f t="shared" si="2167"/>
        <v>419.87581894422084</v>
      </c>
      <c r="J2002" s="3">
        <f t="shared" si="2167"/>
        <v>443.91403344578191</v>
      </c>
      <c r="K2002" s="3">
        <f t="shared" si="2167"/>
        <v>470.75031963576322</v>
      </c>
      <c r="L2002" s="3">
        <f t="shared" ref="L2002:O2002" si="2168">SUM(L2003:L2011)</f>
        <v>502.34678590616971</v>
      </c>
      <c r="M2002" s="3">
        <f t="shared" si="2168"/>
        <v>538.36989948826601</v>
      </c>
      <c r="N2002" s="3">
        <f t="shared" si="2168"/>
        <v>556.73658887366093</v>
      </c>
      <c r="O2002" s="3">
        <f t="shared" si="2168"/>
        <v>573.16304100365994</v>
      </c>
      <c r="P2002" s="3">
        <f>SUM(P2003:P2011)</f>
        <v>589.04337240602081</v>
      </c>
      <c r="Q2002" s="3">
        <f>SUM(Q2003:Q2011)</f>
        <v>604.25498421361704</v>
      </c>
      <c r="S2002" s="3"/>
    </row>
    <row r="2003" spans="2:19" x14ac:dyDescent="0.5">
      <c r="B2003" s="5" t="str">
        <f t="shared" ref="B2003:B2011" si="2169">B2002</f>
        <v>SPS1</v>
      </c>
      <c r="C2003" s="5" t="str">
        <f t="shared" ref="C2003:C2011" si="2170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1.949989251964245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(SUMPRODUCT(("Var_Cap"=[1]OUT_TransportEnergyCons!$B$4:$B$10000)*1,("-"=[1]OUT_TransportEnergyCons!$C$4:$C$10000)*1,ISNUMBER(SEARCH("tfl*bev*ext",[1]OUT_TransportEnergyCons!$A$4:$A$10000))*1,[1]OUT_TransportEnergyCons!H$4:H$10000))*1000</f>
        <v>0</v>
      </c>
      <c r="K2003" s="1" cm="1">
        <f t="array" ref="K2003">(SUMPRODUCT(("Var_Cap"=[1]OUT_TransportEnergyCons!$B$4:$B$10000)*1,("-"=[1]OUT_TransportEnergyCons!$C$4:$C$10000)*1,ISNUMBER(SEARCH("tfl*bev*ext",[1]OUT_TransportEnergyCons!$A$4:$A$10000))*1,[1]OUT_TransportEnergyCons!I$4:I$10000))*1000</f>
        <v>0</v>
      </c>
      <c r="L2003" s="1" cm="1">
        <f t="array" ref="L2003">(SUMPRODUCT(("Var_Cap"=[1]OUT_TransportEnergyCons!$B$4:$B$10000)*1,("-"=[1]OUT_TransportEnergyCons!$C$4:$C$10000)*1,ISNUMBER(SEARCH("tfl*bev*ext",[1]OUT_TransportEnergyCons!$A$4:$A$10000))*1,[1]OUT_TransportEnergyCons!J$4:J$10000))*1000</f>
        <v>0</v>
      </c>
      <c r="M2003" s="1" cm="1">
        <f t="array" ref="M2003">(SUMPRODUCT(("Var_Cap"=[1]OUT_TransportEnergyCons!$B$4:$B$10000)*1,("-"=[1]OUT_TransportEnergyCons!$C$4:$C$10000)*1,ISNUMBER(SEARCH("tfl*bev*ext",[1]OUT_TransportEnergyCons!$A$4:$A$10000))*1,[1]OUT_TransportEnergyCons!K$4:K$10000))*1000</f>
        <v>0</v>
      </c>
      <c r="N2003" s="1" cm="1">
        <f t="array" ref="N2003">(SUMPRODUCT(("Var_Cap"=[1]OUT_TransportEnergyCons!$B$4:$B$10000)*1,("-"=[1]OUT_TransportEnergyCons!$C$4:$C$10000)*1,ISNUMBER(SEARCH("tfl*bev*ext",[1]OUT_TransportEnergyCons!$A$4:$A$10000))*1,[1]OUT_TransportEnergyCons!L$4:L$10000))*1000</f>
        <v>0</v>
      </c>
      <c r="O2003" s="1" cm="1">
        <f t="array" ref="O2003">(SUMPRODUCT(("Var_Cap"=[1]OUT_TransportEnergyCons!$B$4:$B$10000)*1,("-"=[1]OUT_TransportEnergyCons!$C$4:$C$10000)*1,ISNUMBER(SEARCH("tfl*bev*ext",[1]OUT_TransportEnergyCons!$A$4:$A$10000))*1,[1]OUT_TransportEnergyCons!M$4:M$10000))*1000</f>
        <v>0</v>
      </c>
      <c r="P2003" s="1" cm="1">
        <f t="array" ref="P2003">(SUMPRODUCT(("Var_Cap"=[1]OUT_TransportEnergyCons!$B$4:$B$10000)*1,("-"=[1]OUT_TransportEnergyCons!$C$4:$C$10000)*1,ISNUMBER(SEARCH("tfl*bev*ext",[1]OUT_TransportEnergyCons!$A$4:$A$10000))*1,[1]OUT_TransportEnergyCons!N$4:N$10000))*1000</f>
        <v>0</v>
      </c>
      <c r="Q2003" s="1" cm="1">
        <f t="array" ref="Q2003">(SUMPRODUCT(("Var_Cap"=[1]OUT_TransportEnergyCons!$B$4:$B$10000)*1,("-"=[1]OUT_TransportEnergyCons!$C$4:$C$10000)*1,ISNUMBER(SEARCH("tfl*bev*ext",[1]OUT_TransportEnergyCons!$A$4:$A$10000))*1,[1]OUT_TransportEnergyCons!O$4:O$10000))*1000</f>
        <v>0</v>
      </c>
      <c r="S2003" s="3"/>
    </row>
    <row r="2004" spans="2:19" x14ac:dyDescent="0.5">
      <c r="B2004" s="5" t="str">
        <f t="shared" si="2169"/>
        <v>SPS1</v>
      </c>
      <c r="C2004" s="5" t="str">
        <f t="shared" si="2170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1.6990000000000003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3.7370179676941495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5.5422470416340301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80.770221256521367</v>
      </c>
      <c r="J2004" s="1" cm="1">
        <f t="array" ref="J2004">(SUMPRODUCT(("Var_Cap"=[1]OUT_TransportEnergyCons!$B$4:$B$10000)*1,("-"=[1]OUT_TransportEnergyCons!$C$4:$C$10000)*1,ISNUMBER(SEARCH("tfl*bev*",[1]OUT_TransportEnergyCons!$A$4:$A$10000))*1,[1]OUT_TransportEnergyCons!H$4:H$10000))*1000-J2003</f>
        <v>317.77600531421803</v>
      </c>
      <c r="K2004" s="1" cm="1">
        <f t="array" ref="K2004">(SUMPRODUCT(("Var_Cap"=[1]OUT_TransportEnergyCons!$B$4:$B$10000)*1,("-"=[1]OUT_TransportEnergyCons!$C$4:$C$10000)*1,ISNUMBER(SEARCH("tfl*bev*",[1]OUT_TransportEnergyCons!$A$4:$A$10000))*1,[1]OUT_TransportEnergyCons!I$4:I$10000))*1000-K2003</f>
        <v>470.74618333962133</v>
      </c>
      <c r="L2004" s="1" cm="1">
        <f t="array" ref="L2004">(SUMPRODUCT(("Var_Cap"=[1]OUT_TransportEnergyCons!$B$4:$B$10000)*1,("-"=[1]OUT_TransportEnergyCons!$C$4:$C$10000)*1,ISNUMBER(SEARCH("tfl*bev*",[1]OUT_TransportEnergyCons!$A$4:$A$10000))*1,[1]OUT_TransportEnergyCons!J$4:J$10000))*1000-L2003</f>
        <v>502.34668891627388</v>
      </c>
      <c r="M2004" s="1" cm="1">
        <f t="array" ref="M2004">(SUMPRODUCT(("Var_Cap"=[1]OUT_TransportEnergyCons!$B$4:$B$10000)*1,("-"=[1]OUT_TransportEnergyCons!$C$4:$C$10000)*1,ISNUMBER(SEARCH("tfl*bev*",[1]OUT_TransportEnergyCons!$A$4:$A$10000))*1,[1]OUT_TransportEnergyCons!K$4:K$10000))*1000-M2003</f>
        <v>538.36981060775406</v>
      </c>
      <c r="N2004" s="1" cm="1">
        <f t="array" ref="N2004">(SUMPRODUCT(("Var_Cap"=[1]OUT_TransportEnergyCons!$B$4:$B$10000)*1,("-"=[1]OUT_TransportEnergyCons!$C$4:$C$10000)*1,ISNUMBER(SEARCH("tfl*bev*",[1]OUT_TransportEnergyCons!$A$4:$A$10000))*1,[1]OUT_TransportEnergyCons!L$4:L$10000))*1000-N2003</f>
        <v>556.73650041663348</v>
      </c>
      <c r="O2004" s="1" cm="1">
        <f t="array" ref="O2004">(SUMPRODUCT(("Var_Cap"=[1]OUT_TransportEnergyCons!$B$4:$B$10000)*1,("-"=[1]OUT_TransportEnergyCons!$C$4:$C$10000)*1,ISNUMBER(SEARCH("tfl*bev*",[1]OUT_TransportEnergyCons!$A$4:$A$10000))*1,[1]OUT_TransportEnergyCons!M$4:M$10000))*1000-O2003</f>
        <v>573.16295571228068</v>
      </c>
      <c r="P2004" s="1" cm="1">
        <f t="array" ref="P2004">(SUMPRODUCT(("Var_Cap"=[1]OUT_TransportEnergyCons!$B$4:$B$10000)*1,("-"=[1]OUT_TransportEnergyCons!$C$4:$C$10000)*1,ISNUMBER(SEARCH("tfl*bev*",[1]OUT_TransportEnergyCons!$A$4:$A$10000))*1,[1]OUT_TransportEnergyCons!N$4:N$10000))*1000-P2003</f>
        <v>589.04329639665286</v>
      </c>
      <c r="Q2004" s="1" cm="1">
        <f t="array" ref="Q2004">(SUMPRODUCT(("Var_Cap"=[1]OUT_TransportEnergyCons!$B$4:$B$10000)*1,("-"=[1]OUT_TransportEnergyCons!$C$4:$C$10000)*1,ISNUMBER(SEARCH("tfl*bev*",[1]OUT_TransportEnergyCons!$A$4:$A$10000))*1,[1]OUT_TransportEnergyCons!O$4:O$10000))*1000-Q2003</f>
        <v>604.25484132901863</v>
      </c>
      <c r="S2004" s="3"/>
    </row>
    <row r="2005" spans="2:19" x14ac:dyDescent="0.5">
      <c r="B2005" s="5" t="str">
        <f t="shared" si="2169"/>
        <v>SPS1</v>
      </c>
      <c r="C2005" s="5" t="str">
        <f t="shared" si="2170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7.04125393970276E-4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1.0167202136157399E-3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9.9268866852041115E-5</v>
      </c>
      <c r="J2005" s="1" cm="1">
        <f t="array" ref="J2005">(SUMPRODUCT(("Var_Cap"=[1]OUT_TransportEnergyCons!$B$4:$B$10000)*1,("-"=[1]OUT_TransportEnergyCons!$C$4:$C$10000)*1,ISNUMBER(SEARCH("tfl*h2o*",[1]OUT_TransportEnergyCons!$A$4:$A$10000))*1,[1]OUT_TransportEnergyCons!H$4:H$10000))*1000</f>
        <v>9.5211202574667998E-5</v>
      </c>
      <c r="K2005" s="1" cm="1">
        <f t="array" ref="K2005">(SUMPRODUCT(("Var_Cap"=[1]OUT_TransportEnergyCons!$B$4:$B$10000)*1,("-"=[1]OUT_TransportEnergyCons!$C$4:$C$10000)*1,ISNUMBER(SEARCH("tfl*h2o*",[1]OUT_TransportEnergyCons!$A$4:$A$10000))*1,[1]OUT_TransportEnergyCons!I$4:I$10000))*1000</f>
        <v>8.8462851114039904E-5</v>
      </c>
      <c r="L2005" s="1" cm="1">
        <f t="array" ref="L2005">(SUMPRODUCT(("Var_Cap"=[1]OUT_TransportEnergyCons!$B$4:$B$10000)*1,("-"=[1]OUT_TransportEnergyCons!$C$4:$C$10000)*1,ISNUMBER(SEARCH("tfl*h2o*",[1]OUT_TransportEnergyCons!$A$4:$A$10000))*1,[1]OUT_TransportEnergyCons!J$4:J$10000))*1000</f>
        <v>9.6989895823951995E-5</v>
      </c>
      <c r="M2005" s="1" cm="1">
        <f t="array" ref="M2005">(SUMPRODUCT(("Var_Cap"=[1]OUT_TransportEnergyCons!$B$4:$B$10000)*1,("-"=[1]OUT_TransportEnergyCons!$C$4:$C$10000)*1,ISNUMBER(SEARCH("tfl*h2o*",[1]OUT_TransportEnergyCons!$A$4:$A$10000))*1,[1]OUT_TransportEnergyCons!K$4:K$10000))*1000</f>
        <v>8.8880512001863503E-5</v>
      </c>
      <c r="N2005" s="1" cm="1">
        <f t="array" ref="N2005">(SUMPRODUCT(("Var_Cap"=[1]OUT_TransportEnergyCons!$B$4:$B$10000)*1,("-"=[1]OUT_TransportEnergyCons!$C$4:$C$10000)*1,ISNUMBER(SEARCH("tfl*h2o*",[1]OUT_TransportEnergyCons!$A$4:$A$10000))*1,[1]OUT_TransportEnergyCons!L$4:L$10000))*1000</f>
        <v>8.8457027472295811E-5</v>
      </c>
      <c r="O2005" s="1" cm="1">
        <f t="array" ref="O2005">(SUMPRODUCT(("Var_Cap"=[1]OUT_TransportEnergyCons!$B$4:$B$10000)*1,("-"=[1]OUT_TransportEnergyCons!$C$4:$C$10000)*1,ISNUMBER(SEARCH("tfl*h2o*",[1]OUT_TransportEnergyCons!$A$4:$A$10000))*1,[1]OUT_TransportEnergyCons!M$4:M$10000))*1000</f>
        <v>8.5291379243305996E-5</v>
      </c>
      <c r="P2005" s="1" cm="1">
        <f t="array" ref="P2005">(SUMPRODUCT(("Var_Cap"=[1]OUT_TransportEnergyCons!$B$4:$B$10000)*1,("-"=[1]OUT_TransportEnergyCons!$C$4:$C$10000)*1,ISNUMBER(SEARCH("tfl*h2o*",[1]OUT_TransportEnergyCons!$A$4:$A$10000))*1,[1]OUT_TransportEnergyCons!N$4:N$10000))*1000</f>
        <v>7.6009367983718092E-5</v>
      </c>
      <c r="Q2005" s="1" cm="1">
        <f t="array" ref="Q2005">(SUMPRODUCT(("Var_Cap"=[1]OUT_TransportEnergyCons!$B$4:$B$10000)*1,("-"=[1]OUT_TransportEnergyCons!$C$4:$C$10000)*1,ISNUMBER(SEARCH("tfl*h2o*",[1]OUT_TransportEnergyCons!$A$4:$A$10000))*1,[1]OUT_TransportEnergyCons!O$4:O$10000))*1000</f>
        <v>1.4288459842710799E-4</v>
      </c>
      <c r="S2005" s="3"/>
    </row>
    <row r="2006" spans="2:19" x14ac:dyDescent="0.5">
      <c r="B2006" s="5" t="str">
        <f t="shared" si="2169"/>
        <v>SPS1</v>
      </c>
      <c r="C2006" s="5" t="str">
        <f t="shared" si="2170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39.825538884219618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30.6346666666667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6" s="1" cm="1">
        <f t="array" ref="J2006">(SUMPRODUCT(("Var_Cap"=[1]OUT_TransportEnergyCons!$B$4:$B$10000)*1,("-"=[1]OUT_TransportEnergyCons!$C$4:$C$10000)*1,ISNUMBER(SEARCH("TfL*ICE*GSL*ext",[1]OUT_TransportEnergyCons!$A$4:$A$10000))*1,[1]OUT_TransportEnergyCons!H$4:H$10000))*1000</f>
        <v>0</v>
      </c>
      <c r="K2006" s="1" cm="1">
        <f t="array" ref="K2006">(SUMPRODUCT(("Var_Cap"=[1]OUT_TransportEnergyCons!$B$4:$B$10000)*1,("-"=[1]OUT_TransportEnergyCons!$C$4:$C$10000)*1,ISNUMBER(SEARCH("TfL*ICE*GSL*ext",[1]OUT_TransportEnergyCons!$A$4:$A$10000))*1,[1]OUT_TransportEnergyCons!I$4:I$10000))*1000</f>
        <v>0</v>
      </c>
      <c r="L2006" s="1" cm="1">
        <f t="array" ref="L2006">(SUMPRODUCT(("Var_Cap"=[1]OUT_TransportEnergyCons!$B$4:$B$10000)*1,("-"=[1]OUT_TransportEnergyCons!$C$4:$C$10000)*1,ISNUMBER(SEARCH("TfL*ICE*GSL*ext",[1]OUT_TransportEnergyCons!$A$4:$A$10000))*1,[1]OUT_TransportEnergyCons!J$4:J$10000))*1000</f>
        <v>0</v>
      </c>
      <c r="M2006" s="1" cm="1">
        <f t="array" ref="M2006">(SUMPRODUCT(("Var_Cap"=[1]OUT_TransportEnergyCons!$B$4:$B$10000)*1,("-"=[1]OUT_TransportEnergyCons!$C$4:$C$10000)*1,ISNUMBER(SEARCH("TfL*ICE*GSL*ext",[1]OUT_TransportEnergyCons!$A$4:$A$10000))*1,[1]OUT_TransportEnergyCons!K$4:K$10000))*1000</f>
        <v>0</v>
      </c>
      <c r="N2006" s="1" cm="1">
        <f t="array" ref="N2006">(SUMPRODUCT(("Var_Cap"=[1]OUT_TransportEnergyCons!$B$4:$B$10000)*1,("-"=[1]OUT_TransportEnergyCons!$C$4:$C$10000)*1,ISNUMBER(SEARCH("TfL*ICE*GSL*ext",[1]OUT_TransportEnergyCons!$A$4:$A$10000))*1,[1]OUT_TransportEnergyCons!L$4:L$10000))*1000</f>
        <v>0</v>
      </c>
      <c r="O2006" s="1" cm="1">
        <f t="array" ref="O2006">(SUMPRODUCT(("Var_Cap"=[1]OUT_TransportEnergyCons!$B$4:$B$10000)*1,("-"=[1]OUT_TransportEnergyCons!$C$4:$C$10000)*1,ISNUMBER(SEARCH("TfL*ICE*GSL*ext",[1]OUT_TransportEnergyCons!$A$4:$A$10000))*1,[1]OUT_TransportEnergyCons!M$4:M$10000))*1000</f>
        <v>0</v>
      </c>
      <c r="P2006" s="1" cm="1">
        <f t="array" ref="P2006">(SUMPRODUCT(("Var_Cap"=[1]OUT_TransportEnergyCons!$B$4:$B$10000)*1,("-"=[1]OUT_TransportEnergyCons!$C$4:$C$10000)*1,ISNUMBER(SEARCH("TfL*ICE*GSL*ext",[1]OUT_TransportEnergyCons!$A$4:$A$10000))*1,[1]OUT_TransportEnergyCons!N$4:N$10000))*1000</f>
        <v>0</v>
      </c>
      <c r="Q2006" s="1" cm="1">
        <f t="array" ref="Q2006">(SUMPRODUCT(("Var_Cap"=[1]OUT_TransportEnergyCons!$B$4:$B$10000)*1,("-"=[1]OUT_TransportEnergyCons!$C$4:$C$10000)*1,ISNUMBER(SEARCH("TfL*ICE*GSL*ext",[1]OUT_TransportEnergyCons!$A$4:$A$10000))*1,[1]OUT_TransportEnergyCons!O$4:O$10000))*1000</f>
        <v>0</v>
      </c>
      <c r="S2006" s="3"/>
    </row>
    <row r="2007" spans="2:19" x14ac:dyDescent="0.5">
      <c r="B2007" s="5" t="str">
        <f t="shared" si="2169"/>
        <v>SPS1</v>
      </c>
      <c r="C2007" s="5" t="str">
        <f t="shared" si="2170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12.435000000000002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14.130054925871761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26.509412673839702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47.565953675301884</v>
      </c>
      <c r="J2007" s="1" cm="1">
        <f t="array" ref="J2007">(SUMPRODUCT(("Var_Cap"=[1]OUT_TransportEnergyCons!$B$4:$B$10000)*1,("-"=[1]OUT_TransportEnergyCons!$C$4:$C$10000)*1,ISNUMBER(SEARCH("TfL*ICE*GSL*",[1]OUT_TransportEnergyCons!$A$4:$A$10000))*1,[1]OUT_TransportEnergyCons!H$4:H$10000))*1000-J2006</f>
        <v>33.822408174491599</v>
      </c>
      <c r="K2007" s="1" cm="1">
        <f t="array" ref="K2007">(SUMPRODUCT(("Var_Cap"=[1]OUT_TransportEnergyCons!$B$4:$B$10000)*1,("-"=[1]OUT_TransportEnergyCons!$C$4:$C$10000)*1,ISNUMBER(SEARCH("TfL*ICE*GSL*",[1]OUT_TransportEnergyCons!$A$4:$A$10000))*1,[1]OUT_TransportEnergyCons!I$4:I$10000))*1000-K2006</f>
        <v>1.2996583642500142E-3</v>
      </c>
      <c r="L2007" s="1" cm="1">
        <f t="array" ref="L2007">(SUMPRODUCT(("Var_Cap"=[1]OUT_TransportEnergyCons!$B$4:$B$10000)*1,("-"=[1]OUT_TransportEnergyCons!$C$4:$C$10000)*1,ISNUMBER(SEARCH("TfL*ICE*GSL*",[1]OUT_TransportEnergyCons!$A$4:$A$10000))*1,[1]OUT_TransportEnergyCons!J$4:J$10000))*1000-L2006</f>
        <v>0</v>
      </c>
      <c r="M2007" s="1" cm="1">
        <f t="array" ref="M2007">(SUMPRODUCT(("Var_Cap"=[1]OUT_TransportEnergyCons!$B$4:$B$10000)*1,("-"=[1]OUT_TransportEnergyCons!$C$4:$C$10000)*1,ISNUMBER(SEARCH("TfL*ICE*GSL*",[1]OUT_TransportEnergyCons!$A$4:$A$10000))*1,[1]OUT_TransportEnergyCons!K$4:K$10000))*1000-M2006</f>
        <v>0</v>
      </c>
      <c r="N2007" s="1" cm="1">
        <f t="array" ref="N2007">(SUMPRODUCT(("Var_Cap"=[1]OUT_TransportEnergyCons!$B$4:$B$10000)*1,("-"=[1]OUT_TransportEnergyCons!$C$4:$C$10000)*1,ISNUMBER(SEARCH("TfL*ICE*GSL*",[1]OUT_TransportEnergyCons!$A$4:$A$10000))*1,[1]OUT_TransportEnergyCons!L$4:L$10000))*1000-N2006</f>
        <v>0</v>
      </c>
      <c r="O2007" s="1" cm="1">
        <f t="array" ref="O2007">(SUMPRODUCT(("Var_Cap"=[1]OUT_TransportEnergyCons!$B$4:$B$10000)*1,("-"=[1]OUT_TransportEnergyCons!$C$4:$C$10000)*1,ISNUMBER(SEARCH("TfL*ICE*GSL*",[1]OUT_TransportEnergyCons!$A$4:$A$10000))*1,[1]OUT_TransportEnergyCons!M$4:M$10000))*1000-O2006</f>
        <v>0</v>
      </c>
      <c r="P2007" s="1" cm="1">
        <f t="array" ref="P2007">(SUMPRODUCT(("Var_Cap"=[1]OUT_TransportEnergyCons!$B$4:$B$10000)*1,("-"=[1]OUT_TransportEnergyCons!$C$4:$C$10000)*1,ISNUMBER(SEARCH("TfL*ICE*GSL*",[1]OUT_TransportEnergyCons!$A$4:$A$10000))*1,[1]OUT_TransportEnergyCons!N$4:N$10000))*1000-P2006</f>
        <v>0</v>
      </c>
      <c r="Q2007" s="1" cm="1">
        <f t="array" ref="Q2007">(SUMPRODUCT(("Var_Cap"=[1]OUT_TransportEnergyCons!$B$4:$B$10000)*1,("-"=[1]OUT_TransportEnergyCons!$C$4:$C$10000)*1,ISNUMBER(SEARCH("TfL*ICE*GSL*",[1]OUT_TransportEnergyCons!$A$4:$A$10000))*1,[1]OUT_TransportEnergyCons!O$4:O$10000))*1000-Q2006</f>
        <v>0</v>
      </c>
      <c r="S2007" s="3"/>
    </row>
    <row r="2008" spans="2:19" x14ac:dyDescent="0.5">
      <c r="B2008" s="5" t="str">
        <f t="shared" si="2169"/>
        <v>SPS1</v>
      </c>
      <c r="C2008" s="5" t="str">
        <f t="shared" si="2170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228.69336234421212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152.66200000000001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8" s="1" cm="1">
        <f t="array" ref="J2008">(SUMPRODUCT(("Var_Cap"=[1]OUT_TransportEnergyCons!$B$4:$B$10000)*1,("-"=[1]OUT_TransportEnergyCons!$C$4:$C$10000)*1,ISNUMBER(SEARCH("tfl*ICE*DSL*ext",[1]OUT_TransportEnergyCons!$A$4:$A$10000))*1,[1]OUT_TransportEnergyCons!H$4:H$10000))*1000</f>
        <v>0</v>
      </c>
      <c r="K2008" s="1" cm="1">
        <f t="array" ref="K2008">(SUMPRODUCT(("Var_Cap"=[1]OUT_TransportEnergyCons!$B$4:$B$10000)*1,("-"=[1]OUT_TransportEnergyCons!$C$4:$C$10000)*1,ISNUMBER(SEARCH("tfl*ICE*DSL*ext",[1]OUT_TransportEnergyCons!$A$4:$A$10000))*1,[1]OUT_TransportEnergyCons!I$4:I$10000))*1000</f>
        <v>0</v>
      </c>
      <c r="L2008" s="1" cm="1">
        <f t="array" ref="L2008">(SUMPRODUCT(("Var_Cap"=[1]OUT_TransportEnergyCons!$B$4:$B$10000)*1,("-"=[1]OUT_TransportEnergyCons!$C$4:$C$10000)*1,ISNUMBER(SEARCH("tfl*ICE*DSL*ext",[1]OUT_TransportEnergyCons!$A$4:$A$10000))*1,[1]OUT_TransportEnergyCons!J$4:J$10000))*1000</f>
        <v>0</v>
      </c>
      <c r="M2008" s="1" cm="1">
        <f t="array" ref="M2008">(SUMPRODUCT(("Var_Cap"=[1]OUT_TransportEnergyCons!$B$4:$B$10000)*1,("-"=[1]OUT_TransportEnergyCons!$C$4:$C$10000)*1,ISNUMBER(SEARCH("tfl*ICE*DSL*ext",[1]OUT_TransportEnergyCons!$A$4:$A$10000))*1,[1]OUT_TransportEnergyCons!K$4:K$10000))*1000</f>
        <v>0</v>
      </c>
      <c r="N2008" s="1" cm="1">
        <f t="array" ref="N2008">(SUMPRODUCT(("Var_Cap"=[1]OUT_TransportEnergyCons!$B$4:$B$10000)*1,("-"=[1]OUT_TransportEnergyCons!$C$4:$C$10000)*1,ISNUMBER(SEARCH("tfl*ICE*DSL*ext",[1]OUT_TransportEnergyCons!$A$4:$A$10000))*1,[1]OUT_TransportEnergyCons!L$4:L$10000))*1000</f>
        <v>0</v>
      </c>
      <c r="O2008" s="1" cm="1">
        <f t="array" ref="O2008">(SUMPRODUCT(("Var_Cap"=[1]OUT_TransportEnergyCons!$B$4:$B$10000)*1,("-"=[1]OUT_TransportEnergyCons!$C$4:$C$10000)*1,ISNUMBER(SEARCH("tfl*ICE*DSL*ext",[1]OUT_TransportEnergyCons!$A$4:$A$10000))*1,[1]OUT_TransportEnergyCons!M$4:M$10000))*1000</f>
        <v>0</v>
      </c>
      <c r="P2008" s="1" cm="1">
        <f t="array" ref="P2008">(SUMPRODUCT(("Var_Cap"=[1]OUT_TransportEnergyCons!$B$4:$B$10000)*1,("-"=[1]OUT_TransportEnergyCons!$C$4:$C$10000)*1,ISNUMBER(SEARCH("tfl*ICE*DSL*ext",[1]OUT_TransportEnergyCons!$A$4:$A$10000))*1,[1]OUT_TransportEnergyCons!N$4:N$10000))*1000</f>
        <v>0</v>
      </c>
      <c r="Q2008" s="1" cm="1">
        <f t="array" ref="Q2008">(SUMPRODUCT(("Var_Cap"=[1]OUT_TransportEnergyCons!$B$4:$B$10000)*1,("-"=[1]OUT_TransportEnergyCons!$C$4:$C$10000)*1,ISNUMBER(SEARCH("tfl*ICE*DSL*ext",[1]OUT_TransportEnergyCons!$A$4:$A$10000))*1,[1]OUT_TransportEnergyCons!O$4:O$10000))*1000</f>
        <v>0</v>
      </c>
      <c r="S2008" s="3"/>
    </row>
    <row r="2009" spans="2:19" x14ac:dyDescent="0.5">
      <c r="B2009" s="5" t="str">
        <f t="shared" si="2169"/>
        <v>SPS1</v>
      </c>
      <c r="C2009" s="5" t="str">
        <f t="shared" si="2170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106.16899999999998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125.16068447048264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125.19166985073511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70.892556637623684</v>
      </c>
      <c r="J2009" s="1" cm="1">
        <f t="array" ref="J2009">(SUMPRODUCT(("Var_Cap"=[1]OUT_TransportEnergyCons!$B$4:$B$10000)*1,("-"=[1]OUT_TransportEnergyCons!$C$4:$C$10000)*1,ISNUMBER(SEARCH("tfl*ICE*DSL*",[1]OUT_TransportEnergyCons!$A$4:$A$10000))*1,[1]OUT_TransportEnergyCons!H$4:H$10000))*1000-J2008</f>
        <v>3.0479630270031602E-2</v>
      </c>
      <c r="K2009" s="1" cm="1">
        <f t="array" ref="K2009">(SUMPRODUCT(("Var_Cap"=[1]OUT_TransportEnergyCons!$B$4:$B$10000)*1,("-"=[1]OUT_TransportEnergyCons!$C$4:$C$10000)*1,ISNUMBER(SEARCH("tfl*ICE*DSL*",[1]OUT_TransportEnergyCons!$A$4:$A$10000))*1,[1]OUT_TransportEnergyCons!I$4:I$10000))*1000-K2008</f>
        <v>1.304654818488E-3</v>
      </c>
      <c r="L2009" s="1" cm="1">
        <f t="array" ref="L2009">(SUMPRODUCT(("Var_Cap"=[1]OUT_TransportEnergyCons!$B$4:$B$10000)*1,("-"=[1]OUT_TransportEnergyCons!$C$4:$C$10000)*1,ISNUMBER(SEARCH("tfl*ICE*DSL*",[1]OUT_TransportEnergyCons!$A$4:$A$10000))*1,[1]OUT_TransportEnergyCons!J$4:J$10000))*1000-L2008</f>
        <v>0</v>
      </c>
      <c r="M2009" s="1" cm="1">
        <f t="array" ref="M2009">(SUMPRODUCT(("Var_Cap"=[1]OUT_TransportEnergyCons!$B$4:$B$10000)*1,("-"=[1]OUT_TransportEnergyCons!$C$4:$C$10000)*1,ISNUMBER(SEARCH("tfl*ICE*DSL*",[1]OUT_TransportEnergyCons!$A$4:$A$10000))*1,[1]OUT_TransportEnergyCons!K$4:K$10000))*1000-M2008</f>
        <v>0</v>
      </c>
      <c r="N2009" s="1" cm="1">
        <f t="array" ref="N2009">(SUMPRODUCT(("Var_Cap"=[1]OUT_TransportEnergyCons!$B$4:$B$10000)*1,("-"=[1]OUT_TransportEnergyCons!$C$4:$C$10000)*1,ISNUMBER(SEARCH("tfl*ICE*DSL*",[1]OUT_TransportEnergyCons!$A$4:$A$10000))*1,[1]OUT_TransportEnergyCons!L$4:L$10000))*1000-N2008</f>
        <v>0</v>
      </c>
      <c r="O2009" s="1" cm="1">
        <f t="array" ref="O2009">(SUMPRODUCT(("Var_Cap"=[1]OUT_TransportEnergyCons!$B$4:$B$10000)*1,("-"=[1]OUT_TransportEnergyCons!$C$4:$C$10000)*1,ISNUMBER(SEARCH("tfl*ICE*DSL*",[1]OUT_TransportEnergyCons!$A$4:$A$10000))*1,[1]OUT_TransportEnergyCons!M$4:M$10000))*1000-O2008</f>
        <v>0</v>
      </c>
      <c r="P2009" s="1" cm="1">
        <f t="array" ref="P2009">(SUMPRODUCT(("Var_Cap"=[1]OUT_TransportEnergyCons!$B$4:$B$10000)*1,("-"=[1]OUT_TransportEnergyCons!$C$4:$C$10000)*1,ISNUMBER(SEARCH("tfl*ICE*DSL*",[1]OUT_TransportEnergyCons!$A$4:$A$10000))*1,[1]OUT_TransportEnergyCons!N$4:N$10000))*1000-P2008</f>
        <v>0</v>
      </c>
      <c r="Q2009" s="1" cm="1">
        <f t="array" ref="Q2009">(SUMPRODUCT(("Var_Cap"=[1]OUT_TransportEnergyCons!$B$4:$B$10000)*1,("-"=[1]OUT_TransportEnergyCons!$C$4:$C$10000)*1,ISNUMBER(SEARCH("tfl*ICE*DSL*",[1]OUT_TransportEnergyCons!$A$4:$A$10000))*1,[1]OUT_TransportEnergyCons!O$4:O$10000))*1000-Q2008</f>
        <v>0</v>
      </c>
      <c r="S2009" s="3"/>
    </row>
    <row r="2010" spans="2:19" x14ac:dyDescent="0.5">
      <c r="B2010" s="5" t="str">
        <f t="shared" si="2169"/>
        <v>SPS1</v>
      </c>
      <c r="C2010" s="5" t="str">
        <f t="shared" si="2170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13.881897696897299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63.139972385963901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128.34866108299701</v>
      </c>
      <c r="J2010" s="1" cm="1">
        <f t="array" ref="J2010">(SUMPRODUCT(("Var_Cap"=[1]OUT_TransportEnergyCons!$B$4:$B$10000)*1,("-"=[1]OUT_TransportEnergyCons!$C$4:$C$10000)*1,ISNUMBER(SEARCH("tfl*hyb*DSL*",[1]OUT_TransportEnergyCons!$A$4:$A$10000))*1,[1]OUT_TransportEnergyCons!H$4:H$10000))*1000</f>
        <v>92.285045790706207</v>
      </c>
      <c r="K2010" s="1" cm="1">
        <f t="array" ref="K2010">(SUMPRODUCT(("Var_Cap"=[1]OUT_TransportEnergyCons!$B$4:$B$10000)*1,("-"=[1]OUT_TransportEnergyCons!$C$4:$C$10000)*1,ISNUMBER(SEARCH("tfl*hyb*DSL*",[1]OUT_TransportEnergyCons!$A$4:$A$10000))*1,[1]OUT_TransportEnergyCons!I$4:I$10000))*1000</f>
        <v>1.4435201080003485E-3</v>
      </c>
      <c r="L2010" s="1" cm="1">
        <f t="array" ref="L2010">(SUMPRODUCT(("Var_Cap"=[1]OUT_TransportEnergyCons!$B$4:$B$10000)*1,("-"=[1]OUT_TransportEnergyCons!$C$4:$C$10000)*1,ISNUMBER(SEARCH("tfl*hyb*DSL*",[1]OUT_TransportEnergyCons!$A$4:$A$10000))*1,[1]OUT_TransportEnergyCons!J$4:J$10000))*1000</f>
        <v>0</v>
      </c>
      <c r="M2010" s="1" cm="1">
        <f t="array" ref="M2010">(SUMPRODUCT(("Var_Cap"=[1]OUT_TransportEnergyCons!$B$4:$B$10000)*1,("-"=[1]OUT_TransportEnergyCons!$C$4:$C$10000)*1,ISNUMBER(SEARCH("tfl*hyb*DSL*",[1]OUT_TransportEnergyCons!$A$4:$A$10000))*1,[1]OUT_TransportEnergyCons!K$4:K$10000))*1000</f>
        <v>0</v>
      </c>
      <c r="N2010" s="1" cm="1">
        <f t="array" ref="N2010">(SUMPRODUCT(("Var_Cap"=[1]OUT_TransportEnergyCons!$B$4:$B$10000)*1,("-"=[1]OUT_TransportEnergyCons!$C$4:$C$10000)*1,ISNUMBER(SEARCH("tfl*hyb*DSL*",[1]OUT_TransportEnergyCons!$A$4:$A$10000))*1,[1]OUT_TransportEnergyCons!L$4:L$10000))*1000</f>
        <v>0</v>
      </c>
      <c r="O2010" s="1" cm="1">
        <f t="array" ref="O2010">(SUMPRODUCT(("Var_Cap"=[1]OUT_TransportEnergyCons!$B$4:$B$10000)*1,("-"=[1]OUT_TransportEnergyCons!$C$4:$C$10000)*1,ISNUMBER(SEARCH("tfl*hyb*DSL*",[1]OUT_TransportEnergyCons!$A$4:$A$10000))*1,[1]OUT_TransportEnergyCons!M$4:M$10000))*1000</f>
        <v>0</v>
      </c>
      <c r="P2010" s="1" cm="1">
        <f t="array" ref="P2010">(SUMPRODUCT(("Var_Cap"=[1]OUT_TransportEnergyCons!$B$4:$B$10000)*1,("-"=[1]OUT_TransportEnergyCons!$C$4:$C$10000)*1,ISNUMBER(SEARCH("tfl*hyb*DSL*",[1]OUT_TransportEnergyCons!$A$4:$A$10000))*1,[1]OUT_TransportEnergyCons!N$4:N$10000))*1000</f>
        <v>0</v>
      </c>
      <c r="Q2010" s="1" cm="1">
        <f t="array" ref="Q2010">(SUMPRODUCT(("Var_Cap"=[1]OUT_TransportEnergyCons!$B$4:$B$10000)*1,("-"=[1]OUT_TransportEnergyCons!$C$4:$C$10000)*1,ISNUMBER(SEARCH("tfl*hyb*DSL*",[1]OUT_TransportEnergyCons!$A$4:$A$10000))*1,[1]OUT_TransportEnergyCons!O$4:O$10000))*1000</f>
        <v>0</v>
      </c>
      <c r="S2010" s="3"/>
    </row>
    <row r="2011" spans="2:19" x14ac:dyDescent="0.5">
      <c r="B2011" s="5" t="str">
        <f t="shared" si="2169"/>
        <v>SPS1</v>
      </c>
      <c r="C2011" s="5" t="str">
        <f t="shared" si="2170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2.6679255841666083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2.5165757433397302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2.1000025780825515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-6.3104232793527969E-6</v>
      </c>
      <c r="J2011" s="1" cm="1">
        <f t="array" ref="J2011">(SUMPRODUCT(("Var_Cap"=[1]OUT_TransportEnergyCons!$B$4:$B$10000)*1,("-"=[1]OUT_TransportEnergyCons!$C$4:$C$10000)*1,ISNUMBER(SEARCH("tfl*ice*nga*",[1]OUT_TransportEnergyCons!$A$4:$A$10000))*1,[1]OUT_TransportEnergyCons!H$4:H$10000))*1000</f>
        <v>-6.7510650524100341E-7</v>
      </c>
      <c r="K2011" s="1" cm="1">
        <f t="array" ref="K2011">(SUMPRODUCT(("Var_Cap"=[1]OUT_TransportEnergyCons!$B$4:$B$10000)*1,("-"=[1]OUT_TransportEnergyCons!$C$4:$C$10000)*1,ISNUMBER(SEARCH("tfl*ice*nga*",[1]OUT_TransportEnergyCons!$A$4:$A$10000))*1,[1]OUT_TransportEnergyCons!I$4:I$10000))*1000</f>
        <v>0</v>
      </c>
      <c r="L2011" s="1" cm="1">
        <f t="array" ref="L2011">(SUMPRODUCT(("Var_Cap"=[1]OUT_TransportEnergyCons!$B$4:$B$10000)*1,("-"=[1]OUT_TransportEnergyCons!$C$4:$C$10000)*1,ISNUMBER(SEARCH("tfl*ice*nga*",[1]OUT_TransportEnergyCons!$A$4:$A$10000))*1,[1]OUT_TransportEnergyCons!J$4:J$10000))*1000</f>
        <v>0</v>
      </c>
      <c r="M2011" s="1" cm="1">
        <f t="array" ref="M2011">(SUMPRODUCT(("Var_Cap"=[1]OUT_TransportEnergyCons!$B$4:$B$10000)*1,("-"=[1]OUT_TransportEnergyCons!$C$4:$C$10000)*1,ISNUMBER(SEARCH("tfl*ice*nga*",[1]OUT_TransportEnergyCons!$A$4:$A$10000))*1,[1]OUT_TransportEnergyCons!K$4:K$10000))*1000</f>
        <v>0</v>
      </c>
      <c r="N2011" s="1" cm="1">
        <f t="array" ref="N2011">(SUMPRODUCT(("Var_Cap"=[1]OUT_TransportEnergyCons!$B$4:$B$10000)*1,("-"=[1]OUT_TransportEnergyCons!$C$4:$C$10000)*1,ISNUMBER(SEARCH("tfl*ice*nga*",[1]OUT_TransportEnergyCons!$A$4:$A$10000))*1,[1]OUT_TransportEnergyCons!L$4:L$10000))*1000</f>
        <v>0</v>
      </c>
      <c r="O2011" s="1" cm="1">
        <f t="array" ref="O2011">(SUMPRODUCT(("Var_Cap"=[1]OUT_TransportEnergyCons!$B$4:$B$10000)*1,("-"=[1]OUT_TransportEnergyCons!$C$4:$C$10000)*1,ISNUMBER(SEARCH("tfl*ice*nga*",[1]OUT_TransportEnergyCons!$A$4:$A$10000))*1,[1]OUT_TransportEnergyCons!M$4:M$10000))*1000</f>
        <v>0</v>
      </c>
      <c r="P2011" s="1" cm="1">
        <f t="array" ref="P2011">(SUMPRODUCT(("Var_Cap"=[1]OUT_TransportEnergyCons!$B$4:$B$10000)*1,("-"=[1]OUT_TransportEnergyCons!$C$4:$C$10000)*1,ISNUMBER(SEARCH("tfl*ice*nga*",[1]OUT_TransportEnergyCons!$A$4:$A$10000))*1,[1]OUT_TransportEnergyCons!N$4:N$10000))*1000</f>
        <v>0</v>
      </c>
      <c r="Q2011" s="1" cm="1">
        <f t="array" ref="Q2011">(SUMPRODUCT(("Var_Cap"=[1]OUT_TransportEnergyCons!$B$4:$B$10000)*1,("-"=[1]OUT_TransportEnergyCons!$C$4:$C$10000)*1,ISNUMBER(SEARCH("tfl*ice*nga*",[1]OUT_TransportEnergyCons!$A$4:$A$10000))*1,[1]OUT_TransportEnergyCons!O$4:O$10000))*1000</f>
        <v>0</v>
      </c>
      <c r="S2011" s="3"/>
    </row>
    <row r="2012" spans="2:19" x14ac:dyDescent="0.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41.456974936711369</v>
      </c>
      <c r="G2012" s="3">
        <f t="shared" ref="G2012" si="2171">SUM(G2013:G2021)</f>
        <v>43.007438956074779</v>
      </c>
      <c r="H2012" s="3">
        <f t="shared" ref="H2012" si="2172">SUM(H2013:H2021)</f>
        <v>43.497576536104908</v>
      </c>
      <c r="I2012" s="3">
        <f t="shared" ref="I2012" si="2173">SUM(I2013:I2021)</f>
        <v>45.398309356594766</v>
      </c>
      <c r="J2012" s="3">
        <f t="shared" ref="J2012" si="2174">SUM(J2013:J2021)</f>
        <v>47.377773908337296</v>
      </c>
      <c r="K2012" s="3">
        <f t="shared" ref="K2012" si="2175">SUM(K2013:K2021)</f>
        <v>49.358501322911323</v>
      </c>
      <c r="L2012" s="3">
        <f t="shared" ref="L2012:O2012" si="2176">SUM(L2013:L2021)</f>
        <v>51.363922006077672</v>
      </c>
      <c r="M2012" s="3">
        <f t="shared" si="2176"/>
        <v>53.368860486954475</v>
      </c>
      <c r="N2012" s="3">
        <f t="shared" si="2176"/>
        <v>55.270132763091134</v>
      </c>
      <c r="O2012" s="3">
        <f t="shared" si="2176"/>
        <v>57.195063622537155</v>
      </c>
      <c r="P2012" s="3">
        <f>SUM(P2013:P2021)</f>
        <v>59.23231546287446</v>
      </c>
      <c r="Q2012" s="3">
        <f>SUM(Q2013:Q2021)</f>
        <v>61.550232232208259</v>
      </c>
      <c r="S2012" s="3"/>
    </row>
    <row r="2013" spans="2:19" x14ac:dyDescent="0.5">
      <c r="B2013" s="5" t="str">
        <f t="shared" ref="B2013:B2021" si="2177">B2012</f>
        <v>SPS1</v>
      </c>
      <c r="C2013" s="5" t="str">
        <f t="shared" ref="C2013:C2021" si="2178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(SUMPRODUCT(("Var_Cap"=[1]OUT_TransportEnergyCons!$B$4:$B$10000)*1,("-"=[1]OUT_TransportEnergyCons!$C$4:$C$10000)*1,ISNUMBER(SEARCH("tfh*bev*ext",[1]OUT_TransportEnergyCons!$A$4:$A$10000))*1,[1]OUT_TransportEnergyCons!H$4:H$10000))*1000</f>
        <v>0</v>
      </c>
      <c r="K2013" s="1" cm="1">
        <f t="array" ref="K2013">(SUMPRODUCT(("Var_Cap"=[1]OUT_TransportEnergyCons!$B$4:$B$10000)*1,("-"=[1]OUT_TransportEnergyCons!$C$4:$C$10000)*1,ISNUMBER(SEARCH("tfh*bev*ext",[1]OUT_TransportEnergyCons!$A$4:$A$10000))*1,[1]OUT_TransportEnergyCons!I$4:I$10000))*1000</f>
        <v>0</v>
      </c>
      <c r="L2013" s="1" cm="1">
        <f t="array" ref="L2013">(SUMPRODUCT(("Var_Cap"=[1]OUT_TransportEnergyCons!$B$4:$B$10000)*1,("-"=[1]OUT_TransportEnergyCons!$C$4:$C$10000)*1,ISNUMBER(SEARCH("tfh*bev*ext",[1]OUT_TransportEnergyCons!$A$4:$A$10000))*1,[1]OUT_TransportEnergyCons!J$4:J$10000))*1000</f>
        <v>0</v>
      </c>
      <c r="M2013" s="1" cm="1">
        <f t="array" ref="M2013">(SUMPRODUCT(("Var_Cap"=[1]OUT_TransportEnergyCons!$B$4:$B$10000)*1,("-"=[1]OUT_TransportEnergyCons!$C$4:$C$10000)*1,ISNUMBER(SEARCH("tfh*bev*ext",[1]OUT_TransportEnergyCons!$A$4:$A$10000))*1,[1]OUT_TransportEnergyCons!K$4:K$10000))*1000</f>
        <v>0</v>
      </c>
      <c r="N2013" s="1" cm="1">
        <f t="array" ref="N2013">(SUMPRODUCT(("Var_Cap"=[1]OUT_TransportEnergyCons!$B$4:$B$10000)*1,("-"=[1]OUT_TransportEnergyCons!$C$4:$C$10000)*1,ISNUMBER(SEARCH("tfh*bev*ext",[1]OUT_TransportEnergyCons!$A$4:$A$10000))*1,[1]OUT_TransportEnergyCons!L$4:L$10000))*1000</f>
        <v>0</v>
      </c>
      <c r="O2013" s="1" cm="1">
        <f t="array" ref="O2013">(SUMPRODUCT(("Var_Cap"=[1]OUT_TransportEnergyCons!$B$4:$B$10000)*1,("-"=[1]OUT_TransportEnergyCons!$C$4:$C$10000)*1,ISNUMBER(SEARCH("tfh*bev*ext",[1]OUT_TransportEnergyCons!$A$4:$A$10000))*1,[1]OUT_TransportEnergyCons!M$4:M$10000))*1000</f>
        <v>0</v>
      </c>
      <c r="P2013" s="1" cm="1">
        <f t="array" ref="P2013">(SUMPRODUCT(("Var_Cap"=[1]OUT_TransportEnergyCons!$B$4:$B$10000)*1,("-"=[1]OUT_TransportEnergyCons!$C$4:$C$10000)*1,ISNUMBER(SEARCH("tfh*bev*ext",[1]OUT_TransportEnergyCons!$A$4:$A$10000))*1,[1]OUT_TransportEnergyCons!N$4:N$10000))*1000</f>
        <v>0</v>
      </c>
      <c r="Q2013" s="1" cm="1">
        <f t="array" ref="Q2013">(SUMPRODUCT(("Var_Cap"=[1]OUT_TransportEnergyCons!$B$4:$B$10000)*1,("-"=[1]OUT_TransportEnergyCons!$C$4:$C$10000)*1,ISNUMBER(SEARCH("tfh*bev*ext",[1]OUT_TransportEnergyCons!$A$4:$A$10000))*1,[1]OUT_TransportEnergyCons!O$4:O$10000))*1000</f>
        <v>0</v>
      </c>
      <c r="S2013" s="3"/>
    </row>
    <row r="2014" spans="2:19" x14ac:dyDescent="0.5">
      <c r="B2014" s="5" t="str">
        <f t="shared" si="2177"/>
        <v>SPS1</v>
      </c>
      <c r="C2014" s="5" t="str">
        <f t="shared" si="2178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2.8036149432068596E-2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3.3588121749413627E-2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3.4657797715931783E-2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1.1808973774176191E-2</v>
      </c>
      <c r="J2014" s="1" cm="1">
        <f t="array" ref="J2014">(SUMPRODUCT(("Var_Cap"=[1]OUT_TransportEnergyCons!$B$4:$B$10000)*1,("-"=[1]OUT_TransportEnergyCons!$C$4:$C$10000)*1,ISNUMBER(SEARCH("tfh*bev*",[1]OUT_TransportEnergyCons!$A$4:$A$10000))*1,[1]OUT_TransportEnergyCons!H$4:H$10000))*1000-J2013</f>
        <v>8.2331734339935299</v>
      </c>
      <c r="K2014" s="1" cm="1">
        <f t="array" ref="K2014">(SUMPRODUCT(("Var_Cap"=[1]OUT_TransportEnergyCons!$B$4:$B$10000)*1,("-"=[1]OUT_TransportEnergyCons!$C$4:$C$10000)*1,ISNUMBER(SEARCH("tfh*bev*",[1]OUT_TransportEnergyCons!$A$4:$A$10000))*1,[1]OUT_TransportEnergyCons!I$4:I$10000))*1000-K2013</f>
        <v>14.188138312361501</v>
      </c>
      <c r="L2014" s="1" cm="1">
        <f t="array" ref="L2014">(SUMPRODUCT(("Var_Cap"=[1]OUT_TransportEnergyCons!$B$4:$B$10000)*1,("-"=[1]OUT_TransportEnergyCons!$C$4:$C$10000)*1,ISNUMBER(SEARCH("tfh*bev*",[1]OUT_TransportEnergyCons!$A$4:$A$10000))*1,[1]OUT_TransportEnergyCons!J$4:J$10000))*1000-L2013</f>
        <v>34.185969792315895</v>
      </c>
      <c r="M2014" s="1" cm="1">
        <f t="array" ref="M2014">(SUMPRODUCT(("Var_Cap"=[1]OUT_TransportEnergyCons!$B$4:$B$10000)*1,("-"=[1]OUT_TransportEnergyCons!$C$4:$C$10000)*1,ISNUMBER(SEARCH("tfh*bev*",[1]OUT_TransportEnergyCons!$A$4:$A$10000))*1,[1]OUT_TransportEnergyCons!K$4:K$10000))*1000-M2013</f>
        <v>45.128576389166206</v>
      </c>
      <c r="N2014" s="1" cm="1">
        <f t="array" ref="N2014">(SUMPRODUCT(("Var_Cap"=[1]OUT_TransportEnergyCons!$B$4:$B$10000)*1,("-"=[1]OUT_TransportEnergyCons!$C$4:$C$10000)*1,ISNUMBER(SEARCH("tfh*bev*",[1]OUT_TransportEnergyCons!$A$4:$A$10000))*1,[1]OUT_TransportEnergyCons!L$4:L$10000))*1000-N2013</f>
        <v>55.270027955427906</v>
      </c>
      <c r="O2014" s="1" cm="1">
        <f t="array" ref="O2014">(SUMPRODUCT(("Var_Cap"=[1]OUT_TransportEnergyCons!$B$4:$B$10000)*1,("-"=[1]OUT_TransportEnergyCons!$C$4:$C$10000)*1,ISNUMBER(SEARCH("tfh*bev*",[1]OUT_TransportEnergyCons!$A$4:$A$10000))*1,[1]OUT_TransportEnergyCons!M$4:M$10000))*1000-O2013</f>
        <v>57.194962655599902</v>
      </c>
      <c r="P2014" s="1" cm="1">
        <f t="array" ref="P2014">(SUMPRODUCT(("Var_Cap"=[1]OUT_TransportEnergyCons!$B$4:$B$10000)*1,("-"=[1]OUT_TransportEnergyCons!$C$4:$C$10000)*1,ISNUMBER(SEARCH("tfh*bev*",[1]OUT_TransportEnergyCons!$A$4:$A$10000))*1,[1]OUT_TransportEnergyCons!N$4:N$10000))*1000-P2013</f>
        <v>59.232213495074205</v>
      </c>
      <c r="Q2014" s="1" cm="1">
        <f t="array" ref="Q2014">(SUMPRODUCT(("Var_Cap"=[1]OUT_TransportEnergyCons!$B$4:$B$10000)*1,("-"=[1]OUT_TransportEnergyCons!$C$4:$C$10000)*1,ISNUMBER(SEARCH("tfh*bev*",[1]OUT_TransportEnergyCons!$A$4:$A$10000))*1,[1]OUT_TransportEnergyCons!O$4:O$10000))*1000-Q2013</f>
        <v>61.550099923985201</v>
      </c>
      <c r="S2014" s="3"/>
    </row>
    <row r="2015" spans="2:19" x14ac:dyDescent="0.5">
      <c r="B2015" s="5" t="str">
        <f t="shared" si="2177"/>
        <v>SPS1</v>
      </c>
      <c r="C2015" s="5" t="str">
        <f t="shared" si="2178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1.019082243224299E-2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2.7050198260026919E-3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2.7383115532452792E-3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1.2716082095004148E-4</v>
      </c>
      <c r="J2015" s="1" cm="1">
        <f t="array" ref="J2015">IF((SUMPRODUCT(("Var_Cap"=[1]OUT_TransportEnergyCons!$B$4:$B$10000)*1,("-"=[1]OUT_TransportEnergyCons!$C$4:$C$10000)*1,ISNUMBER(SEARCH("tfh*h2o*",[1]OUT_TransportEnergyCons!$A$4:$A$10000))*1,[1]OUT_TransportEnergyCons!H$4:H$10000))*1000&lt;0,0,(SUMPRODUCT(("Var_Cap"=[1]OUT_TransportEnergyCons!$B$4:$B$10000)*1,("-"=[1]OUT_TransportEnergyCons!$C$4:$C$10000)*1,ISNUMBER(SEARCH("tfh*h2o*",[1]OUT_TransportEnergyCons!$A$4:$A$10000))*1,[1]OUT_TransportEnergyCons!H$4:H$10000))*1000)</f>
        <v>1.24594466000961E-4</v>
      </c>
      <c r="K2015" s="1" cm="1">
        <f t="array" ref="K2015">IF((SUMPRODUCT(("Var_Cap"=[1]OUT_TransportEnergyCons!$B$4:$B$10000)*1,("-"=[1]OUT_TransportEnergyCons!$C$4:$C$10000)*1,ISNUMBER(SEARCH("tfh*h2o*",[1]OUT_TransportEnergyCons!$A$4:$A$10000))*1,[1]OUT_TransportEnergyCons!I$4:I$10000))*1000&lt;0,0,(SUMPRODUCT(("Var_Cap"=[1]OUT_TransportEnergyCons!$B$4:$B$10000)*1,("-"=[1]OUT_TransportEnergyCons!$C$4:$C$10000)*1,ISNUMBER(SEARCH("tfh*h2o*",[1]OUT_TransportEnergyCons!$A$4:$A$10000))*1,[1]OUT_TransportEnergyCons!I$4:I$10000))*1000)</f>
        <v>1.194654940847405E-4</v>
      </c>
      <c r="L2015" s="1" cm="1">
        <f t="array" ref="L2015">IF((SUMPRODUCT(("Var_Cap"=[1]OUT_TransportEnergyCons!$B$4:$B$10000)*1,("-"=[1]OUT_TransportEnergyCons!$C$4:$C$10000)*1,ISNUMBER(SEARCH("tfh*h2o*",[1]OUT_TransportEnergyCons!$A$4:$A$10000))*1,[1]OUT_TransportEnergyCons!J$4:J$10000))*1000&lt;0,0,(SUMPRODUCT(("Var_Cap"=[1]OUT_TransportEnergyCons!$B$4:$B$10000)*1,("-"=[1]OUT_TransportEnergyCons!$C$4:$C$10000)*1,ISNUMBER(SEARCH("tfh*h2o*",[1]OUT_TransportEnergyCons!$A$4:$A$10000))*1,[1]OUT_TransportEnergyCons!J$4:J$10000))*1000)</f>
        <v>1.1700148453684299E-4</v>
      </c>
      <c r="M2015" s="1" cm="1">
        <f t="array" ref="M2015">IF((SUMPRODUCT(("Var_Cap"=[1]OUT_TransportEnergyCons!$B$4:$B$10000)*1,("-"=[1]OUT_TransportEnergyCons!$C$4:$C$10000)*1,ISNUMBER(SEARCH("tfh*h2o*",[1]OUT_TransportEnergyCons!$A$4:$A$10000))*1,[1]OUT_TransportEnergyCons!K$4:K$10000))*1000&lt;0,0,(SUMPRODUCT(("Var_Cap"=[1]OUT_TransportEnergyCons!$B$4:$B$10000)*1,("-"=[1]OUT_TransportEnergyCons!$C$4:$C$10000)*1,ISNUMBER(SEARCH("tfh*h2o*",[1]OUT_TransportEnergyCons!$A$4:$A$10000))*1,[1]OUT_TransportEnergyCons!K$4:K$10000))*1000)</f>
        <v>1.1107250532330999E-4</v>
      </c>
      <c r="N2015" s="1" cm="1">
        <f t="array" ref="N2015">IF((SUMPRODUCT(("Var_Cap"=[1]OUT_TransportEnergyCons!$B$4:$B$10000)*1,("-"=[1]OUT_TransportEnergyCons!$C$4:$C$10000)*1,ISNUMBER(SEARCH("tfh*h2o*",[1]OUT_TransportEnergyCons!$A$4:$A$10000))*1,[1]OUT_TransportEnergyCons!L$4:L$10000))*1000&lt;0,0,(SUMPRODUCT(("Var_Cap"=[1]OUT_TransportEnergyCons!$B$4:$B$10000)*1,("-"=[1]OUT_TransportEnergyCons!$C$4:$C$10000)*1,ISNUMBER(SEARCH("tfh*h2o*",[1]OUT_TransportEnergyCons!$A$4:$A$10000))*1,[1]OUT_TransportEnergyCons!L$4:L$10000))*1000)</f>
        <v>1.0480766322736001E-4</v>
      </c>
      <c r="O2015" s="1" cm="1">
        <f t="array" ref="O2015">IF((SUMPRODUCT(("Var_Cap"=[1]OUT_TransportEnergyCons!$B$4:$B$10000)*1,("-"=[1]OUT_TransportEnergyCons!$C$4:$C$10000)*1,ISNUMBER(SEARCH("tfh*h2o*",[1]OUT_TransportEnergyCons!$A$4:$A$10000))*1,[1]OUT_TransportEnergyCons!M$4:M$10000))*1000&lt;0,0,(SUMPRODUCT(("Var_Cap"=[1]OUT_TransportEnergyCons!$B$4:$B$10000)*1,("-"=[1]OUT_TransportEnergyCons!$C$4:$C$10000)*1,ISNUMBER(SEARCH("tfh*h2o*",[1]OUT_TransportEnergyCons!$A$4:$A$10000))*1,[1]OUT_TransportEnergyCons!M$4:M$10000))*1000)</f>
        <v>1.00966937255571E-4</v>
      </c>
      <c r="P2015" s="1" cm="1">
        <f t="array" ref="P2015">IF((SUMPRODUCT(("Var_Cap"=[1]OUT_TransportEnergyCons!$B$4:$B$10000)*1,("-"=[1]OUT_TransportEnergyCons!$C$4:$C$10000)*1,ISNUMBER(SEARCH("tfh*h2o*",[1]OUT_TransportEnergyCons!$A$4:$A$10000))*1,[1]OUT_TransportEnergyCons!N$4:N$10000))*1000&lt;0,0,(SUMPRODUCT(("Var_Cap"=[1]OUT_TransportEnergyCons!$B$4:$B$10000)*1,("-"=[1]OUT_TransportEnergyCons!$C$4:$C$10000)*1,ISNUMBER(SEARCH("tfh*h2o*",[1]OUT_TransportEnergyCons!$A$4:$A$10000))*1,[1]OUT_TransportEnergyCons!N$4:N$10000))*1000)</f>
        <v>1.0196780025825071E-4</v>
      </c>
      <c r="Q2015" s="1" cm="1">
        <f t="array" ref="Q2015">IF((SUMPRODUCT(("Var_Cap"=[1]OUT_TransportEnergyCons!$B$4:$B$10000)*1,("-"=[1]OUT_TransportEnergyCons!$C$4:$C$10000)*1,ISNUMBER(SEARCH("tfh*h2o*",[1]OUT_TransportEnergyCons!$A$4:$A$10000))*1,[1]OUT_TransportEnergyCons!O$4:O$10000))*1000&lt;0,0,(SUMPRODUCT(("Var_Cap"=[1]OUT_TransportEnergyCons!$B$4:$B$10000)*1,("-"=[1]OUT_TransportEnergyCons!$C$4:$C$10000)*1,ISNUMBER(SEARCH("tfh*h2o*",[1]OUT_TransportEnergyCons!$A$4:$A$10000))*1,[1]OUT_TransportEnergyCons!O$4:O$10000))*1000)</f>
        <v>1.3230822306031299E-4</v>
      </c>
      <c r="S2015" s="3"/>
    </row>
    <row r="2016" spans="2:19" x14ac:dyDescent="0.5">
      <c r="B2016" s="5" t="str">
        <f t="shared" si="2177"/>
        <v>SPS1</v>
      </c>
      <c r="C2016" s="5" t="str">
        <f t="shared" si="2178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(SUMPRODUCT(("Var_Cap"=[1]OUT_TransportEnergyCons!$B$4:$B$10000)*1,("-"=[1]OUT_TransportEnergyCons!$C$4:$C$10000)*1,ISNUMBER(SEARCH("tfh*ICE*GSL*ext",[1]OUT_TransportEnergyCons!$A$4:$A$10000))*1,[1]OUT_TransportEnergyCons!H$4:H$10000))*1000</f>
        <v>0</v>
      </c>
      <c r="K2016" s="1" cm="1">
        <f t="array" ref="K2016">(SUMPRODUCT(("Var_Cap"=[1]OUT_TransportEnergyCons!$B$4:$B$10000)*1,("-"=[1]OUT_TransportEnergyCons!$C$4:$C$10000)*1,ISNUMBER(SEARCH("tfh*ICE*GSL*ext",[1]OUT_TransportEnergyCons!$A$4:$A$10000))*1,[1]OUT_TransportEnergyCons!I$4:I$10000))*1000</f>
        <v>0</v>
      </c>
      <c r="L2016" s="1" cm="1">
        <f t="array" ref="L2016">(SUMPRODUCT(("Var_Cap"=[1]OUT_TransportEnergyCons!$B$4:$B$10000)*1,("-"=[1]OUT_TransportEnergyCons!$C$4:$C$10000)*1,ISNUMBER(SEARCH("tfh*ICE*GSL*ext",[1]OUT_TransportEnergyCons!$A$4:$A$10000))*1,[1]OUT_TransportEnergyCons!J$4:J$10000))*1000</f>
        <v>0</v>
      </c>
      <c r="M2016" s="1" cm="1">
        <f t="array" ref="M2016">(SUMPRODUCT(("Var_Cap"=[1]OUT_TransportEnergyCons!$B$4:$B$10000)*1,("-"=[1]OUT_TransportEnergyCons!$C$4:$C$10000)*1,ISNUMBER(SEARCH("tfh*ICE*GSL*ext",[1]OUT_TransportEnergyCons!$A$4:$A$10000))*1,[1]OUT_TransportEnergyCons!K$4:K$10000))*1000</f>
        <v>0</v>
      </c>
      <c r="N2016" s="1" cm="1">
        <f t="array" ref="N2016">(SUMPRODUCT(("Var_Cap"=[1]OUT_TransportEnergyCons!$B$4:$B$10000)*1,("-"=[1]OUT_TransportEnergyCons!$C$4:$C$10000)*1,ISNUMBER(SEARCH("tfh*ICE*GSL*ext",[1]OUT_TransportEnergyCons!$A$4:$A$10000))*1,[1]OUT_TransportEnergyCons!L$4:L$10000))*1000</f>
        <v>0</v>
      </c>
      <c r="O2016" s="1" cm="1">
        <f t="array" ref="O2016">(SUMPRODUCT(("Var_Cap"=[1]OUT_TransportEnergyCons!$B$4:$B$10000)*1,("-"=[1]OUT_TransportEnergyCons!$C$4:$C$10000)*1,ISNUMBER(SEARCH("tfh*ICE*GSL*ext",[1]OUT_TransportEnergyCons!$A$4:$A$10000))*1,[1]OUT_TransportEnergyCons!M$4:M$10000))*1000</f>
        <v>0</v>
      </c>
      <c r="P2016" s="1" cm="1">
        <f t="array" ref="P2016">(SUMPRODUCT(("Var_Cap"=[1]OUT_TransportEnergyCons!$B$4:$B$10000)*1,("-"=[1]OUT_TransportEnergyCons!$C$4:$C$10000)*1,ISNUMBER(SEARCH("tfh*ICE*GSL*ext",[1]OUT_TransportEnergyCons!$A$4:$A$10000))*1,[1]OUT_TransportEnergyCons!N$4:N$10000))*1000</f>
        <v>0</v>
      </c>
      <c r="Q2016" s="1" cm="1">
        <f t="array" ref="Q2016">(SUMPRODUCT(("Var_Cap"=[1]OUT_TransportEnergyCons!$B$4:$B$10000)*1,("-"=[1]OUT_TransportEnergyCons!$C$4:$C$10000)*1,ISNUMBER(SEARCH("tfh*ICE*GSL*ext",[1]OUT_TransportEnergyCons!$A$4:$A$10000))*1,[1]OUT_TransportEnergyCons!O$4:O$10000))*1000</f>
        <v>0</v>
      </c>
      <c r="S2016" s="3"/>
    </row>
    <row r="2017" spans="2:19" x14ac:dyDescent="0.5">
      <c r="B2017" s="5" t="str">
        <f t="shared" si="2177"/>
        <v>SPS1</v>
      </c>
      <c r="C2017" s="5" t="str">
        <f t="shared" si="2178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(SUMPRODUCT(("Var_Cap"=[1]OUT_TransportEnergyCons!$B$4:$B$10000)*1,("-"=[1]OUT_TransportEnergyCons!$C$4:$C$10000)*1,ISNUMBER(SEARCH("tfh*ICE*GSL*",[1]OUT_TransportEnergyCons!$A$4:$A$10000))*1,[1]OUT_TransportEnergyCons!H$4:H$10000))*1000-J2016</f>
        <v>0</v>
      </c>
      <c r="K2017" s="1" cm="1">
        <f t="array" ref="K2017">(SUMPRODUCT(("Var_Cap"=[1]OUT_TransportEnergyCons!$B$4:$B$10000)*1,("-"=[1]OUT_TransportEnergyCons!$C$4:$C$10000)*1,ISNUMBER(SEARCH("tfh*ICE*GSL*",[1]OUT_TransportEnergyCons!$A$4:$A$10000))*1,[1]OUT_TransportEnergyCons!I$4:I$10000))*1000-K2016</f>
        <v>0</v>
      </c>
      <c r="L2017" s="1" cm="1">
        <f t="array" ref="L2017">(SUMPRODUCT(("Var_Cap"=[1]OUT_TransportEnergyCons!$B$4:$B$10000)*1,("-"=[1]OUT_TransportEnergyCons!$C$4:$C$10000)*1,ISNUMBER(SEARCH("tfh*ICE*GSL*",[1]OUT_TransportEnergyCons!$A$4:$A$10000))*1,[1]OUT_TransportEnergyCons!J$4:J$10000))*1000-L2016</f>
        <v>0</v>
      </c>
      <c r="M2017" s="1" cm="1">
        <f t="array" ref="M2017">(SUMPRODUCT(("Var_Cap"=[1]OUT_TransportEnergyCons!$B$4:$B$10000)*1,("-"=[1]OUT_TransportEnergyCons!$C$4:$C$10000)*1,ISNUMBER(SEARCH("tfh*ICE*GSL*",[1]OUT_TransportEnergyCons!$A$4:$A$10000))*1,[1]OUT_TransportEnergyCons!K$4:K$10000))*1000-M2016</f>
        <v>0</v>
      </c>
      <c r="N2017" s="1" cm="1">
        <f t="array" ref="N2017">(SUMPRODUCT(("Var_Cap"=[1]OUT_TransportEnergyCons!$B$4:$B$10000)*1,("-"=[1]OUT_TransportEnergyCons!$C$4:$C$10000)*1,ISNUMBER(SEARCH("tfh*ICE*GSL*",[1]OUT_TransportEnergyCons!$A$4:$A$10000))*1,[1]OUT_TransportEnergyCons!L$4:L$10000))*1000-N2016</f>
        <v>0</v>
      </c>
      <c r="O2017" s="1" cm="1">
        <f t="array" ref="O2017">(SUMPRODUCT(("Var_Cap"=[1]OUT_TransportEnergyCons!$B$4:$B$10000)*1,("-"=[1]OUT_TransportEnergyCons!$C$4:$C$10000)*1,ISNUMBER(SEARCH("tfh*ICE*GSL*",[1]OUT_TransportEnergyCons!$A$4:$A$10000))*1,[1]OUT_TransportEnergyCons!M$4:M$10000))*1000-O2016</f>
        <v>0</v>
      </c>
      <c r="P2017" s="1" cm="1">
        <f t="array" ref="P2017">(SUMPRODUCT(("Var_Cap"=[1]OUT_TransportEnergyCons!$B$4:$B$10000)*1,("-"=[1]OUT_TransportEnergyCons!$C$4:$C$10000)*1,ISNUMBER(SEARCH("tfh*ICE*GSL*",[1]OUT_TransportEnergyCons!$A$4:$A$10000))*1,[1]OUT_TransportEnergyCons!N$4:N$10000))*1000-P2016</f>
        <v>0</v>
      </c>
      <c r="Q2017" s="1" cm="1">
        <f t="array" ref="Q2017">(SUMPRODUCT(("Var_Cap"=[1]OUT_TransportEnergyCons!$B$4:$B$10000)*1,("-"=[1]OUT_TransportEnergyCons!$C$4:$C$10000)*1,ISNUMBER(SEARCH("tfh*ICE*GSL*",[1]OUT_TransportEnergyCons!$A$4:$A$10000))*1,[1]OUT_TransportEnergyCons!O$4:O$10000))*1000-Q2016</f>
        <v>0</v>
      </c>
      <c r="S2017" s="3"/>
    </row>
    <row r="2018" spans="2:19" x14ac:dyDescent="0.5">
      <c r="B2018" s="5" t="str">
        <f t="shared" si="2177"/>
        <v>SPS1</v>
      </c>
      <c r="C2018" s="5" t="str">
        <f t="shared" si="2178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29.661993740810747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19.774664166948973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19.7746666666667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8" s="1" cm="1">
        <f t="array" ref="J2018">(SUMPRODUCT(("Var_Cap"=[1]OUT_TransportEnergyCons!$B$4:$B$10000)*1,("-"=[1]OUT_TransportEnergyCons!$C$4:$C$10000)*1,ISNUMBER(SEARCH("tfh*ICE*DSL*ext",[1]OUT_TransportEnergyCons!$A$4:$A$10000))*1,[1]OUT_TransportEnergyCons!H$4:H$10000))*1000</f>
        <v>0</v>
      </c>
      <c r="K2018" s="1" cm="1">
        <f t="array" ref="K2018">(SUMPRODUCT(("Var_Cap"=[1]OUT_TransportEnergyCons!$B$4:$B$10000)*1,("-"=[1]OUT_TransportEnergyCons!$C$4:$C$10000)*1,ISNUMBER(SEARCH("tfh*ICE*DSL*ext",[1]OUT_TransportEnergyCons!$A$4:$A$10000))*1,[1]OUT_TransportEnergyCons!I$4:I$10000))*1000</f>
        <v>0</v>
      </c>
      <c r="L2018" s="1" cm="1">
        <f t="array" ref="L2018">(SUMPRODUCT(("Var_Cap"=[1]OUT_TransportEnergyCons!$B$4:$B$10000)*1,("-"=[1]OUT_TransportEnergyCons!$C$4:$C$10000)*1,ISNUMBER(SEARCH("tfh*ICE*DSL*ext",[1]OUT_TransportEnergyCons!$A$4:$A$10000))*1,[1]OUT_TransportEnergyCons!J$4:J$10000))*1000</f>
        <v>0</v>
      </c>
      <c r="M2018" s="1" cm="1">
        <f t="array" ref="M2018">(SUMPRODUCT(("Var_Cap"=[1]OUT_TransportEnergyCons!$B$4:$B$10000)*1,("-"=[1]OUT_TransportEnergyCons!$C$4:$C$10000)*1,ISNUMBER(SEARCH("tfh*ICE*DSL*ext",[1]OUT_TransportEnergyCons!$A$4:$A$10000))*1,[1]OUT_TransportEnergyCons!K$4:K$10000))*1000</f>
        <v>0</v>
      </c>
      <c r="N2018" s="1" cm="1">
        <f t="array" ref="N2018">(SUMPRODUCT(("Var_Cap"=[1]OUT_TransportEnergyCons!$B$4:$B$10000)*1,("-"=[1]OUT_TransportEnergyCons!$C$4:$C$10000)*1,ISNUMBER(SEARCH("tfh*ICE*DSL*ext",[1]OUT_TransportEnergyCons!$A$4:$A$10000))*1,[1]OUT_TransportEnergyCons!L$4:L$10000))*1000</f>
        <v>0</v>
      </c>
      <c r="O2018" s="1" cm="1">
        <f t="array" ref="O2018">(SUMPRODUCT(("Var_Cap"=[1]OUT_TransportEnergyCons!$B$4:$B$10000)*1,("-"=[1]OUT_TransportEnergyCons!$C$4:$C$10000)*1,ISNUMBER(SEARCH("tfh*ICE*DSL*ext",[1]OUT_TransportEnergyCons!$A$4:$A$10000))*1,[1]OUT_TransportEnergyCons!M$4:M$10000))*1000</f>
        <v>0</v>
      </c>
      <c r="P2018" s="1" cm="1">
        <f t="array" ref="P2018">(SUMPRODUCT(("Var_Cap"=[1]OUT_TransportEnergyCons!$B$4:$B$10000)*1,("-"=[1]OUT_TransportEnergyCons!$C$4:$C$10000)*1,ISNUMBER(SEARCH("tfh*ICE*DSL*ext",[1]OUT_TransportEnergyCons!$A$4:$A$10000))*1,[1]OUT_TransportEnergyCons!N$4:N$10000))*1000</f>
        <v>0</v>
      </c>
      <c r="Q2018" s="1" cm="1">
        <f t="array" ref="Q2018">(SUMPRODUCT(("Var_Cap"=[1]OUT_TransportEnergyCons!$B$4:$B$10000)*1,("-"=[1]OUT_TransportEnergyCons!$C$4:$C$10000)*1,ISNUMBER(SEARCH("tfh*ICE*DSL*ext",[1]OUT_TransportEnergyCons!$A$4:$A$10000))*1,[1]OUT_TransportEnergyCons!O$4:O$10000))*1000</f>
        <v>0</v>
      </c>
      <c r="S2018" s="3"/>
    </row>
    <row r="2019" spans="2:19" x14ac:dyDescent="0.5">
      <c r="B2019" s="5" t="str">
        <f t="shared" si="2177"/>
        <v>SPS1</v>
      </c>
      <c r="C2019" s="5" t="str">
        <f t="shared" si="2178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11.735519376413432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13.734932472639436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10.724238666845253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0.98248283865066632</v>
      </c>
      <c r="J2019" s="1" cm="1">
        <f t="array" ref="J2019">(SUMPRODUCT(("Var_Cap"=[1]OUT_TransportEnergyCons!$B$4:$B$10000)*1,("-"=[1]OUT_TransportEnergyCons!$C$4:$C$10000)*1,ISNUMBER(SEARCH("tfh*ICE*DSL*",[1]OUT_TransportEnergyCons!$A$4:$A$10000))*1,[1]OUT_TransportEnergyCons!H$4:H$10000))*1000-J2018</f>
        <v>7.8211683520058699E-4</v>
      </c>
      <c r="K2019" s="1" cm="1">
        <f t="array" ref="K2019">(SUMPRODUCT(("Var_Cap"=[1]OUT_TransportEnergyCons!$B$4:$B$10000)*1,("-"=[1]OUT_TransportEnergyCons!$C$4:$C$10000)*1,ISNUMBER(SEARCH("tfh*ICE*DSL*",[1]OUT_TransportEnergyCons!$A$4:$A$10000))*1,[1]OUT_TransportEnergyCons!I$4:I$10000))*1000-K2018</f>
        <v>8.1251198704916205E-4</v>
      </c>
      <c r="L2019" s="1" cm="1">
        <f t="array" ref="L2019">(SUMPRODUCT(("Var_Cap"=[1]OUT_TransportEnergyCons!$B$4:$B$10000)*1,("-"=[1]OUT_TransportEnergyCons!$C$4:$C$10000)*1,ISNUMBER(SEARCH("tfh*ICE*DSL*",[1]OUT_TransportEnergyCons!$A$4:$A$10000))*1,[1]OUT_TransportEnergyCons!J$4:J$10000))*1000-L2018</f>
        <v>8.4699409844335904E-4</v>
      </c>
      <c r="M2019" s="1" cm="1">
        <f t="array" ref="M2019">(SUMPRODUCT(("Var_Cap"=[1]OUT_TransportEnergyCons!$B$4:$B$10000)*1,("-"=[1]OUT_TransportEnergyCons!$C$4:$C$10000)*1,ISNUMBER(SEARCH("tfh*ICE*DSL*",[1]OUT_TransportEnergyCons!$A$4:$A$10000))*1,[1]OUT_TransportEnergyCons!K$4:K$10000))*1000-M2018</f>
        <v>4.0555336613308496E-4</v>
      </c>
      <c r="N2019" s="1" cm="1">
        <f t="array" ref="N2019">(SUMPRODUCT(("Var_Cap"=[1]OUT_TransportEnergyCons!$B$4:$B$10000)*1,("-"=[1]OUT_TransportEnergyCons!$C$4:$C$10000)*1,ISNUMBER(SEARCH("tfh*ICE*DSL*",[1]OUT_TransportEnergyCons!$A$4:$A$10000))*1,[1]OUT_TransportEnergyCons!L$4:L$10000))*1000-N2018</f>
        <v>0</v>
      </c>
      <c r="O2019" s="1" cm="1">
        <f t="array" ref="O2019">(SUMPRODUCT(("Var_Cap"=[1]OUT_TransportEnergyCons!$B$4:$B$10000)*1,("-"=[1]OUT_TransportEnergyCons!$C$4:$C$10000)*1,ISNUMBER(SEARCH("tfh*ICE*DSL*",[1]OUT_TransportEnergyCons!$A$4:$A$10000))*1,[1]OUT_TransportEnergyCons!M$4:M$10000))*1000-O2018</f>
        <v>0</v>
      </c>
      <c r="P2019" s="1" cm="1">
        <f t="array" ref="P2019">(SUMPRODUCT(("Var_Cap"=[1]OUT_TransportEnergyCons!$B$4:$B$10000)*1,("-"=[1]OUT_TransportEnergyCons!$C$4:$C$10000)*1,ISNUMBER(SEARCH("tfh*ICE*DSL*",[1]OUT_TransportEnergyCons!$A$4:$A$10000))*1,[1]OUT_TransportEnergyCons!N$4:N$10000))*1000-P2018</f>
        <v>0</v>
      </c>
      <c r="Q2019" s="1" cm="1">
        <f t="array" ref="Q2019">(SUMPRODUCT(("Var_Cap"=[1]OUT_TransportEnergyCons!$B$4:$B$10000)*1,("-"=[1]OUT_TransportEnergyCons!$C$4:$C$10000)*1,ISNUMBER(SEARCH("tfh*ICE*DSL*",[1]OUT_TransportEnergyCons!$A$4:$A$10000))*1,[1]OUT_TransportEnergyCons!O$4:O$10000))*1000-Q2018</f>
        <v>0</v>
      </c>
      <c r="S2019" s="3"/>
    </row>
    <row r="2020" spans="2:19" x14ac:dyDescent="0.5">
      <c r="B2020" s="5" t="str">
        <f t="shared" si="2177"/>
        <v>SPS1</v>
      </c>
      <c r="C2020" s="5" t="str">
        <f t="shared" si="2178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9.4591337671948406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12.9588587606945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34.514139609584404</v>
      </c>
      <c r="J2020" s="1" cm="1">
        <f t="array" ref="J2020">(SUMPRODUCT(("Var_Cap"=[1]OUT_TransportEnergyCons!$B$4:$B$10000)*1,("-"=[1]OUT_TransportEnergyCons!$C$4:$C$10000)*1,ISNUMBER(SEARCH("tfh*hyb*DSL*",[1]OUT_TransportEnergyCons!$A$4:$A$10000))*1,[1]OUT_TransportEnergyCons!H$4:H$10000))*1000</f>
        <v>39.141274056014801</v>
      </c>
      <c r="K2020" s="1" cm="1">
        <f t="array" ref="K2020">(SUMPRODUCT(("Var_Cap"=[1]OUT_TransportEnergyCons!$B$4:$B$10000)*1,("-"=[1]OUT_TransportEnergyCons!$C$4:$C$10000)*1,ISNUMBER(SEARCH("tfh*hyb*DSL*",[1]OUT_TransportEnergyCons!$A$4:$A$10000))*1,[1]OUT_TransportEnergyCons!I$4:I$10000))*1000</f>
        <v>35.1670067202543</v>
      </c>
      <c r="L2020" s="1" cm="1">
        <f t="array" ref="L2020">(SUMPRODUCT(("Var_Cap"=[1]OUT_TransportEnergyCons!$B$4:$B$10000)*1,("-"=[1]OUT_TransportEnergyCons!$C$4:$C$10000)*1,ISNUMBER(SEARCH("tfh*hyb*DSL*",[1]OUT_TransportEnergyCons!$A$4:$A$10000))*1,[1]OUT_TransportEnergyCons!J$4:J$10000))*1000</f>
        <v>17.174562695725299</v>
      </c>
      <c r="M2020" s="1" cm="1">
        <f t="array" ref="M2020">(SUMPRODUCT(("Var_Cap"=[1]OUT_TransportEnergyCons!$B$4:$B$10000)*1,("-"=[1]OUT_TransportEnergyCons!$C$4:$C$10000)*1,ISNUMBER(SEARCH("tfh*hyb*DSL*",[1]OUT_TransportEnergyCons!$A$4:$A$10000))*1,[1]OUT_TransportEnergyCons!K$4:K$10000))*1000</f>
        <v>8.2384264396584399</v>
      </c>
      <c r="N2020" s="1" cm="1">
        <f t="array" ref="N2020">(SUMPRODUCT(("Var_Cap"=[1]OUT_TransportEnergyCons!$B$4:$B$10000)*1,("-"=[1]OUT_TransportEnergyCons!$C$4:$C$10000)*1,ISNUMBER(SEARCH("tfh*hyb*DSL*",[1]OUT_TransportEnergyCons!$A$4:$A$10000))*1,[1]OUT_TransportEnergyCons!L$4:L$10000))*1000</f>
        <v>0</v>
      </c>
      <c r="O2020" s="1" cm="1">
        <f t="array" ref="O2020">(SUMPRODUCT(("Var_Cap"=[1]OUT_TransportEnergyCons!$B$4:$B$10000)*1,("-"=[1]OUT_TransportEnergyCons!$C$4:$C$10000)*1,ISNUMBER(SEARCH("tfh*hyb*DSL*",[1]OUT_TransportEnergyCons!$A$4:$A$10000))*1,[1]OUT_TransportEnergyCons!M$4:M$10000))*1000</f>
        <v>0</v>
      </c>
      <c r="P2020" s="1" cm="1">
        <f t="array" ref="P2020">(SUMPRODUCT(("Var_Cap"=[1]OUT_TransportEnergyCons!$B$4:$B$10000)*1,("-"=[1]OUT_TransportEnergyCons!$C$4:$C$10000)*1,ISNUMBER(SEARCH("tfh*hyb*DSL*",[1]OUT_TransportEnergyCons!$A$4:$A$10000))*1,[1]OUT_TransportEnergyCons!N$4:N$10000))*1000</f>
        <v>0</v>
      </c>
      <c r="Q2020" s="1" cm="1">
        <f t="array" ref="Q2020">(SUMPRODUCT(("Var_Cap"=[1]OUT_TransportEnergyCons!$B$4:$B$10000)*1,("-"=[1]OUT_TransportEnergyCons!$C$4:$C$10000)*1,ISNUMBER(SEARCH("tfh*hyb*DSL*",[1]OUT_TransportEnergyCons!$A$4:$A$10000))*1,[1]OUT_TransportEnergyCons!O$4:O$10000))*1000</f>
        <v>0</v>
      </c>
      <c r="S2020" s="3"/>
    </row>
    <row r="2021" spans="2:19" x14ac:dyDescent="0.5">
      <c r="B2021" s="5" t="str">
        <f t="shared" si="2177"/>
        <v>SPS1</v>
      </c>
      <c r="C2021" s="5" t="str">
        <f t="shared" si="2178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2.1234847622877993E-2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2.41540771611133E-3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2.4163326292727569E-3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2.4174404312369913E-3</v>
      </c>
      <c r="J2021" s="1" cm="1">
        <f t="array" ref="J2021">(SUMPRODUCT(("Var_Cap"=[1]OUT_TransportEnergyCons!$B$4:$B$10000)*1,("-"=[1]OUT_TransportEnergyCons!$C$4:$C$10000)*1,ISNUMBER(SEARCH("tfh*ice*nga*",[1]OUT_TransportEnergyCons!$A$4:$A$10000))*1,[1]OUT_TransportEnergyCons!H$4:H$10000))*1000</f>
        <v>2.4197070277621898E-3</v>
      </c>
      <c r="K2021" s="1" cm="1">
        <f t="array" ref="K2021">(SUMPRODUCT(("Var_Cap"=[1]OUT_TransportEnergyCons!$B$4:$B$10000)*1,("-"=[1]OUT_TransportEnergyCons!$C$4:$C$10000)*1,ISNUMBER(SEARCH("tfh*ice*nga*",[1]OUT_TransportEnergyCons!$A$4:$A$10000))*1,[1]OUT_TransportEnergyCons!I$4:I$10000))*1000</f>
        <v>2.4243128143889301E-3</v>
      </c>
      <c r="L2021" s="1" cm="1">
        <f t="array" ref="L2021">(SUMPRODUCT(("Var_Cap"=[1]OUT_TransportEnergyCons!$B$4:$B$10000)*1,("-"=[1]OUT_TransportEnergyCons!$C$4:$C$10000)*1,ISNUMBER(SEARCH("tfh*ice*nga*",[1]OUT_TransportEnergyCons!$A$4:$A$10000))*1,[1]OUT_TransportEnergyCons!J$4:J$10000))*1000</f>
        <v>2.42552245349145E-3</v>
      </c>
      <c r="M2021" s="1" cm="1">
        <f t="array" ref="M2021">(SUMPRODUCT(("Var_Cap"=[1]OUT_TransportEnergyCons!$B$4:$B$10000)*1,("-"=[1]OUT_TransportEnergyCons!$C$4:$C$10000)*1,ISNUMBER(SEARCH("tfh*ice*nga*",[1]OUT_TransportEnergyCons!$A$4:$A$10000))*1,[1]OUT_TransportEnergyCons!K$4:K$10000))*1000</f>
        <v>1.3410322583660001E-3</v>
      </c>
      <c r="N2021" s="1" cm="1">
        <f t="array" ref="N2021">(SUMPRODUCT(("Var_Cap"=[1]OUT_TransportEnergyCons!$B$4:$B$10000)*1,("-"=[1]OUT_TransportEnergyCons!$C$4:$C$10000)*1,ISNUMBER(SEARCH("tfh*ice*nga*",[1]OUT_TransportEnergyCons!$A$4:$A$10000))*1,[1]OUT_TransportEnergyCons!L$4:L$10000))*1000</f>
        <v>0</v>
      </c>
      <c r="O2021" s="1" cm="1">
        <f t="array" ref="O2021">(SUMPRODUCT(("Var_Cap"=[1]OUT_TransportEnergyCons!$B$4:$B$10000)*1,("-"=[1]OUT_TransportEnergyCons!$C$4:$C$10000)*1,ISNUMBER(SEARCH("tfh*ice*nga*",[1]OUT_TransportEnergyCons!$A$4:$A$10000))*1,[1]OUT_TransportEnergyCons!M$4:M$10000))*1000</f>
        <v>0</v>
      </c>
      <c r="P2021" s="1" cm="1">
        <f t="array" ref="P2021">(SUMPRODUCT(("Var_Cap"=[1]OUT_TransportEnergyCons!$B$4:$B$10000)*1,("-"=[1]OUT_TransportEnergyCons!$C$4:$C$10000)*1,ISNUMBER(SEARCH("tfh*ice*nga*",[1]OUT_TransportEnergyCons!$A$4:$A$10000))*1,[1]OUT_TransportEnergyCons!N$4:N$10000))*1000</f>
        <v>0</v>
      </c>
      <c r="Q2021" s="1" cm="1">
        <f t="array" ref="Q2021">(SUMPRODUCT(("Var_Cap"=[1]OUT_TransportEnergyCons!$B$4:$B$10000)*1,("-"=[1]OUT_TransportEnergyCons!$C$4:$C$10000)*1,ISNUMBER(SEARCH("tfh*ice*nga*",[1]OUT_TransportEnergyCons!$A$4:$A$10000))*1,[1]OUT_TransportEnergyCons!O$4:O$10000))*1000</f>
        <v>0</v>
      </c>
      <c r="S2021" s="3"/>
    </row>
    <row r="2022" spans="2:19" x14ac:dyDescent="0.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179">SUM(F2023,F2027,F2030)</f>
        <v>1.9949867843893301E-4</v>
      </c>
      <c r="G2022" s="3">
        <f t="shared" ref="G2022" si="2180">SUM(G2023,G2027,G2030)</f>
        <v>3.0428222681837616E-4</v>
      </c>
      <c r="H2022" s="3">
        <f t="shared" ref="H2022" si="2181">SUM(H2023,H2027,H2030)</f>
        <v>3.0563296646200961E-4</v>
      </c>
      <c r="I2022" s="3">
        <f t="shared" ref="I2022" si="2182">SUM(I2023,I2027,I2030)</f>
        <v>3.1439709365565318E-3</v>
      </c>
      <c r="J2022" s="3">
        <f t="shared" ref="J2022" si="2183">SUM(J2023,J2027,J2030)</f>
        <v>0.50655294322665045</v>
      </c>
      <c r="K2022" s="3">
        <f t="shared" ref="K2022" si="2184">SUM(K2023,K2027,K2030)</f>
        <v>0.59133659338758471</v>
      </c>
      <c r="L2022" s="3">
        <f t="shared" ref="L2022:O2022" si="2185">SUM(L2023,L2027,L2030)</f>
        <v>0.64071979315744854</v>
      </c>
      <c r="M2022" s="3">
        <f t="shared" si="2185"/>
        <v>0.96992510656119846</v>
      </c>
      <c r="N2022" s="3">
        <f t="shared" si="2185"/>
        <v>1.1428080146546766</v>
      </c>
      <c r="O2022" s="3">
        <f t="shared" si="2185"/>
        <v>1.6880996951847311</v>
      </c>
      <c r="P2022" s="3">
        <f>SUM(P2023,P2027,P2030)</f>
        <v>1.9455368287507939</v>
      </c>
      <c r="Q2022" s="3">
        <f>SUM(Q2023,Q2027,Q2030)</f>
        <v>1.9653307861520131</v>
      </c>
      <c r="S2022" s="3"/>
    </row>
    <row r="2023" spans="2:19" x14ac:dyDescent="0.5">
      <c r="B2023" s="5" t="str">
        <f t="shared" ref="B2023:B2032" si="2186">B2022</f>
        <v>SPS1</v>
      </c>
      <c r="C2023" s="5" t="str">
        <f t="shared" ref="C2023:C2032" si="2187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1.9949867843893301E-4</v>
      </c>
      <c r="G2023" s="1" cm="1">
        <f t="array" ref="G2023">SUMPRODUCT(ISNUMBER(SEARCH("SUP_ELCH2*",[1]OUT_SyntheticFuels!$C$4:$C$1000))*1,("Var_cap"=[1]OUT_SyntheticFuels!$B$4:$B$1000)*1,[1]OUT_SyntheticFuels!F$4:F$1000)</f>
        <v>3.0428222681837616E-4</v>
      </c>
      <c r="H2023" s="1" cm="1">
        <f t="array" ref="H2023">SUMPRODUCT(ISNUMBER(SEARCH("SUP_ELCH2*",[1]OUT_SyntheticFuels!$C$4:$C$1000))*1,("Var_cap"=[1]OUT_SyntheticFuels!$B$4:$B$1000)*1,[1]OUT_SyntheticFuels!G$4:G$1000)</f>
        <v>3.0563296646200961E-4</v>
      </c>
      <c r="I2023" s="1" cm="1">
        <f t="array" ref="I2023">SUMPRODUCT(ISNUMBER(SEARCH("SUP_ELCH2*",[1]OUT_SyntheticFuels!$C$4:$C$1000))*1,("Var_cap"=[1]OUT_SyntheticFuels!$B$4:$B$1000)*1,[1]OUT_SyntheticFuels!H$4:H$1000)</f>
        <v>3.143848347962214E-3</v>
      </c>
      <c r="J2023" s="1" cm="1">
        <f t="array" ref="J2023">SUMPRODUCT(ISNUMBER(SEARCH("SUP_ELCH2*",[1]OUT_SyntheticFuels!$C$4:$C$1000))*1,("Var_cap"=[1]OUT_SyntheticFuels!$B$4:$B$1000)*1,[1]OUT_SyntheticFuels!I$4:I$1000)</f>
        <v>0.50655261923633987</v>
      </c>
      <c r="K2023" s="1" cm="1">
        <f t="array" ref="K2023">SUMPRODUCT(ISNUMBER(SEARCH("SUP_ELCH2*",[1]OUT_SyntheticFuels!$C$4:$C$1000))*1,("Var_cap"=[1]OUT_SyntheticFuels!$B$4:$B$1000)*1,[1]OUT_SyntheticFuels!J$4:J$1000)</f>
        <v>0.59133592695060411</v>
      </c>
      <c r="L2023" s="1" cm="1">
        <f t="array" ref="L2023">SUMPRODUCT(ISNUMBER(SEARCH("SUP_ELCH2*",[1]OUT_SyntheticFuels!$C$4:$C$1000))*1,("Var_cap"=[1]OUT_SyntheticFuels!$B$4:$B$1000)*1,[1]OUT_SyntheticFuels!K$4:K$1000)</f>
        <v>0.64071865265110228</v>
      </c>
      <c r="M2023" s="1" cm="1">
        <f t="array" ref="M2023">SUMPRODUCT(ISNUMBER(SEARCH("SUP_ELCH2*",[1]OUT_SyntheticFuels!$C$4:$C$1000))*1,("Var_cap"=[1]OUT_SyntheticFuels!$B$4:$B$1000)*1,[1]OUT_SyntheticFuels!L$4:L$1000)</f>
        <v>0.89418148182399282</v>
      </c>
      <c r="N2023" s="1" cm="1">
        <f t="array" ref="N2023">SUMPRODUCT(ISNUMBER(SEARCH("SUP_ELCH2*",[1]OUT_SyntheticFuels!$C$4:$C$1000))*1,("Var_cap"=[1]OUT_SyntheticFuels!$B$4:$B$1000)*1,[1]OUT_SyntheticFuels!M$4:M$1000)</f>
        <v>0.9576502740375662</v>
      </c>
      <c r="O2023" s="1" cm="1">
        <f t="array" ref="O2023">SUMPRODUCT(ISNUMBER(SEARCH("SUP_ELCH2*",[1]OUT_SyntheticFuels!$C$4:$C$1000))*1,("Var_cap"=[1]OUT_SyntheticFuels!$B$4:$B$1000)*1,[1]OUT_SyntheticFuels!N$4:N$1000)</f>
        <v>1.5000376845436938</v>
      </c>
      <c r="P2023" s="1" cm="1">
        <f t="array" ref="P2023">SUMPRODUCT(ISNUMBER(SEARCH("SUP_ELCH2*",[1]OUT_SyntheticFuels!$C$4:$C$1000))*1,("Var_cap"=[1]OUT_SyntheticFuels!$B$4:$B$1000)*1,[1]OUT_SyntheticFuels!O$4:O$1000)</f>
        <v>1.7367450059595124</v>
      </c>
      <c r="Q2023" s="1" cm="1">
        <f t="array" ref="Q2023">SUMPRODUCT(ISNUMBER(SEARCH("SUP_ELCH2*",[1]OUT_SyntheticFuels!$C$4:$C$1000))*1,("Var_cap"=[1]OUT_SyntheticFuels!$B$4:$B$1000)*1,[1]OUT_SyntheticFuels!P$4:P$1000)</f>
        <v>1.745908251033653</v>
      </c>
      <c r="S2023" s="3"/>
    </row>
    <row r="2024" spans="2:19" x14ac:dyDescent="0.5">
      <c r="B2024" s="5" t="str">
        <f t="shared" si="2186"/>
        <v>SPS1</v>
      </c>
      <c r="C2024" s="5" t="str">
        <f t="shared" si="2187"/>
        <v>CH</v>
      </c>
      <c r="D2024" t="s">
        <v>2145</v>
      </c>
      <c r="E2024" t="s">
        <v>2154</v>
      </c>
      <c r="F2024" s="1">
        <f t="shared" ref="F2024" si="2188">F2023-F2025-F2026</f>
        <v>1.9949867843893301E-4</v>
      </c>
      <c r="G2024" s="1">
        <f t="shared" ref="G2024" si="2189">G2023-G2025-G2026</f>
        <v>3.0428222681837616E-4</v>
      </c>
      <c r="H2024" s="1">
        <f t="shared" ref="H2024" si="2190">H2023-H2025-H2026</f>
        <v>3.0563296646200961E-4</v>
      </c>
      <c r="I2024" s="1">
        <f t="shared" ref="I2024" si="2191">I2023-I2025-I2026</f>
        <v>3.1418543912009891E-3</v>
      </c>
      <c r="J2024" s="1">
        <f t="shared" ref="J2024" si="2192">J2023-J2025-J2026</f>
        <v>0.50653670574404075</v>
      </c>
      <c r="K2024" s="1">
        <f t="shared" ref="K2024" si="2193">K2023-K2025-K2026</f>
        <v>0.59113597522785388</v>
      </c>
      <c r="L2024" s="1">
        <f t="shared" ref="L2024:O2024" si="2194">L2023-L2025-L2026</f>
        <v>0.64043385271069619</v>
      </c>
      <c r="M2024" s="1">
        <f t="shared" si="2194"/>
        <v>0.89386467915447043</v>
      </c>
      <c r="N2024" s="1">
        <f t="shared" si="2194"/>
        <v>0.95740997644979997</v>
      </c>
      <c r="O2024" s="1">
        <f t="shared" si="2194"/>
        <v>1.4997120893582285</v>
      </c>
      <c r="P2024" s="1">
        <f>P2023-P2025-P2026</f>
        <v>1.73643666002285</v>
      </c>
      <c r="Q2024" s="1">
        <f>Q2023-Q2025-Q2026</f>
        <v>1.745334747719067</v>
      </c>
      <c r="S2024" s="3"/>
    </row>
    <row r="2025" spans="2:19" x14ac:dyDescent="0.5">
      <c r="B2025" s="5" t="str">
        <f t="shared" si="2186"/>
        <v>SPS1</v>
      </c>
      <c r="C2025" s="5" t="str">
        <f t="shared" si="2187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1.9939567612251901E-6</v>
      </c>
      <c r="J2025" s="1" cm="1">
        <f t="array" ref="J2025">SUMPRODUCT(ISNUMBER(SEARCH("SUP_ELCH2*D",[1]OUT_SyntheticFuels!$C$4:$C$1000))*1,("Var_cap"=[1]OUT_SyntheticFuels!$B$4:$B$1000)*1,[1]OUT_SyntheticFuels!I$4:I$1000)</f>
        <v>1.5913492299132098E-5</v>
      </c>
      <c r="K2025" s="1" cm="1">
        <f t="array" ref="K2025">SUMPRODUCT(ISNUMBER(SEARCH("SUP_ELCH2*D",[1]OUT_SyntheticFuels!$C$4:$C$1000))*1,("Var_cap"=[1]OUT_SyntheticFuels!$B$4:$B$1000)*1,[1]OUT_SyntheticFuels!J$4:J$1000)</f>
        <v>5.7056965100070502E-5</v>
      </c>
      <c r="L2025" s="1" cm="1">
        <f t="array" ref="L2025">SUMPRODUCT(ISNUMBER(SEARCH("SUP_ELCH2*D",[1]OUT_SyntheticFuels!$C$4:$C$1000))*1,("Var_cap"=[1]OUT_SyntheticFuels!$B$4:$B$1000)*1,[1]OUT_SyntheticFuels!K$4:K$1000)</f>
        <v>7.9745903790659001E-5</v>
      </c>
      <c r="M2025" s="1" cm="1">
        <f t="array" ref="M2025">SUMPRODUCT(ISNUMBER(SEARCH("SUP_ELCH2*D",[1]OUT_SyntheticFuels!$C$4:$C$1000))*1,("Var_cap"=[1]OUT_SyntheticFuels!$B$4:$B$1000)*1,[1]OUT_SyntheticFuels!L$4:L$1000)</f>
        <v>9.1322070935335396E-5</v>
      </c>
      <c r="N2025" s="1" cm="1">
        <f t="array" ref="N2025">SUMPRODUCT(ISNUMBER(SEARCH("SUP_ELCH2*D",[1]OUT_SyntheticFuels!$C$4:$C$1000))*1,("Var_cap"=[1]OUT_SyntheticFuels!$B$4:$B$1000)*1,[1]OUT_SyntheticFuels!M$4:M$1000)</f>
        <v>8.4580895782856305E-5</v>
      </c>
      <c r="O2025" s="1" cm="1">
        <f t="array" ref="O2025">SUMPRODUCT(ISNUMBER(SEARCH("SUP_ELCH2*D",[1]OUT_SyntheticFuels!$C$4:$C$1000))*1,("Var_cap"=[1]OUT_SyntheticFuels!$B$4:$B$1000)*1,[1]OUT_SyntheticFuels!N$4:N$1000)</f>
        <v>9.3904784379607301E-5</v>
      </c>
      <c r="P2025" s="1" cm="1">
        <f t="array" ref="P2025">SUMPRODUCT(ISNUMBER(SEARCH("SUP_ELCH2*D",[1]OUT_SyntheticFuels!$C$4:$C$1000))*1,("Var_cap"=[1]OUT_SyntheticFuels!$B$4:$B$1000)*1,[1]OUT_SyntheticFuels!O$4:O$1000)</f>
        <v>7.5946103363466896E-5</v>
      </c>
      <c r="Q2025" s="1" cm="1">
        <f t="array" ref="Q2025">SUMPRODUCT(ISNUMBER(SEARCH("SUP_ELCH2*D",[1]OUT_SyntheticFuels!$C$4:$C$1000))*1,("Var_cap"=[1]OUT_SyntheticFuels!$B$4:$B$1000)*1,[1]OUT_SyntheticFuels!P$4:P$1000)</f>
        <v>1.2215731929160801E-4</v>
      </c>
      <c r="S2025" s="3"/>
    </row>
    <row r="2026" spans="2:19" x14ac:dyDescent="0.5">
      <c r="B2026" s="5" t="str">
        <f t="shared" si="2186"/>
        <v>SPS1</v>
      </c>
      <c r="C2026" s="5" t="str">
        <f t="shared" si="2187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SUMPRODUCT(ISNUMBER(SEARCH("SUP_ELCH2*SOEC*",[1]OUT_SyntheticFuels!$C$4:$C$1000))*1,("Var_cap"=[1]OUT_SyntheticFuels!$B$4:$B$1000)*1,[1]OUT_SyntheticFuels!I$4:I$1000)</f>
        <v>0</v>
      </c>
      <c r="K2026" s="1" cm="1">
        <f t="array" ref="K2026">SUMPRODUCT(ISNUMBER(SEARCH("SUP_ELCH2*SOEC*",[1]OUT_SyntheticFuels!$C$4:$C$1000))*1,("Var_cap"=[1]OUT_SyntheticFuels!$B$4:$B$1000)*1,[1]OUT_SyntheticFuels!J$4:J$1000)</f>
        <v>1.428947576502E-4</v>
      </c>
      <c r="L2026" s="1" cm="1">
        <f t="array" ref="L2026">SUMPRODUCT(ISNUMBER(SEARCH("SUP_ELCH2*SOEC*",[1]OUT_SyntheticFuels!$C$4:$C$1000))*1,("Var_cap"=[1]OUT_SyntheticFuels!$B$4:$B$1000)*1,[1]OUT_SyntheticFuels!K$4:K$1000)</f>
        <v>2.0505403661542597E-4</v>
      </c>
      <c r="M2026" s="1" cm="1">
        <f t="array" ref="M2026">SUMPRODUCT(ISNUMBER(SEARCH("SUP_ELCH2*SOEC*",[1]OUT_SyntheticFuels!$C$4:$C$1000))*1,("Var_cap"=[1]OUT_SyntheticFuels!$B$4:$B$1000)*1,[1]OUT_SyntheticFuels!L$4:L$1000)</f>
        <v>2.2548059858702361E-4</v>
      </c>
      <c r="N2026" s="1" cm="1">
        <f t="array" ref="N2026">SUMPRODUCT(ISNUMBER(SEARCH("SUP_ELCH2*SOEC*",[1]OUT_SyntheticFuels!$C$4:$C$1000))*1,("Var_cap"=[1]OUT_SyntheticFuels!$B$4:$B$1000)*1,[1]OUT_SyntheticFuels!M$4:M$1000)</f>
        <v>1.5571669198332749E-4</v>
      </c>
      <c r="O2026" s="1" cm="1">
        <f t="array" ref="O2026">SUMPRODUCT(ISNUMBER(SEARCH("SUP_ELCH2*SOEC*",[1]OUT_SyntheticFuels!$C$4:$C$1000))*1,("Var_cap"=[1]OUT_SyntheticFuels!$B$4:$B$1000)*1,[1]OUT_SyntheticFuels!N$4:N$1000)</f>
        <v>2.3169040108565143E-4</v>
      </c>
      <c r="P2026" s="1" cm="1">
        <f t="array" ref="P2026">SUMPRODUCT(ISNUMBER(SEARCH("SUP_ELCH2*SOEC*",[1]OUT_SyntheticFuels!$C$4:$C$1000))*1,("Var_cap"=[1]OUT_SyntheticFuels!$B$4:$B$1000)*1,[1]OUT_SyntheticFuels!O$4:O$1000)</f>
        <v>2.3239983329897715E-4</v>
      </c>
      <c r="Q2026" s="1" cm="1">
        <f t="array" ref="Q2026">SUMPRODUCT(ISNUMBER(SEARCH("SUP_ELCH2*SOEC*",[1]OUT_SyntheticFuels!$C$4:$C$1000))*1,("Var_cap"=[1]OUT_SyntheticFuels!$B$4:$B$1000)*1,[1]OUT_SyntheticFuels!P$4:P$1000)</f>
        <v>4.5134599529429909E-4</v>
      </c>
      <c r="S2026" s="3"/>
    </row>
    <row r="2027" spans="2:19" x14ac:dyDescent="0.5">
      <c r="B2027" s="5" t="str">
        <f t="shared" si="2186"/>
        <v>SPS1</v>
      </c>
      <c r="C2027" s="5" t="str">
        <f t="shared" si="2187"/>
        <v>CH</v>
      </c>
      <c r="D2027" t="s">
        <v>2148</v>
      </c>
      <c r="E2027" t="s">
        <v>2154</v>
      </c>
      <c r="F2027" s="1">
        <f t="shared" ref="F2027" si="2195">SUM(F2028:F2029)</f>
        <v>0</v>
      </c>
      <c r="G2027" s="1">
        <f t="shared" ref="G2027" si="2196">SUM(G2028:G2029)</f>
        <v>0</v>
      </c>
      <c r="H2027" s="1">
        <f t="shared" ref="H2027" si="2197">SUM(H2028:H2029)</f>
        <v>0</v>
      </c>
      <c r="I2027" s="1">
        <f t="shared" ref="I2027" si="2198">SUM(I2028:I2029)</f>
        <v>1.2258859431762999E-7</v>
      </c>
      <c r="J2027" s="1">
        <f t="shared" ref="J2027" si="2199">SUM(J2028:J2029)</f>
        <v>3.2399031056558226E-7</v>
      </c>
      <c r="K2027" s="1">
        <f t="shared" ref="K2027" si="2200">SUM(K2028:K2029)</f>
        <v>6.6643698054946411E-7</v>
      </c>
      <c r="L2027" s="1">
        <f t="shared" ref="L2027:O2027" si="2201">SUM(L2028:L2029)</f>
        <v>1.1405063462890211E-6</v>
      </c>
      <c r="M2027" s="1">
        <f t="shared" si="2201"/>
        <v>5.9281594899169508E-5</v>
      </c>
      <c r="N2027" s="1">
        <f t="shared" si="2201"/>
        <v>6.0256591766079356E-5</v>
      </c>
      <c r="O2027" s="1">
        <f t="shared" si="2201"/>
        <v>8.4110483339630749E-5</v>
      </c>
      <c r="P2027" s="1">
        <f>SUM(P2028:P2029)</f>
        <v>8.5073037349381621E-5</v>
      </c>
      <c r="Q2027" s="1">
        <f>SUM(Q2028:Q2029)</f>
        <v>1.8043225264276043E-4</v>
      </c>
      <c r="S2027" s="3"/>
    </row>
    <row r="2028" spans="2:19" x14ac:dyDescent="0.5">
      <c r="B2028" s="5" t="str">
        <f t="shared" si="2186"/>
        <v>SPS1</v>
      </c>
      <c r="C2028" s="5" t="str">
        <f t="shared" si="2187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1.2258859431762999E-7</v>
      </c>
      <c r="J2028" s="1" cm="1">
        <f t="array" ref="J2028">SUMPRODUCT(ISNUMBER(SEARCH("SUP_NGAH2",[1]OUT_SyntheticFuels!$C$4:$C$1000))*1,("Var_cap"=[1]OUT_SyntheticFuels!$B$4:$B$1000)*1,[1]OUT_SyntheticFuels!I$4:I$1000)-J2029</f>
        <v>3.2399031056558226E-7</v>
      </c>
      <c r="K2028" s="1" cm="1">
        <f t="array" ref="K2028">SUMPRODUCT(ISNUMBER(SEARCH("SUP_NGAH2",[1]OUT_SyntheticFuels!$C$4:$C$1000))*1,("Var_cap"=[1]OUT_SyntheticFuels!$B$4:$B$1000)*1,[1]OUT_SyntheticFuels!J$4:J$1000)-K2029</f>
        <v>5.0582968069597116E-7</v>
      </c>
      <c r="L2028" s="1" cm="1">
        <f t="array" ref="L2028">SUMPRODUCT(ISNUMBER(SEARCH("SUP_NGAH2",[1]OUT_SyntheticFuels!$C$4:$C$1000))*1,("Var_cap"=[1]OUT_SyntheticFuels!$B$4:$B$1000)*1,[1]OUT_SyntheticFuels!K$4:K$1000)-L2029</f>
        <v>8.4927015976658401E-7</v>
      </c>
      <c r="M2028" s="1" cm="1">
        <f t="array" ref="M2028">SUMPRODUCT(ISNUMBER(SEARCH("SUP_NGAH2",[1]OUT_SyntheticFuels!$C$4:$C$1000))*1,("Var_cap"=[1]OUT_SyntheticFuels!$B$4:$B$1000)*1,[1]OUT_SyntheticFuels!L$4:L$1000)-M2029</f>
        <v>3.3588744422817759E-5</v>
      </c>
      <c r="N2028" s="1" cm="1">
        <f t="array" ref="N2028">SUMPRODUCT(ISNUMBER(SEARCH("SUP_NGAH2",[1]OUT_SyntheticFuels!$C$4:$C$1000))*1,("Var_cap"=[1]OUT_SyntheticFuels!$B$4:$B$1000)*1,[1]OUT_SyntheticFuels!M$4:M$1000)-N2029</f>
        <v>3.4212807942389766E-5</v>
      </c>
      <c r="O2028" s="1" cm="1">
        <f t="array" ref="O2028">SUMPRODUCT(ISNUMBER(SEARCH("SUP_NGAH2",[1]OUT_SyntheticFuels!$C$4:$C$1000))*1,("Var_cap"=[1]OUT_SyntheticFuels!$B$4:$B$1000)*1,[1]OUT_SyntheticFuels!N$4:N$1000)-O2029</f>
        <v>5.1483679262959819E-5</v>
      </c>
      <c r="P2028" s="1" cm="1">
        <f t="array" ref="P2028">SUMPRODUCT(ISNUMBER(SEARCH("SUP_NGAH2",[1]OUT_SyntheticFuels!$C$4:$C$1000))*1,("Var_cap"=[1]OUT_SyntheticFuels!$B$4:$B$1000)*1,[1]OUT_SyntheticFuels!O$4:O$1000)-P2029</f>
        <v>5.223820395270549E-5</v>
      </c>
      <c r="Q2028" s="1" cm="1">
        <f t="array" ref="Q2028">SUMPRODUCT(ISNUMBER(SEARCH("SUP_NGAH2",[1]OUT_SyntheticFuels!$C$4:$C$1000))*1,("Var_cap"=[1]OUT_SyntheticFuels!$B$4:$B$1000)*1,[1]OUT_SyntheticFuels!P$4:P$1000)-Q2029</f>
        <v>1.1875225403205413E-4</v>
      </c>
      <c r="S2028" s="3"/>
    </row>
    <row r="2029" spans="2:19" x14ac:dyDescent="0.5">
      <c r="B2029" s="5" t="str">
        <f t="shared" si="2186"/>
        <v>SPS1</v>
      </c>
      <c r="C2029" s="5" t="str">
        <f t="shared" si="2187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SUMPRODUCT(ISNUMBER(SEARCH("SUP_NGAH2CCS",[1]OUT_SyntheticFuels!$C$4:$C$1000))*1,("Var_cap"=[1]OUT_SyntheticFuels!$B$4:$B$1000)*1,[1]OUT_SyntheticFuels!I$4:I$1000)</f>
        <v>0</v>
      </c>
      <c r="K2029" s="1" cm="1">
        <f t="array" ref="K2029">SUMPRODUCT(ISNUMBER(SEARCH("SUP_NGAH2CCS",[1]OUT_SyntheticFuels!$C$4:$C$1000))*1,("Var_cap"=[1]OUT_SyntheticFuels!$B$4:$B$1000)*1,[1]OUT_SyntheticFuels!J$4:J$1000)</f>
        <v>1.6060729985349301E-7</v>
      </c>
      <c r="L2029" s="1" cm="1">
        <f t="array" ref="L2029">SUMPRODUCT(ISNUMBER(SEARCH("SUP_NGAH2CCS",[1]OUT_SyntheticFuels!$C$4:$C$1000))*1,("Var_cap"=[1]OUT_SyntheticFuels!$B$4:$B$1000)*1,[1]OUT_SyntheticFuels!K$4:K$1000)</f>
        <v>2.9123618652243699E-7</v>
      </c>
      <c r="M2029" s="1" cm="1">
        <f t="array" ref="M2029">SUMPRODUCT(ISNUMBER(SEARCH("SUP_NGAH2CCS",[1]OUT_SyntheticFuels!$C$4:$C$1000))*1,("Var_cap"=[1]OUT_SyntheticFuels!$B$4:$B$1000)*1,[1]OUT_SyntheticFuels!L$4:L$1000)</f>
        <v>2.5692850476351752E-5</v>
      </c>
      <c r="N2029" s="1" cm="1">
        <f t="array" ref="N2029">SUMPRODUCT(ISNUMBER(SEARCH("SUP_NGAH2CCS",[1]OUT_SyntheticFuels!$C$4:$C$1000))*1,("Var_cap"=[1]OUT_SyntheticFuels!$B$4:$B$1000)*1,[1]OUT_SyntheticFuels!M$4:M$1000)</f>
        <v>2.604378382368959E-5</v>
      </c>
      <c r="O2029" s="1" cm="1">
        <f t="array" ref="O2029">SUMPRODUCT(ISNUMBER(SEARCH("SUP_NGAH2CCS",[1]OUT_SyntheticFuels!$C$4:$C$1000))*1,("Var_cap"=[1]OUT_SyntheticFuels!$B$4:$B$1000)*1,[1]OUT_SyntheticFuels!N$4:N$1000)</f>
        <v>3.262680407667093E-5</v>
      </c>
      <c r="P2029" s="1" cm="1">
        <f t="array" ref="P2029">SUMPRODUCT(ISNUMBER(SEARCH("SUP_NGAH2CCS",[1]OUT_SyntheticFuels!$C$4:$C$1000))*1,("Var_cap"=[1]OUT_SyntheticFuels!$B$4:$B$1000)*1,[1]OUT_SyntheticFuels!O$4:O$1000)</f>
        <v>3.283483339667613E-5</v>
      </c>
      <c r="Q2029" s="1" cm="1">
        <f t="array" ref="Q2029">SUMPRODUCT(ISNUMBER(SEARCH("SUP_NGAH2CCS",[1]OUT_SyntheticFuels!$C$4:$C$1000))*1,("Var_cap"=[1]OUT_SyntheticFuels!$B$4:$B$1000)*1,[1]OUT_SyntheticFuels!P$4:P$1000)</f>
        <v>6.1679998610706296E-5</v>
      </c>
      <c r="S2029" s="3"/>
    </row>
    <row r="2030" spans="2:19" x14ac:dyDescent="0.5">
      <c r="B2030" s="5" t="str">
        <f t="shared" si="2186"/>
        <v>SPS1</v>
      </c>
      <c r="C2030" s="5" t="str">
        <f t="shared" si="2187"/>
        <v>CH</v>
      </c>
      <c r="D2030" t="s">
        <v>2151</v>
      </c>
      <c r="E2030" t="s">
        <v>2154</v>
      </c>
      <c r="F2030" s="1">
        <f t="shared" ref="F2030" si="2202">SUM(F2031:F2032)</f>
        <v>0</v>
      </c>
      <c r="G2030" s="1">
        <f t="shared" ref="G2030" si="2203">SUM(G2031:G2032)</f>
        <v>0</v>
      </c>
      <c r="H2030" s="1">
        <f t="shared" ref="H2030" si="2204">SUM(H2031:H2032)</f>
        <v>0</v>
      </c>
      <c r="I2030" s="1">
        <f t="shared" ref="I2030" si="2205">SUM(I2031:I2032)</f>
        <v>0</v>
      </c>
      <c r="J2030" s="1">
        <f t="shared" ref="J2030" si="2206">SUM(J2031:J2032)</f>
        <v>0</v>
      </c>
      <c r="K2030" s="1">
        <f t="shared" ref="K2030" si="2207">SUM(K2031:K2032)</f>
        <v>0</v>
      </c>
      <c r="L2030" s="1">
        <f t="shared" ref="L2030:O2030" si="2208">SUM(L2031:L2032)</f>
        <v>0</v>
      </c>
      <c r="M2030" s="1">
        <f t="shared" si="2208"/>
        <v>7.568434314230639E-2</v>
      </c>
      <c r="N2030" s="1">
        <f t="shared" si="2208"/>
        <v>0.1850974840253444</v>
      </c>
      <c r="O2030" s="1">
        <f t="shared" si="2208"/>
        <v>0.1879779001576978</v>
      </c>
      <c r="P2030" s="1">
        <f>SUM(P2031:P2032)</f>
        <v>0.20870674975393219</v>
      </c>
      <c r="Q2030" s="1">
        <f>SUM(Q2031:Q2032)</f>
        <v>0.21924210286571721</v>
      </c>
      <c r="S2030" s="3"/>
    </row>
    <row r="2031" spans="2:19" x14ac:dyDescent="0.5">
      <c r="B2031" s="5" t="str">
        <f t="shared" si="2186"/>
        <v>SPS1</v>
      </c>
      <c r="C2031" s="5" t="str">
        <f t="shared" si="2187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0</v>
      </c>
      <c r="J2031" s="1" cm="1">
        <f t="array" ref="J2031">SUMPRODUCT(ISNUMBER(SEARCH("SUP_WODH2",[1]OUT_SyntheticFuels!$C$4:$C$1000))*1,("Var_cap"=[1]OUT_SyntheticFuels!$B$4:$B$1000)*1,[1]OUT_SyntheticFuels!I$4:I$1000)-J2032</f>
        <v>0</v>
      </c>
      <c r="K2031" s="1" cm="1">
        <f t="array" ref="K2031">SUMPRODUCT(ISNUMBER(SEARCH("SUP_WODH2",[1]OUT_SyntheticFuels!$C$4:$C$1000))*1,("Var_cap"=[1]OUT_SyntheticFuels!$B$4:$B$1000)*1,[1]OUT_SyntheticFuels!J$4:J$1000)-K2032</f>
        <v>0</v>
      </c>
      <c r="L2031" s="1" cm="1">
        <f t="array" ref="L2031">SUMPRODUCT(ISNUMBER(SEARCH("SUP_WODH2",[1]OUT_SyntheticFuels!$C$4:$C$1000))*1,("Var_cap"=[1]OUT_SyntheticFuels!$B$4:$B$1000)*1,[1]OUT_SyntheticFuels!K$4:K$1000)-L2032</f>
        <v>0</v>
      </c>
      <c r="M2031" s="1" cm="1">
        <f t="array" ref="M2031">SUMPRODUCT(ISNUMBER(SEARCH("SUP_WODH2",[1]OUT_SyntheticFuels!$C$4:$C$1000))*1,("Var_cap"=[1]OUT_SyntheticFuels!$B$4:$B$1000)*1,[1]OUT_SyntheticFuels!L$4:L$1000)-M2032</f>
        <v>1.3145982816084589E-5</v>
      </c>
      <c r="N2031" s="1" cm="1">
        <f t="array" ref="N2031">SUMPRODUCT(ISNUMBER(SEARCH("SUP_WODH2",[1]OUT_SyntheticFuels!$C$4:$C$1000))*1,("Var_cap"=[1]OUT_SyntheticFuels!$B$4:$B$1000)*1,[1]OUT_SyntheticFuels!M$4:M$1000)-N2032</f>
        <v>1.3400131739865762E-5</v>
      </c>
      <c r="O2031" s="1" cm="1">
        <f t="array" ref="O2031">SUMPRODUCT(ISNUMBER(SEARCH("SUP_WODH2",[1]OUT_SyntheticFuels!$C$4:$C$1000))*1,("Var_cap"=[1]OUT_SyntheticFuels!$B$4:$B$1000)*1,[1]OUT_SyntheticFuels!N$4:N$1000)-O2032</f>
        <v>1.7424648631414463E-5</v>
      </c>
      <c r="P2031" s="1" cm="1">
        <f t="array" ref="P2031">SUMPRODUCT(ISNUMBER(SEARCH("SUP_WODH2",[1]OUT_SyntheticFuels!$C$4:$C$1000))*1,("Var_cap"=[1]OUT_SyntheticFuels!$B$4:$B$1000)*1,[1]OUT_SyntheticFuels!O$4:O$1000)-P2032</f>
        <v>1.7516143002993534E-5</v>
      </c>
      <c r="Q2031" s="1" cm="1">
        <f t="array" ref="Q2031">SUMPRODUCT(ISNUMBER(SEARCH("SUP_WODH2",[1]OUT_SyntheticFuels!$C$4:$C$1000))*1,("Var_cap"=[1]OUT_SyntheticFuels!$B$4:$B$1000)*1,[1]OUT_SyntheticFuels!P$4:P$1000)-Q2032</f>
        <v>3.5727052474648913E-5</v>
      </c>
      <c r="S2031" s="3"/>
    </row>
    <row r="2032" spans="2:19" x14ac:dyDescent="0.5">
      <c r="B2032" s="5" t="str">
        <f t="shared" si="2186"/>
        <v>SPS1</v>
      </c>
      <c r="C2032" s="5" t="str">
        <f t="shared" si="2187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SUMPRODUCT(ISNUMBER(SEARCH("SUP_WODH2CCS",[1]OUT_SyntheticFuels!$C$4:$C$1000))*1,("Var_cap"=[1]OUT_SyntheticFuels!$B$4:$B$1000)*1,[1]OUT_SyntheticFuels!I$4:I$1000)</f>
        <v>0</v>
      </c>
      <c r="K2032" s="1" cm="1">
        <f t="array" ref="K2032">SUMPRODUCT(ISNUMBER(SEARCH("SUP_WODH2CCS",[1]OUT_SyntheticFuels!$C$4:$C$1000))*1,("Var_cap"=[1]OUT_SyntheticFuels!$B$4:$B$1000)*1,[1]OUT_SyntheticFuels!J$4:J$1000)</f>
        <v>0</v>
      </c>
      <c r="L2032" s="1" cm="1">
        <f t="array" ref="L2032">SUMPRODUCT(ISNUMBER(SEARCH("SUP_WODH2CCS",[1]OUT_SyntheticFuels!$C$4:$C$1000))*1,("Var_cap"=[1]OUT_SyntheticFuels!$B$4:$B$1000)*1,[1]OUT_SyntheticFuels!K$4:K$1000)</f>
        <v>0</v>
      </c>
      <c r="M2032" s="1" cm="1">
        <f t="array" ref="M2032">SUMPRODUCT(ISNUMBER(SEARCH("SUP_WODH2CCS",[1]OUT_SyntheticFuels!$C$4:$C$1000))*1,("Var_cap"=[1]OUT_SyntheticFuels!$B$4:$B$1000)*1,[1]OUT_SyntheticFuels!L$4:L$1000)</f>
        <v>7.5671197159490305E-2</v>
      </c>
      <c r="N2032" s="1" cm="1">
        <f t="array" ref="N2032">SUMPRODUCT(ISNUMBER(SEARCH("SUP_WODH2CCS",[1]OUT_SyntheticFuels!$C$4:$C$1000))*1,("Var_cap"=[1]OUT_SyntheticFuels!$B$4:$B$1000)*1,[1]OUT_SyntheticFuels!M$4:M$1000)</f>
        <v>0.18508408389360453</v>
      </c>
      <c r="O2032" s="1" cm="1">
        <f t="array" ref="O2032">SUMPRODUCT(ISNUMBER(SEARCH("SUP_WODH2CCS",[1]OUT_SyntheticFuels!$C$4:$C$1000))*1,("Var_cap"=[1]OUT_SyntheticFuels!$B$4:$B$1000)*1,[1]OUT_SyntheticFuels!N$4:N$1000)</f>
        <v>0.18796047550906639</v>
      </c>
      <c r="P2032" s="1" cm="1">
        <f t="array" ref="P2032">SUMPRODUCT(ISNUMBER(SEARCH("SUP_WODH2CCS",[1]OUT_SyntheticFuels!$C$4:$C$1000))*1,("Var_cap"=[1]OUT_SyntheticFuels!$B$4:$B$1000)*1,[1]OUT_SyntheticFuels!O$4:O$1000)</f>
        <v>0.2086892336109292</v>
      </c>
      <c r="Q2032" s="1" cm="1">
        <f t="array" ref="Q2032">SUMPRODUCT(ISNUMBER(SEARCH("SUP_WODH2CCS",[1]OUT_SyntheticFuels!$C$4:$C$1000))*1,("Var_cap"=[1]OUT_SyntheticFuels!$B$4:$B$1000)*1,[1]OUT_SyntheticFuels!P$4:P$1000)</f>
        <v>0.21920637581324257</v>
      </c>
      <c r="S2032" s="3"/>
    </row>
    <row r="2033" spans="2:19" x14ac:dyDescent="0.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4"/>
      <c r="G2033" s="24"/>
      <c r="H2033" s="24"/>
      <c r="I2033" s="24"/>
      <c r="J2033" s="24"/>
      <c r="K2033" s="24"/>
      <c r="L2033" s="24"/>
      <c r="M2033" s="24"/>
      <c r="N2033" s="24"/>
      <c r="O2033" s="24"/>
      <c r="P2033" s="24"/>
      <c r="Q2033" s="24"/>
      <c r="S2033" s="3"/>
    </row>
    <row r="2034" spans="2:19" x14ac:dyDescent="0.5">
      <c r="B2034" s="5" t="str">
        <f t="shared" ref="B2034:B2049" si="2209">B2033</f>
        <v>SPS1</v>
      </c>
      <c r="C2034" s="5" t="str">
        <f t="shared" ref="C2034:C2049" si="2210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3.8010159282482928E-2</v>
      </c>
      <c r="G2034" s="7" cm="1">
        <f t="array" ref="G2034">SUMPRODUCT(("CT_CWODBDS"=[1]OUT_SyntheticFuels!$C$4:$C$1000)*1,("Var_cap"=[1]OUT_SyntheticFuels!$B$4:$B$1000)*1,[1]OUT_SyntheticFuels!F$4:F$1000)</f>
        <v>3.3044129481897937E-2</v>
      </c>
      <c r="H2034" s="7" cm="1">
        <f t="array" ref="H2034">SUMPRODUCT(("CT_CWODBDS"=[1]OUT_SyntheticFuels!$C$4:$C$1000)*1,("Var_cap"=[1]OUT_SyntheticFuels!$B$4:$B$1000)*1,[1]OUT_SyntheticFuels!G$4:G$1000)</f>
        <v>2.4845278650058679E-2</v>
      </c>
      <c r="I2034" s="7" cm="1">
        <f t="array" ref="I2034">SUMPRODUCT(("CT_CWODBDS"=[1]OUT_SyntheticFuels!$C$4:$C$1000)*1,("Var_cap"=[1]OUT_SyntheticFuels!$B$4:$B$1000)*1,[1]OUT_SyntheticFuels!H$4:H$1000)</f>
        <v>1.4041086242422285E-5</v>
      </c>
      <c r="J2034" s="7" cm="1">
        <f t="array" ref="J2034">SUMPRODUCT(("CT_CWODBDS"=[1]OUT_SyntheticFuels!$C$4:$C$1000)*1,("Var_cap"=[1]OUT_SyntheticFuels!$B$4:$B$1000)*1,[1]OUT_SyntheticFuels!I$4:I$1000)</f>
        <v>1.2264263716064289E-5</v>
      </c>
      <c r="K2034" s="7" cm="1">
        <f t="array" ref="K2034">SUMPRODUCT(("CT_CWODBDS"=[1]OUT_SyntheticFuels!$C$4:$C$1000)*1,("Var_cap"=[1]OUT_SyntheticFuels!$B$4:$B$1000)*1,[1]OUT_SyntheticFuels!J$4:J$1000)</f>
        <v>9.1652178581818996E-6</v>
      </c>
      <c r="L2034" s="7" cm="1">
        <f t="array" ref="L2034">SUMPRODUCT(("CT_CWODBDS"=[1]OUT_SyntheticFuels!$C$4:$C$1000)*1,("Var_cap"=[1]OUT_SyntheticFuels!$B$4:$B$1000)*1,[1]OUT_SyntheticFuels!K$4:K$1000)</f>
        <v>9.5085390851376927E-6</v>
      </c>
      <c r="M2034" s="7" cm="1">
        <f t="array" ref="M2034">SUMPRODUCT(("CT_CWODBDS"=[1]OUT_SyntheticFuels!$C$4:$C$1000)*1,("Var_cap"=[1]OUT_SyntheticFuels!$B$4:$B$1000)*1,[1]OUT_SyntheticFuels!L$4:L$1000)</f>
        <v>1.5747739762648376E-5</v>
      </c>
      <c r="N2034" s="7" cm="1">
        <f t="array" ref="N2034">SUMPRODUCT(("CT_CWODBDS"=[1]OUT_SyntheticFuels!$C$4:$C$1000)*1,("Var_cap"=[1]OUT_SyntheticFuels!$B$4:$B$1000)*1,[1]OUT_SyntheticFuels!M$4:M$1000)</f>
        <v>1.0189157150433246E-5</v>
      </c>
      <c r="O2034" s="7" cm="1">
        <f t="array" ref="O2034">SUMPRODUCT(("CT_CWODBDS"=[1]OUT_SyntheticFuels!$C$4:$C$1000)*1,("Var_cap"=[1]OUT_SyntheticFuels!$B$4:$B$1000)*1,[1]OUT_SyntheticFuels!N$4:N$1000)</f>
        <v>1.6828571267799137E-5</v>
      </c>
      <c r="P2034" s="7" cm="1">
        <f t="array" ref="P2034">SUMPRODUCT(("CT_CWODBDS"=[1]OUT_SyntheticFuels!$C$4:$C$1000)*1,("Var_cap"=[1]OUT_SyntheticFuels!$B$4:$B$1000)*1,[1]OUT_SyntheticFuels!O$4:O$1000)</f>
        <v>1.6569840133213611E-5</v>
      </c>
      <c r="Q2034" s="7" cm="1">
        <f t="array" ref="Q2034">SUMPRODUCT(("CT_CWODBDS"=[1]OUT_SyntheticFuels!$C$4:$C$1000)*1,("Var_cap"=[1]OUT_SyntheticFuels!$B$4:$B$1000)*1,[1]OUT_SyntheticFuels!P$4:P$1000)</f>
        <v>3.4136834956245589E-5</v>
      </c>
      <c r="S2034" s="3"/>
    </row>
    <row r="2035" spans="2:19" x14ac:dyDescent="0.5">
      <c r="B2035" s="5" t="str">
        <f t="shared" si="2209"/>
        <v>SPS1</v>
      </c>
      <c r="C2035" s="5" t="str">
        <f t="shared" si="2210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SUMPRODUCT(("CT_CWODBDSCCS"=[1]OUT_SyntheticFuels!$C$4:$C$1000)*1,("Var_cap"=[1]OUT_SyntheticFuels!$B$4:$B$1000)*1,[1]OUT_SyntheticFuels!I$4:I$1000)</f>
        <v>0</v>
      </c>
      <c r="K2035" s="7" cm="1">
        <f t="array" ref="K2035">SUMPRODUCT(("CT_CWODBDSCCS"=[1]OUT_SyntheticFuels!$C$4:$C$1000)*1,("Var_cap"=[1]OUT_SyntheticFuels!$B$4:$B$1000)*1,[1]OUT_SyntheticFuels!J$4:J$1000)</f>
        <v>7.0529744497762303E-6</v>
      </c>
      <c r="L2035" s="7" cm="1">
        <f t="array" ref="L2035">SUMPRODUCT(("CT_CWODBDSCCS"=[1]OUT_SyntheticFuels!$C$4:$C$1000)*1,("Var_cap"=[1]OUT_SyntheticFuels!$B$4:$B$1000)*1,[1]OUT_SyntheticFuels!K$4:K$1000)</f>
        <v>8.0650881800604908E-6</v>
      </c>
      <c r="M2035" s="7" cm="1">
        <f t="array" ref="M2035">SUMPRODUCT(("CT_CWODBDSCCS"=[1]OUT_SyntheticFuels!$C$4:$C$1000)*1,("Var_cap"=[1]OUT_SyntheticFuels!$B$4:$B$1000)*1,[1]OUT_SyntheticFuels!L$4:L$1000)</f>
        <v>0.18931426180290101</v>
      </c>
      <c r="N2035" s="7" cm="1">
        <f t="array" ref="N2035">SUMPRODUCT(("CT_CWODBDSCCS"=[1]OUT_SyntheticFuels!$C$4:$C$1000)*1,("Var_cap"=[1]OUT_SyntheticFuels!$B$4:$B$1000)*1,[1]OUT_SyntheticFuels!M$4:M$1000)</f>
        <v>0.20013416287899499</v>
      </c>
      <c r="O2035" s="7" cm="1">
        <f t="array" ref="O2035">SUMPRODUCT(("CT_CWODBDSCCS"=[1]OUT_SyntheticFuels!$C$4:$C$1000)*1,("Var_cap"=[1]OUT_SyntheticFuels!$B$4:$B$1000)*1,[1]OUT_SyntheticFuels!N$4:N$1000)</f>
        <v>0.20012833670606101</v>
      </c>
      <c r="P2035" s="7" cm="1">
        <f t="array" ref="P2035">SUMPRODUCT(("CT_CWODBDSCCS"=[1]OUT_SyntheticFuels!$C$4:$C$1000)*1,("Var_cap"=[1]OUT_SyntheticFuels!$B$4:$B$1000)*1,[1]OUT_SyntheticFuels!O$4:O$1000)</f>
        <v>0.20012909765313699</v>
      </c>
      <c r="Q2035" s="7" cm="1">
        <f t="array" ref="Q2035">SUMPRODUCT(("CT_CWODBDSCCS"=[1]OUT_SyntheticFuels!$C$4:$C$1000)*1,("Var_cap"=[1]OUT_SyntheticFuels!$B$4:$B$1000)*1,[1]OUT_SyntheticFuels!P$4:P$1000)</f>
        <v>0.22092214662821499</v>
      </c>
      <c r="S2035" s="3"/>
    </row>
    <row r="2036" spans="2:19" x14ac:dyDescent="0.5">
      <c r="B2036" s="5" t="str">
        <f t="shared" si="2209"/>
        <v>SPS1</v>
      </c>
      <c r="C2036" s="5" t="str">
        <f t="shared" si="2210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6.8656289059146995E-3</v>
      </c>
      <c r="G2036" s="7" cm="1">
        <f t="array" ref="G2036">SUMPRODUCT(("CT_CWODETH"=[1]OUT_SyntheticFuels!$C$4:$C$1000)*1,("Var_cap"=[1]OUT_SyntheticFuels!$B$4:$B$1000)*1,[1]OUT_SyntheticFuels!F$4:F$1000)</f>
        <v>6.8653282187751564E-3</v>
      </c>
      <c r="H2036" s="7" cm="1">
        <f t="array" ref="H2036">SUMPRODUCT(("CT_CWODETH"=[1]OUT_SyntheticFuels!$C$4:$C$1000)*1,("Var_cap"=[1]OUT_SyntheticFuels!$B$4:$B$1000)*1,[1]OUT_SyntheticFuels!G$4:G$1000)</f>
        <v>6.865335101138334E-3</v>
      </c>
      <c r="I2036" s="7" cm="1">
        <f t="array" ref="I2036">SUMPRODUCT(("CT_CWODETH"=[1]OUT_SyntheticFuels!$C$4:$C$1000)*1,("Var_cap"=[1]OUT_SyntheticFuels!$B$4:$B$1000)*1,[1]OUT_SyntheticFuels!H$4:H$1000)</f>
        <v>9.012938838449773E-6</v>
      </c>
      <c r="J2036" s="7" cm="1">
        <f t="array" ref="J2036">SUMPRODUCT(("CT_CWODETH"=[1]OUT_SyntheticFuels!$C$4:$C$1000)*1,("Var_cap"=[1]OUT_SyntheticFuels!$B$4:$B$1000)*1,[1]OUT_SyntheticFuels!I$4:I$1000)</f>
        <v>9.3581907408806647E-6</v>
      </c>
      <c r="K2036" s="7" cm="1">
        <f t="array" ref="K2036">SUMPRODUCT(("CT_CWODETH"=[1]OUT_SyntheticFuels!$C$4:$C$1000)*1,("Var_cap"=[1]OUT_SyntheticFuels!$B$4:$B$1000)*1,[1]OUT_SyntheticFuels!J$4:J$1000)</f>
        <v>6.6436177979197798E-6</v>
      </c>
      <c r="L2036" s="7" cm="1">
        <f t="array" ref="L2036">SUMPRODUCT(("CT_CWODETH"=[1]OUT_SyntheticFuels!$C$4:$C$1000)*1,("Var_cap"=[1]OUT_SyntheticFuels!$B$4:$B$1000)*1,[1]OUT_SyntheticFuels!K$4:K$1000)</f>
        <v>6.0312511203433786E-6</v>
      </c>
      <c r="M2036" s="7" cm="1">
        <f t="array" ref="M2036">SUMPRODUCT(("CT_CWODETH"=[1]OUT_SyntheticFuels!$C$4:$C$1000)*1,("Var_cap"=[1]OUT_SyntheticFuels!$B$4:$B$1000)*1,[1]OUT_SyntheticFuels!L$4:L$1000)</f>
        <v>1.0346746247310142E-5</v>
      </c>
      <c r="N2036" s="7" cm="1">
        <f t="array" ref="N2036">SUMPRODUCT(("CT_CWODETH"=[1]OUT_SyntheticFuels!$C$4:$C$1000)*1,("Var_cap"=[1]OUT_SyntheticFuels!$B$4:$B$1000)*1,[1]OUT_SyntheticFuels!M$4:M$1000)</f>
        <v>9.6438290228763372E-6</v>
      </c>
      <c r="O2036" s="7" cm="1">
        <f t="array" ref="O2036">SUMPRODUCT(("CT_CWODETH"=[1]OUT_SyntheticFuels!$C$4:$C$1000)*1,("Var_cap"=[1]OUT_SyntheticFuels!$B$4:$B$1000)*1,[1]OUT_SyntheticFuels!N$4:N$1000)</f>
        <v>1.4494526253992619E-5</v>
      </c>
      <c r="P2036" s="7" cm="1">
        <f t="array" ref="P2036">SUMPRODUCT(("CT_CWODETH"=[1]OUT_SyntheticFuels!$C$4:$C$1000)*1,("Var_cap"=[1]OUT_SyntheticFuels!$B$4:$B$1000)*1,[1]OUT_SyntheticFuels!O$4:O$1000)</f>
        <v>1.204518190349589E-5</v>
      </c>
      <c r="Q2036" s="7" cm="1">
        <f t="array" ref="Q2036">SUMPRODUCT(("CT_CWODETH"=[1]OUT_SyntheticFuels!$C$4:$C$1000)*1,("Var_cap"=[1]OUT_SyntheticFuels!$B$4:$B$1000)*1,[1]OUT_SyntheticFuels!P$4:P$1000)</f>
        <v>2.6572427640598279E-5</v>
      </c>
      <c r="S2036" s="3"/>
    </row>
    <row r="2037" spans="2:19" x14ac:dyDescent="0.5">
      <c r="B2037" s="5" t="str">
        <f t="shared" si="2209"/>
        <v>SPS1</v>
      </c>
      <c r="C2037" s="5" t="str">
        <f t="shared" si="2210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SUMPRODUCT(("CT_CWODETHCCS"=[1]OUT_SyntheticFuels!$C$4:$C$1000)*1,("Var_cap"=[1]OUT_SyntheticFuels!$B$4:$B$1000)*1,[1]OUT_SyntheticFuels!I$4:I$1000)</f>
        <v>0</v>
      </c>
      <c r="K2037" s="7" cm="1">
        <f t="array" ref="K2037">SUMPRODUCT(("CT_CWODETHCCS"=[1]OUT_SyntheticFuels!$C$4:$C$1000)*1,("Var_cap"=[1]OUT_SyntheticFuels!$B$4:$B$1000)*1,[1]OUT_SyntheticFuels!J$4:J$1000)</f>
        <v>5.0699519279946297E-6</v>
      </c>
      <c r="L2037" s="7" cm="1">
        <f t="array" ref="L2037">SUMPRODUCT(("CT_CWODETHCCS"=[1]OUT_SyntheticFuels!$C$4:$C$1000)*1,("Var_cap"=[1]OUT_SyntheticFuels!$B$4:$B$1000)*1,[1]OUT_SyntheticFuels!K$4:K$1000)</f>
        <v>5.44333683322242E-6</v>
      </c>
      <c r="M2037" s="7" cm="1">
        <f t="array" ref="M2037">SUMPRODUCT(("CT_CWODETHCCS"=[1]OUT_SyntheticFuels!$C$4:$C$1000)*1,("Var_cap"=[1]OUT_SyntheticFuels!$B$4:$B$1000)*1,[1]OUT_SyntheticFuels!L$4:L$1000)</f>
        <v>9.0179729390553495E-6</v>
      </c>
      <c r="N2037" s="7" cm="1">
        <f t="array" ref="N2037">SUMPRODUCT(("CT_CWODETHCCS"=[1]OUT_SyntheticFuels!$C$4:$C$1000)*1,("Var_cap"=[1]OUT_SyntheticFuels!$B$4:$B$1000)*1,[1]OUT_SyntheticFuels!M$4:M$1000)</f>
        <v>8.4214453799649704E-6</v>
      </c>
      <c r="O2037" s="7" cm="1">
        <f t="array" ref="O2037">SUMPRODUCT(("CT_CWODETHCCS"=[1]OUT_SyntheticFuels!$C$4:$C$1000)*1,("Var_cap"=[1]OUT_SyntheticFuels!$B$4:$B$1000)*1,[1]OUT_SyntheticFuels!N$4:N$1000)</f>
        <v>1.1425695159058399E-5</v>
      </c>
      <c r="P2037" s="7" cm="1">
        <f t="array" ref="P2037">SUMPRODUCT(("CT_CWODETHCCS"=[1]OUT_SyntheticFuels!$C$4:$C$1000)*1,("Var_cap"=[1]OUT_SyntheticFuels!$B$4:$B$1000)*1,[1]OUT_SyntheticFuels!O$4:O$1000)</f>
        <v>1.12606483377437E-5</v>
      </c>
      <c r="Q2037" s="7" cm="1">
        <f t="array" ref="Q2037">SUMPRODUCT(("CT_CWODETHCCS"=[1]OUT_SyntheticFuels!$C$4:$C$1000)*1,("Var_cap"=[1]OUT_SyntheticFuels!$B$4:$B$1000)*1,[1]OUT_SyntheticFuels!P$4:P$1000)</f>
        <v>2.35862326509923E-5</v>
      </c>
      <c r="S2037" s="3"/>
    </row>
    <row r="2038" spans="2:19" x14ac:dyDescent="0.5">
      <c r="B2038" s="5" t="str">
        <f t="shared" si="2209"/>
        <v>SPS1</v>
      </c>
      <c r="C2038" s="5" t="str">
        <f t="shared" si="2210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4.9244394543744303E-2</v>
      </c>
      <c r="G2038" s="7" cm="1">
        <f t="array" ref="G2038">SUMPRODUCT(("SUP_MNRBIO"=[1]OUT_SyntheticFuels!$C$4:$C$1000)*1,("Var_cap"=[1]OUT_SyntheticFuels!$B$4:$B$1000)*1,[1]OUT_SyntheticFuels!F$4:F$1000)</f>
        <v>0.13085599448620258</v>
      </c>
      <c r="H2038" s="7" cm="1">
        <f t="array" ref="H2038">SUMPRODUCT(("SUP_MNRBIO"=[1]OUT_SyntheticFuels!$C$4:$C$1000)*1,("Var_cap"=[1]OUT_SyntheticFuels!$B$4:$B$1000)*1,[1]OUT_SyntheticFuels!G$4:G$1000)</f>
        <v>0.16239800448297767</v>
      </c>
      <c r="I2038" s="7" cm="1">
        <f t="array" ref="I2038">SUMPRODUCT(("SUP_MNRBIO"=[1]OUT_SyntheticFuels!$C$4:$C$1000)*1,("Var_cap"=[1]OUT_SyntheticFuels!$B$4:$B$1000)*1,[1]OUT_SyntheticFuels!H$4:H$1000)</f>
        <v>0.16239892610565557</v>
      </c>
      <c r="J2038" s="7" cm="1">
        <f t="array" ref="J2038">SUMPRODUCT(("SUP_MNRBIO"=[1]OUT_SyntheticFuels!$C$4:$C$1000)*1,("Var_cap"=[1]OUT_SyntheticFuels!$B$4:$B$1000)*1,[1]OUT_SyntheticFuels!I$4:I$1000)</f>
        <v>0.16240019687940599</v>
      </c>
      <c r="K2038" s="7" cm="1">
        <f t="array" ref="K2038">SUMPRODUCT(("SUP_MNRBIO"=[1]OUT_SyntheticFuels!$C$4:$C$1000)*1,("Var_cap"=[1]OUT_SyntheticFuels!$B$4:$B$1000)*1,[1]OUT_SyntheticFuels!J$4:J$1000)</f>
        <v>0.16241120416921656</v>
      </c>
      <c r="L2038" s="7" cm="1">
        <f t="array" ref="L2038">SUMPRODUCT(("SUP_MNRBIO"=[1]OUT_SyntheticFuels!$C$4:$C$1000)*1,("Var_cap"=[1]OUT_SyntheticFuels!$B$4:$B$1000)*1,[1]OUT_SyntheticFuels!K$4:K$1000)</f>
        <v>0.16244588864953924</v>
      </c>
      <c r="M2038" s="7" cm="1">
        <f t="array" ref="M2038">SUMPRODUCT(("SUP_MNRBIO"=[1]OUT_SyntheticFuels!$C$4:$C$1000)*1,("Var_cap"=[1]OUT_SyntheticFuels!$B$4:$B$1000)*1,[1]OUT_SyntheticFuels!L$4:L$1000)</f>
        <v>0.24361504692349031</v>
      </c>
      <c r="N2038" s="7" cm="1">
        <f t="array" ref="N2038">SUMPRODUCT(("SUP_MNRBIO"=[1]OUT_SyntheticFuels!$C$4:$C$1000)*1,("Var_cap"=[1]OUT_SyntheticFuels!$B$4:$B$1000)*1,[1]OUT_SyntheticFuels!M$4:M$1000)</f>
        <v>0.24361464733678453</v>
      </c>
      <c r="O2038" s="7" cm="1">
        <f t="array" ref="O2038">SUMPRODUCT(("SUP_MNRBIO"=[1]OUT_SyntheticFuels!$C$4:$C$1000)*1,("Var_cap"=[1]OUT_SyntheticFuels!$B$4:$B$1000)*1,[1]OUT_SyntheticFuels!N$4:N$1000)</f>
        <v>0.24361641163963352</v>
      </c>
      <c r="P2038" s="7" cm="1">
        <f t="array" ref="P2038">SUMPRODUCT(("SUP_MNRBIO"=[1]OUT_SyntheticFuels!$C$4:$C$1000)*1,("Var_cap"=[1]OUT_SyntheticFuels!$B$4:$B$1000)*1,[1]OUT_SyntheticFuels!O$4:O$1000)</f>
        <v>0.24361665260249363</v>
      </c>
      <c r="Q2038" s="7" cm="1">
        <f t="array" ref="Q2038">SUMPRODUCT(("SUP_MNRBIO"=[1]OUT_SyntheticFuels!$C$4:$C$1000)*1,("Var_cap"=[1]OUT_SyntheticFuels!$B$4:$B$1000)*1,[1]OUT_SyntheticFuels!P$4:P$1000)</f>
        <v>0.24362405104972859</v>
      </c>
      <c r="S2038" s="3"/>
    </row>
    <row r="2039" spans="2:19" x14ac:dyDescent="0.5">
      <c r="B2039" s="5" t="str">
        <f t="shared" si="2209"/>
        <v>SPS1</v>
      </c>
      <c r="C2039" s="5" t="str">
        <f t="shared" si="2210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0.21266702330216597</v>
      </c>
      <c r="G2039" s="7" cm="1">
        <f t="array" ref="G2039">SUMPRODUCT(("SUP_WSTBIO"=[1]OUT_SyntheticFuels!$C$4:$C$1000)*1,("Var_cap"=[1]OUT_SyntheticFuels!$B$4:$B$1000)*1,[1]OUT_SyntheticFuels!F$4:F$1000)</f>
        <v>0.22524249632597004</v>
      </c>
      <c r="H2039" s="7" cm="1">
        <f t="array" ref="H2039">SUMPRODUCT(("SUP_WSTBIO"=[1]OUT_SyntheticFuels!$C$4:$C$1000)*1,("Var_cap"=[1]OUT_SyntheticFuels!$B$4:$B$1000)*1,[1]OUT_SyntheticFuels!G$4:G$1000)</f>
        <v>0.22524201016834952</v>
      </c>
      <c r="I2039" s="7" cm="1">
        <f t="array" ref="I2039">SUMPRODUCT(("SUP_WSTBIO"=[1]OUT_SyntheticFuels!$C$4:$C$1000)*1,("Var_cap"=[1]OUT_SyntheticFuels!$B$4:$B$1000)*1,[1]OUT_SyntheticFuels!H$4:H$1000)</f>
        <v>0.22450683266404522</v>
      </c>
      <c r="J2039" s="7" cm="1">
        <f t="array" ref="J2039">SUMPRODUCT(("SUP_WSTBIO"=[1]OUT_SyntheticFuels!$C$4:$C$1000)*1,("Var_cap"=[1]OUT_SyntheticFuels!$B$4:$B$1000)*1,[1]OUT_SyntheticFuels!I$4:I$1000)</f>
        <v>0.22404711420730405</v>
      </c>
      <c r="K2039" s="7" cm="1">
        <f t="array" ref="K2039">SUMPRODUCT(("SUP_WSTBIO"=[1]OUT_SyntheticFuels!$C$4:$C$1000)*1,("Var_cap"=[1]OUT_SyntheticFuels!$B$4:$B$1000)*1,[1]OUT_SyntheticFuels!J$4:J$1000)</f>
        <v>0.21796919486505484</v>
      </c>
      <c r="L2039" s="7" cm="1">
        <f t="array" ref="L2039">SUMPRODUCT(("SUP_WSTBIO"=[1]OUT_SyntheticFuels!$C$4:$C$1000)*1,("Var_cap"=[1]OUT_SyntheticFuels!$B$4:$B$1000)*1,[1]OUT_SyntheticFuels!K$4:K$1000)</f>
        <v>0.34821251639207912</v>
      </c>
      <c r="M2039" s="7" cm="1">
        <f t="array" ref="M2039">SUMPRODUCT(("SUP_WSTBIO"=[1]OUT_SyntheticFuels!$C$4:$C$1000)*1,("Var_cap"=[1]OUT_SyntheticFuels!$B$4:$B$1000)*1,[1]OUT_SyntheticFuels!L$4:L$1000)</f>
        <v>0.37191074416145598</v>
      </c>
      <c r="N2039" s="7" cm="1">
        <f t="array" ref="N2039">SUMPRODUCT(("SUP_WSTBIO"=[1]OUT_SyntheticFuels!$C$4:$C$1000)*1,("Var_cap"=[1]OUT_SyntheticFuels!$B$4:$B$1000)*1,[1]OUT_SyntheticFuels!M$4:M$1000)</f>
        <v>0.38938214205603883</v>
      </c>
      <c r="O2039" s="7" cm="1">
        <f t="array" ref="O2039">SUMPRODUCT(("SUP_WSTBIO"=[1]OUT_SyntheticFuels!$C$4:$C$1000)*1,("Var_cap"=[1]OUT_SyntheticFuels!$B$4:$B$1000)*1,[1]OUT_SyntheticFuels!N$4:N$1000)</f>
        <v>0.39569878537376901</v>
      </c>
      <c r="P2039" s="7" cm="1">
        <f t="array" ref="P2039">SUMPRODUCT(("SUP_WSTBIO"=[1]OUT_SyntheticFuels!$C$4:$C$1000)*1,("Var_cap"=[1]OUT_SyntheticFuels!$B$4:$B$1000)*1,[1]OUT_SyntheticFuels!O$4:O$1000)</f>
        <v>0.40200581488856846</v>
      </c>
      <c r="Q2039" s="7" cm="1">
        <f t="array" ref="Q2039">SUMPRODUCT(("SUP_WSTBIO"=[1]OUT_SyntheticFuels!$C$4:$C$1000)*1,("Var_cap"=[1]OUT_SyntheticFuels!$B$4:$B$1000)*1,[1]OUT_SyntheticFuels!P$4:P$1000)</f>
        <v>0.40830157363603542</v>
      </c>
      <c r="S2039" s="3"/>
    </row>
    <row r="2040" spans="2:19" x14ac:dyDescent="0.5">
      <c r="B2040" s="5" t="str">
        <f t="shared" si="2209"/>
        <v>SPS1</v>
      </c>
      <c r="C2040" s="5" t="str">
        <f t="shared" si="2210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SUMPRODUCT(("SUP_WSTBIOCCS"=[1]OUT_SyntheticFuels!$C$4:$C$1000)*1,("Var_cap"=[1]OUT_SyntheticFuels!$B$4:$B$1000)*1,[1]OUT_SyntheticFuels!I$4:I$1000)</f>
        <v>0</v>
      </c>
      <c r="K2040" s="7" cm="1">
        <f t="array" ref="K2040">SUMPRODUCT(("SUP_WSTBIOCCS"=[1]OUT_SyntheticFuels!$C$4:$C$1000)*1,("Var_cap"=[1]OUT_SyntheticFuels!$B$4:$B$1000)*1,[1]OUT_SyntheticFuels!J$4:J$1000)</f>
        <v>0</v>
      </c>
      <c r="L2040" s="7" cm="1">
        <f t="array" ref="L2040">SUMPRODUCT(("SUP_WSTBIOCCS"=[1]OUT_SyntheticFuels!$C$4:$C$1000)*1,("Var_cap"=[1]OUT_SyntheticFuels!$B$4:$B$1000)*1,[1]OUT_SyntheticFuels!K$4:K$1000)</f>
        <v>0</v>
      </c>
      <c r="M2040" s="7" cm="1">
        <f t="array" ref="M2040">SUMPRODUCT(("SUP_WSTBIOCCS"=[1]OUT_SyntheticFuels!$C$4:$C$1000)*1,("Var_cap"=[1]OUT_SyntheticFuels!$B$4:$B$1000)*1,[1]OUT_SyntheticFuels!L$4:L$1000)</f>
        <v>0</v>
      </c>
      <c r="N2040" s="7" cm="1">
        <f t="array" ref="N2040">SUMPRODUCT(("SUP_WSTBIOCCS"=[1]OUT_SyntheticFuels!$C$4:$C$1000)*1,("Var_cap"=[1]OUT_SyntheticFuels!$B$4:$B$1000)*1,[1]OUT_SyntheticFuels!M$4:M$1000)</f>
        <v>0</v>
      </c>
      <c r="O2040" s="7" cm="1">
        <f t="array" ref="O2040">SUMPRODUCT(("SUP_WSTBIOCCS"=[1]OUT_SyntheticFuels!$C$4:$C$1000)*1,("Var_cap"=[1]OUT_SyntheticFuels!$B$4:$B$1000)*1,[1]OUT_SyntheticFuels!N$4:N$1000)</f>
        <v>0</v>
      </c>
      <c r="P2040" s="7" cm="1">
        <f t="array" ref="P2040">SUMPRODUCT(("SUP_WSTBIOCCS"=[1]OUT_SyntheticFuels!$C$4:$C$1000)*1,("Var_cap"=[1]OUT_SyntheticFuels!$B$4:$B$1000)*1,[1]OUT_SyntheticFuels!O$4:O$1000)</f>
        <v>0</v>
      </c>
      <c r="Q2040" s="7" cm="1">
        <f t="array" ref="Q2040">SUMPRODUCT(("SUP_WSTBIOCCS"=[1]OUT_SyntheticFuels!$C$4:$C$1000)*1,("Var_cap"=[1]OUT_SyntheticFuels!$B$4:$B$1000)*1,[1]OUT_SyntheticFuels!P$4:P$1000)</f>
        <v>0</v>
      </c>
      <c r="S2040" s="3"/>
    </row>
    <row r="2041" spans="2:19" x14ac:dyDescent="0.5">
      <c r="B2041" s="5" t="str">
        <f t="shared" si="2209"/>
        <v>SPS1</v>
      </c>
      <c r="C2041" s="5" t="str">
        <f t="shared" si="2210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SUMPRODUCT(("SUP_WSTHTGBIO"=[1]OUT_SyntheticFuels!$C$4:$C$1000)*1,("Var_cap"=[1]OUT_SyntheticFuels!$B$4:$B$1000)*1,[1]OUT_SyntheticFuels!I$4:I$1000)</f>
        <v>0</v>
      </c>
      <c r="K2041" s="7" cm="1">
        <f t="array" ref="K2041">SUMPRODUCT(("SUP_WSTHTGBIO"=[1]OUT_SyntheticFuels!$C$4:$C$1000)*1,("Var_cap"=[1]OUT_SyntheticFuels!$B$4:$B$1000)*1,[1]OUT_SyntheticFuels!J$4:J$1000)</f>
        <v>7.5061976914239904E-6</v>
      </c>
      <c r="L2041" s="7" cm="1">
        <f t="array" ref="L2041">SUMPRODUCT(("SUP_WSTHTGBIO"=[1]OUT_SyntheticFuels!$C$4:$C$1000)*1,("Var_cap"=[1]OUT_SyntheticFuels!$B$4:$B$1000)*1,[1]OUT_SyntheticFuels!K$4:K$1000)</f>
        <v>8.8114971669858256E-6</v>
      </c>
      <c r="M2041" s="7" cm="1">
        <f t="array" ref="M2041">SUMPRODUCT(("SUP_WSTHTGBIO"=[1]OUT_SyntheticFuels!$C$4:$C$1000)*1,("Var_cap"=[1]OUT_SyntheticFuels!$B$4:$B$1000)*1,[1]OUT_SyntheticFuels!L$4:L$1000)</f>
        <v>2.5480066515259182E-5</v>
      </c>
      <c r="N2041" s="7" cm="1">
        <f t="array" ref="N2041">SUMPRODUCT(("SUP_WSTHTGBIO"=[1]OUT_SyntheticFuels!$C$4:$C$1000)*1,("Var_cap"=[1]OUT_SyntheticFuels!$B$4:$B$1000)*1,[1]OUT_SyntheticFuels!M$4:M$1000)</f>
        <v>2.4394924483380942E-5</v>
      </c>
      <c r="O2041" s="7" cm="1">
        <f t="array" ref="O2041">SUMPRODUCT(("SUP_WSTHTGBIO"=[1]OUT_SyntheticFuels!$C$4:$C$1000)*1,("Var_cap"=[1]OUT_SyntheticFuels!$B$4:$B$1000)*1,[1]OUT_SyntheticFuels!N$4:N$1000)</f>
        <v>1.8948650448743629E-5</v>
      </c>
      <c r="P2041" s="7" cm="1">
        <f t="array" ref="P2041">SUMPRODUCT(("SUP_WSTHTGBIO"=[1]OUT_SyntheticFuels!$C$4:$C$1000)*1,("Var_cap"=[1]OUT_SyntheticFuels!$B$4:$B$1000)*1,[1]OUT_SyntheticFuels!O$4:O$1000)</f>
        <v>1.7708819048455886E-5</v>
      </c>
      <c r="Q2041" s="7" cm="1">
        <f t="array" ref="Q2041">SUMPRODUCT(("SUP_WSTHTGBIO"=[1]OUT_SyntheticFuels!$C$4:$C$1000)*1,("Var_cap"=[1]OUT_SyntheticFuels!$B$4:$B$1000)*1,[1]OUT_SyntheticFuels!P$4:P$1000)</f>
        <v>3.1521014265120876E-5</v>
      </c>
      <c r="S2041" s="3"/>
    </row>
    <row r="2042" spans="2:19" x14ac:dyDescent="0.5">
      <c r="B2042" s="5" t="str">
        <f t="shared" si="2209"/>
        <v>SPS1</v>
      </c>
      <c r="C2042" s="5" t="str">
        <f t="shared" si="2210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SUMPRODUCT(("SUP_WSTHTGBIOCCS"=[1]OUT_SyntheticFuels!$C$4:$C$1000)*1,("Var_cap"=[1]OUT_SyntheticFuels!$B$4:$B$1000)*1,[1]OUT_SyntheticFuels!I$4:I$1000)</f>
        <v>0</v>
      </c>
      <c r="K2042" s="7" cm="1">
        <f t="array" ref="K2042">SUMPRODUCT(("SUP_WSTHTGBIOCCS"=[1]OUT_SyntheticFuels!$C$4:$C$1000)*1,("Var_cap"=[1]OUT_SyntheticFuels!$B$4:$B$1000)*1,[1]OUT_SyntheticFuels!J$4:J$1000)</f>
        <v>2.70830506052876E-6</v>
      </c>
      <c r="L2042" s="7" cm="1">
        <f t="array" ref="L2042">SUMPRODUCT(("SUP_WSTHTGBIOCCS"=[1]OUT_SyntheticFuels!$C$4:$C$1000)*1,("Var_cap"=[1]OUT_SyntheticFuels!$B$4:$B$1000)*1,[1]OUT_SyntheticFuels!K$4:K$1000)</f>
        <v>3.0101183373535872E-6</v>
      </c>
      <c r="M2042" s="7" cm="1">
        <f t="array" ref="M2042">SUMPRODUCT(("SUP_WSTHTGBIOCCS"=[1]OUT_SyntheticFuels!$C$4:$C$1000)*1,("Var_cap"=[1]OUT_SyntheticFuels!$B$4:$B$1000)*1,[1]OUT_SyntheticFuels!L$4:L$1000)</f>
        <v>1.343345319502045E-5</v>
      </c>
      <c r="N2042" s="7" cm="1">
        <f t="array" ref="N2042">SUMPRODUCT(("SUP_WSTHTGBIOCCS"=[1]OUT_SyntheticFuels!$C$4:$C$1000)*1,("Var_cap"=[1]OUT_SyntheticFuels!$B$4:$B$1000)*1,[1]OUT_SyntheticFuels!M$4:M$1000)</f>
        <v>1.3083710916640491E-5</v>
      </c>
      <c r="O2042" s="7" cm="1">
        <f t="array" ref="O2042">SUMPRODUCT(("SUP_WSTHTGBIOCCS"=[1]OUT_SyntheticFuels!$C$4:$C$1000)*1,("Var_cap"=[1]OUT_SyntheticFuels!$B$4:$B$1000)*1,[1]OUT_SyntheticFuels!N$4:N$1000)</f>
        <v>1.1040890680323498E-5</v>
      </c>
      <c r="P2042" s="7" cm="1">
        <f t="array" ref="P2042">SUMPRODUCT(("SUP_WSTHTGBIOCCS"=[1]OUT_SyntheticFuels!$C$4:$C$1000)*1,("Var_cap"=[1]OUT_SyntheticFuels!$B$4:$B$1000)*1,[1]OUT_SyntheticFuels!O$4:O$1000)</f>
        <v>1.0851944931557695E-5</v>
      </c>
      <c r="Q2042" s="7" cm="1">
        <f t="array" ref="Q2042">SUMPRODUCT(("SUP_WSTHTGBIOCCS"=[1]OUT_SyntheticFuels!$C$4:$C$1000)*1,("Var_cap"=[1]OUT_SyntheticFuels!$B$4:$B$1000)*1,[1]OUT_SyntheticFuels!P$4:P$1000)</f>
        <v>1.4515988258324156E-5</v>
      </c>
      <c r="S2042" s="3"/>
    </row>
    <row r="2043" spans="2:19" x14ac:dyDescent="0.5">
      <c r="B2043" s="5" t="str">
        <f t="shared" si="2209"/>
        <v>SPS1</v>
      </c>
      <c r="C2043" s="5" t="str">
        <f t="shared" si="2210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2.2396420781390699E-7</v>
      </c>
      <c r="G2043" s="7" cm="1">
        <f t="array" ref="G2043">SUMPRODUCT(("SUP_WODBIO"=[1]OUT_SyntheticFuels!$C$4:$C$1000)*1,("Var_cap"=[1]OUT_SyntheticFuels!$B$4:$B$1000)*1,[1]OUT_SyntheticFuels!F$4:F$1000)</f>
        <v>7.6900592806380792E-6</v>
      </c>
      <c r="H2043" s="7" cm="1">
        <f t="array" ref="H2043">SUMPRODUCT(("SUP_WODBIO"=[1]OUT_SyntheticFuels!$C$4:$C$1000)*1,("Var_cap"=[1]OUT_SyntheticFuels!$B$4:$B$1000)*1,[1]OUT_SyntheticFuels!G$4:G$1000)</f>
        <v>8.7710166305231707E-6</v>
      </c>
      <c r="I2043" s="7" cm="1">
        <f t="array" ref="I2043">SUMPRODUCT(("SUP_WODBIO"=[1]OUT_SyntheticFuels!$C$4:$C$1000)*1,("Var_cap"=[1]OUT_SyntheticFuels!$B$4:$B$1000)*1,[1]OUT_SyntheticFuels!H$4:H$1000)</f>
        <v>1.9503255111097086E-5</v>
      </c>
      <c r="J2043" s="7" cm="1">
        <f t="array" ref="J2043">SUMPRODUCT(("SUP_WODBIO"=[1]OUT_SyntheticFuels!$C$4:$C$1000)*1,("Var_cap"=[1]OUT_SyntheticFuels!$B$4:$B$1000)*1,[1]OUT_SyntheticFuels!I$4:I$1000)</f>
        <v>2.2140234250522163E-5</v>
      </c>
      <c r="K2043" s="7" cm="1">
        <f t="array" ref="K2043">SUMPRODUCT(("SUP_WODBIO"=[1]OUT_SyntheticFuels!$C$4:$C$1000)*1,("Var_cap"=[1]OUT_SyntheticFuels!$B$4:$B$1000)*1,[1]OUT_SyntheticFuels!J$4:J$1000)</f>
        <v>1.920037401675861E-5</v>
      </c>
      <c r="L2043" s="7" cm="1">
        <f t="array" ref="L2043">SUMPRODUCT(("SUP_WODBIO"=[1]OUT_SyntheticFuels!$C$4:$C$1000)*1,("Var_cap"=[1]OUT_SyntheticFuels!$B$4:$B$1000)*1,[1]OUT_SyntheticFuels!K$4:K$1000)</f>
        <v>1.5198995917185904E-5</v>
      </c>
      <c r="M2043" s="7" cm="1">
        <f t="array" ref="M2043">SUMPRODUCT(("SUP_WODBIO"=[1]OUT_SyntheticFuels!$C$4:$C$1000)*1,("Var_cap"=[1]OUT_SyntheticFuels!$B$4:$B$1000)*1,[1]OUT_SyntheticFuels!L$4:L$1000)</f>
        <v>1.2975583717090407E-5</v>
      </c>
      <c r="N2043" s="7" cm="1">
        <f t="array" ref="N2043">SUMPRODUCT(("SUP_WODBIO"=[1]OUT_SyntheticFuels!$C$4:$C$1000)*1,("Var_cap"=[1]OUT_SyntheticFuels!$B$4:$B$1000)*1,[1]OUT_SyntheticFuels!M$4:M$1000)</f>
        <v>1.1167693057741657E-5</v>
      </c>
      <c r="O2043" s="7" cm="1">
        <f t="array" ref="O2043">SUMPRODUCT(("SUP_WODBIO"=[1]OUT_SyntheticFuels!$C$4:$C$1000)*1,("Var_cap"=[1]OUT_SyntheticFuels!$B$4:$B$1000)*1,[1]OUT_SyntheticFuels!N$4:N$1000)</f>
        <v>1.7160114201589159E-5</v>
      </c>
      <c r="P2043" s="7" cm="1">
        <f t="array" ref="P2043">SUMPRODUCT(("SUP_WODBIO"=[1]OUT_SyntheticFuels!$C$4:$C$1000)*1,("Var_cap"=[1]OUT_SyntheticFuels!$B$4:$B$1000)*1,[1]OUT_SyntheticFuels!O$4:O$1000)</f>
        <v>1.4231457353828129E-5</v>
      </c>
      <c r="Q2043" s="7" cm="1">
        <f t="array" ref="Q2043">SUMPRODUCT(("SUP_WODBIO"=[1]OUT_SyntheticFuels!$C$4:$C$1000)*1,("Var_cap"=[1]OUT_SyntheticFuels!$B$4:$B$1000)*1,[1]OUT_SyntheticFuels!P$4:P$1000)</f>
        <v>3.3427708347760775E-5</v>
      </c>
      <c r="S2043" s="3"/>
    </row>
    <row r="2044" spans="2:19" x14ac:dyDescent="0.5">
      <c r="B2044" s="5" t="str">
        <f t="shared" si="2209"/>
        <v>SPS1</v>
      </c>
      <c r="C2044" s="5" t="str">
        <f t="shared" si="2210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SUMPRODUCT(("SUP_WODBIOCCS"=[1]OUT_SyntheticFuels!$C$4:$C$1000)*1,("Var_cap"=[1]OUT_SyntheticFuels!$B$4:$B$1000)*1,[1]OUT_SyntheticFuels!I$4:I$1000)</f>
        <v>0</v>
      </c>
      <c r="K2044" s="7" cm="1">
        <f t="array" ref="K2044">SUMPRODUCT(("SUP_WODBIOCCS"=[1]OUT_SyntheticFuels!$C$4:$C$1000)*1,("Var_cap"=[1]OUT_SyntheticFuels!$B$4:$B$1000)*1,[1]OUT_SyntheticFuels!J$4:J$1000)</f>
        <v>7.7468359144707298E-6</v>
      </c>
      <c r="L2044" s="7" cm="1">
        <f t="array" ref="L2044">SUMPRODUCT(("SUP_WODBIOCCS"=[1]OUT_SyntheticFuels!$C$4:$C$1000)*1,("Var_cap"=[1]OUT_SyntheticFuels!$B$4:$B$1000)*1,[1]OUT_SyntheticFuels!K$4:K$1000)</f>
        <v>9.5409720840170497E-6</v>
      </c>
      <c r="M2044" s="7" cm="1">
        <f t="array" ref="M2044">SUMPRODUCT(("SUP_WODBIOCCS"=[1]OUT_SyntheticFuels!$C$4:$C$1000)*1,("Var_cap"=[1]OUT_SyntheticFuels!$B$4:$B$1000)*1,[1]OUT_SyntheticFuels!L$4:L$1000)</f>
        <v>1.81605368707848E-5</v>
      </c>
      <c r="N2044" s="7" cm="1">
        <f t="array" ref="N2044">SUMPRODUCT(("SUP_WODBIOCCS"=[1]OUT_SyntheticFuels!$C$4:$C$1000)*1,("Var_cap"=[1]OUT_SyntheticFuels!$B$4:$B$1000)*1,[1]OUT_SyntheticFuels!M$4:M$1000)</f>
        <v>1.7219931489113201E-5</v>
      </c>
      <c r="O2044" s="7" cm="1">
        <f t="array" ref="O2044">SUMPRODUCT(("SUP_WODBIOCCS"=[1]OUT_SyntheticFuels!$C$4:$C$1000)*1,("Var_cap"=[1]OUT_SyntheticFuels!$B$4:$B$1000)*1,[1]OUT_SyntheticFuels!N$4:N$1000)</f>
        <v>1.87721775036544E-5</v>
      </c>
      <c r="P2044" s="7" cm="1">
        <f t="array" ref="P2044">SUMPRODUCT(("SUP_WODBIOCCS"=[1]OUT_SyntheticFuels!$C$4:$C$1000)*1,("Var_cap"=[1]OUT_SyntheticFuels!$B$4:$B$1000)*1,[1]OUT_SyntheticFuels!O$4:O$1000)</f>
        <v>1.7288590973555799E-5</v>
      </c>
      <c r="Q2044" s="7" cm="1">
        <f t="array" ref="Q2044">SUMPRODUCT(("SUP_WODBIOCCS"=[1]OUT_SyntheticFuels!$C$4:$C$1000)*1,("Var_cap"=[1]OUT_SyntheticFuels!$B$4:$B$1000)*1,[1]OUT_SyntheticFuels!P$4:P$1000)</f>
        <v>3.0778655911655003E-5</v>
      </c>
      <c r="S2044" s="3"/>
    </row>
    <row r="2045" spans="2:19" x14ac:dyDescent="0.5">
      <c r="B2045" s="5" t="str">
        <f t="shared" si="2209"/>
        <v>SPS1</v>
      </c>
      <c r="C2045" s="5" t="str">
        <f t="shared" si="2210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4.2337513570855322E-2</v>
      </c>
      <c r="G2045" s="7" cm="1">
        <f t="array" ref="G2045">SUMPRODUCT(("SUP_BIONGA"=[1]OUT_SyntheticFuels!$C$4:$C$1000)*1,("Var_cap"=[1]OUT_SyntheticFuels!$B$4:$B$1000)*1,[1]OUT_SyntheticFuels!F$4:F$1000)</f>
        <v>0.12022478962578505</v>
      </c>
      <c r="H2045" s="7" cm="1">
        <f t="array" ref="H2045">SUMPRODUCT(("SUP_BIONGA"=[1]OUT_SyntheticFuels!$C$4:$C$1000)*1,("Var_cap"=[1]OUT_SyntheticFuels!$B$4:$B$1000)*1,[1]OUT_SyntheticFuels!G$4:G$1000)</f>
        <v>9.4519999578647096E-2</v>
      </c>
      <c r="I2045" s="7" cm="1">
        <f t="array" ref="I2045">SUMPRODUCT(("SUP_BIONGA"=[1]OUT_SyntheticFuels!$C$4:$C$1000)*1,("Var_cap"=[1]OUT_SyntheticFuels!$B$4:$B$1000)*1,[1]OUT_SyntheticFuels!H$4:H$1000)</f>
        <v>9.2206325960169588E-2</v>
      </c>
      <c r="J2045" s="7" cm="1">
        <f t="array" ref="J2045">SUMPRODUCT(("SUP_BIONGA"=[1]OUT_SyntheticFuels!$C$4:$C$1000)*1,("Var_cap"=[1]OUT_SyntheticFuels!$B$4:$B$1000)*1,[1]OUT_SyntheticFuels!I$4:I$1000)</f>
        <v>9.2203923786609035E-2</v>
      </c>
      <c r="K2045" s="7" cm="1">
        <f t="array" ref="K2045">SUMPRODUCT(("SUP_BIONGA"=[1]OUT_SyntheticFuels!$C$4:$C$1000)*1,("Var_cap"=[1]OUT_SyntheticFuels!$B$4:$B$1000)*1,[1]OUT_SyntheticFuels!J$4:J$1000)</f>
        <v>9.20110699042926E-2</v>
      </c>
      <c r="L2045" s="7" cm="1">
        <f t="array" ref="L2045">SUMPRODUCT(("SUP_BIONGA"=[1]OUT_SyntheticFuels!$C$4:$C$1000)*1,("Var_cap"=[1]OUT_SyntheticFuels!$B$4:$B$1000)*1,[1]OUT_SyntheticFuels!K$4:K$1000)</f>
        <v>9.1988195428754499E-2</v>
      </c>
      <c r="M2045" s="7" cm="1">
        <f t="array" ref="M2045">SUMPRODUCT(("SUP_BIONGA"=[1]OUT_SyntheticFuels!$C$4:$C$1000)*1,("Var_cap"=[1]OUT_SyntheticFuels!$B$4:$B$1000)*1,[1]OUT_SyntheticFuels!L$4:L$1000)</f>
        <v>0.10590193674003387</v>
      </c>
      <c r="N2045" s="7" cm="1">
        <f t="array" ref="N2045">SUMPRODUCT(("SUP_BIONGA"=[1]OUT_SyntheticFuels!$C$4:$C$1000)*1,("Var_cap"=[1]OUT_SyntheticFuels!$B$4:$B$1000)*1,[1]OUT_SyntheticFuels!M$4:M$1000)</f>
        <v>0.26394337880546698</v>
      </c>
      <c r="O2045" s="7" cm="1">
        <f t="array" ref="O2045">SUMPRODUCT(("SUP_BIONGA"=[1]OUT_SyntheticFuels!$C$4:$C$1000)*1,("Var_cap"=[1]OUT_SyntheticFuels!$B$4:$B$1000)*1,[1]OUT_SyntheticFuels!N$4:N$1000)</f>
        <v>0.28513173390590507</v>
      </c>
      <c r="P2045" s="7" cm="1">
        <f t="array" ref="P2045">SUMPRODUCT(("SUP_BIONGA"=[1]OUT_SyntheticFuels!$C$4:$C$1000)*1,("Var_cap"=[1]OUT_SyntheticFuels!$B$4:$B$1000)*1,[1]OUT_SyntheticFuels!O$4:O$1000)</f>
        <v>0.28792286025900687</v>
      </c>
      <c r="Q2045" s="7" cm="1">
        <f t="array" ref="Q2045">SUMPRODUCT(("SUP_BIONGA"=[1]OUT_SyntheticFuels!$C$4:$C$1000)*1,("Var_cap"=[1]OUT_SyntheticFuels!$B$4:$B$1000)*1,[1]OUT_SyntheticFuels!P$4:P$1000)</f>
        <v>0.29072452992061953</v>
      </c>
      <c r="S2045" s="3"/>
    </row>
    <row r="2046" spans="2:19" x14ac:dyDescent="0.5">
      <c r="B2046" s="5" t="str">
        <f t="shared" si="2209"/>
        <v>SPS1</v>
      </c>
      <c r="C2046" s="5" t="str">
        <f t="shared" si="2210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0.36342578822947103</v>
      </c>
      <c r="G2046" s="7" cm="1">
        <f t="array" ref="G2046">SUMPRODUCT(("CT_CWODPLT"=[1]OUT_SyntheticFuels!$C$4:$C$1000)*1,("Var_cap"=[1]OUT_SyntheticFuels!$B$4:$B$1000)*1,[1]OUT_SyntheticFuels!F$4:F$1000)</f>
        <v>0.41070934940914605</v>
      </c>
      <c r="H2046" s="7" cm="1">
        <f t="array" ref="H2046">SUMPRODUCT(("CT_CWODPLT"=[1]OUT_SyntheticFuels!$C$4:$C$1000)*1,("Var_cap"=[1]OUT_SyntheticFuels!$B$4:$B$1000)*1,[1]OUT_SyntheticFuels!G$4:G$1000)</f>
        <v>0.41070968286980125</v>
      </c>
      <c r="I2046" s="7" cm="1">
        <f t="array" ref="I2046">SUMPRODUCT(("CT_CWODPLT"=[1]OUT_SyntheticFuels!$C$4:$C$1000)*1,("Var_cap"=[1]OUT_SyntheticFuels!$B$4:$B$1000)*1,[1]OUT_SyntheticFuels!H$4:H$1000)</f>
        <v>0.41071264086408066</v>
      </c>
      <c r="J2046" s="7" cm="1">
        <f t="array" ref="J2046">SUMPRODUCT(("CT_CWODPLT"=[1]OUT_SyntheticFuels!$C$4:$C$1000)*1,("Var_cap"=[1]OUT_SyntheticFuels!$B$4:$B$1000)*1,[1]OUT_SyntheticFuels!I$4:I$1000)</f>
        <v>0.43193654190224529</v>
      </c>
      <c r="K2046" s="7" cm="1">
        <f t="array" ref="K2046">SUMPRODUCT(("CT_CWODPLT"=[1]OUT_SyntheticFuels!$C$4:$C$1000)*1,("Var_cap"=[1]OUT_SyntheticFuels!$B$4:$B$1000)*1,[1]OUT_SyntheticFuels!J$4:J$1000)</f>
        <v>0.45526915798933626</v>
      </c>
      <c r="L2046" s="7" cm="1">
        <f t="array" ref="L2046">SUMPRODUCT(("CT_CWODPLT"=[1]OUT_SyntheticFuels!$C$4:$C$1000)*1,("Var_cap"=[1]OUT_SyntheticFuels!$B$4:$B$1000)*1,[1]OUT_SyntheticFuels!K$4:K$1000)</f>
        <v>0.46867846266054231</v>
      </c>
      <c r="M2046" s="7" cm="1">
        <f t="array" ref="M2046">SUMPRODUCT(("CT_CWODPLT"=[1]OUT_SyntheticFuels!$C$4:$C$1000)*1,("Var_cap"=[1]OUT_SyntheticFuels!$B$4:$B$1000)*1,[1]OUT_SyntheticFuels!L$4:L$1000)</f>
        <v>0.48602008862819301</v>
      </c>
      <c r="N2046" s="7" cm="1">
        <f t="array" ref="N2046">SUMPRODUCT(("CT_CWODPLT"=[1]OUT_SyntheticFuels!$C$4:$C$1000)*1,("Var_cap"=[1]OUT_SyntheticFuels!$B$4:$B$1000)*1,[1]OUT_SyntheticFuels!M$4:M$1000)</f>
        <v>0.43988663906790509</v>
      </c>
      <c r="O2046" s="7" cm="1">
        <f t="array" ref="O2046">SUMPRODUCT(("CT_CWODPLT"=[1]OUT_SyntheticFuels!$C$4:$C$1000)*1,("Var_cap"=[1]OUT_SyntheticFuels!$B$4:$B$1000)*1,[1]OUT_SyntheticFuels!N$4:N$1000)</f>
        <v>0.45181586576312921</v>
      </c>
      <c r="P2046" s="7" cm="1">
        <f t="array" ref="P2046">SUMPRODUCT(("CT_CWODPLT"=[1]OUT_SyntheticFuels!$C$4:$C$1000)*1,("Var_cap"=[1]OUT_SyntheticFuels!$B$4:$B$1000)*1,[1]OUT_SyntheticFuels!O$4:O$1000)</f>
        <v>0.4524287125248842</v>
      </c>
      <c r="Q2046" s="7" cm="1">
        <f t="array" ref="Q2046">SUMPRODUCT(("CT_CWODPLT"=[1]OUT_SyntheticFuels!$C$4:$C$1000)*1,("Var_cap"=[1]OUT_SyntheticFuels!$B$4:$B$1000)*1,[1]OUT_SyntheticFuels!P$4:P$1000)</f>
        <v>0.44325221503358747</v>
      </c>
      <c r="S2046" s="3"/>
    </row>
    <row r="2047" spans="2:19" x14ac:dyDescent="0.5">
      <c r="B2047" s="5" t="str">
        <f t="shared" si="2209"/>
        <v>SPS1</v>
      </c>
      <c r="C2047" s="5" t="str">
        <f t="shared" si="2210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1.8031744784585901E-7</v>
      </c>
      <c r="J2047" s="7" cm="1">
        <f t="array" ref="J2047">SUMPRODUCT(("SUP_H2NGA"=[1]OUT_SyntheticFuels!$C$4:$C$1000)*1,("Var_cap"=[1]OUT_SyntheticFuels!$B$4:$B$1000)*1,[1]OUT_SyntheticFuels!I$4:I$1000)</f>
        <v>7.4690802345666202E-7</v>
      </c>
      <c r="K2047" s="7" cm="1">
        <f t="array" ref="K2047">SUMPRODUCT(("SUP_H2NGA"=[1]OUT_SyntheticFuels!$C$4:$C$1000)*1,("Var_cap"=[1]OUT_SyntheticFuels!$B$4:$B$1000)*1,[1]OUT_SyntheticFuels!J$4:J$1000)</f>
        <v>4.4544094994026533E-5</v>
      </c>
      <c r="L2047" s="7" cm="1">
        <f t="array" ref="L2047">SUMPRODUCT(("SUP_H2NGA"=[1]OUT_SyntheticFuels!$C$4:$C$1000)*1,("Var_cap"=[1]OUT_SyntheticFuels!$B$4:$B$1000)*1,[1]OUT_SyntheticFuels!K$4:K$1000)</f>
        <v>4.6210736031680008E-5</v>
      </c>
      <c r="M2047" s="7" cm="1">
        <f t="array" ref="M2047">SUMPRODUCT(("SUP_H2NGA"=[1]OUT_SyntheticFuels!$C$4:$C$1000)*1,("Var_cap"=[1]OUT_SyntheticFuels!$B$4:$B$1000)*1,[1]OUT_SyntheticFuels!L$4:L$1000)</f>
        <v>2.8274497233130356E-4</v>
      </c>
      <c r="N2047" s="7" cm="1">
        <f t="array" ref="N2047">SUMPRODUCT(("SUP_H2NGA"=[1]OUT_SyntheticFuels!$C$4:$C$1000)*1,("Var_cap"=[1]OUT_SyntheticFuels!$B$4:$B$1000)*1,[1]OUT_SyntheticFuels!M$4:M$1000)</f>
        <v>0.18149380551245287</v>
      </c>
      <c r="O2047" s="7" cm="1">
        <f t="array" ref="O2047">SUMPRODUCT(("SUP_H2NGA"=[1]OUT_SyntheticFuels!$C$4:$C$1000)*1,("Var_cap"=[1]OUT_SyntheticFuels!$B$4:$B$1000)*1,[1]OUT_SyntheticFuels!N$4:N$1000)</f>
        <v>0.65971090673843258</v>
      </c>
      <c r="P2047" s="7" cm="1">
        <f t="array" ref="P2047">SUMPRODUCT(("SUP_H2NGA"=[1]OUT_SyntheticFuels!$C$4:$C$1000)*1,("Var_cap"=[1]OUT_SyntheticFuels!$B$4:$B$1000)*1,[1]OUT_SyntheticFuels!O$4:O$1000)</f>
        <v>0.88680670434240982</v>
      </c>
      <c r="Q2047" s="7" cm="1">
        <f t="array" ref="Q2047">SUMPRODUCT(("SUP_H2NGA"=[1]OUT_SyntheticFuels!$C$4:$C$1000)*1,("Var_cap"=[1]OUT_SyntheticFuels!$B$4:$B$1000)*1,[1]OUT_SyntheticFuels!P$4:P$1000)</f>
        <v>0.9141275624721078</v>
      </c>
      <c r="S2047" s="3"/>
    </row>
    <row r="2048" spans="2:19" x14ac:dyDescent="0.5">
      <c r="B2048" s="5" t="str">
        <f t="shared" si="2209"/>
        <v>SPS1</v>
      </c>
      <c r="C2048" s="5" t="str">
        <f t="shared" si="2210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3.76609197117125E-7</v>
      </c>
      <c r="J2048" s="7" cm="1">
        <f t="array" ref="J2048">SUMPRODUCT(("SUP_H2DSL"=[1]OUT_SyntheticFuels!$C$4:$C$1000)*1,("Var_cap"=[1]OUT_SyntheticFuels!$B$4:$B$1000)*1,[1]OUT_SyntheticFuels!I$4:I$1000)</f>
        <v>2.3623981073773181E-6</v>
      </c>
      <c r="K2048" s="7" cm="1">
        <f t="array" ref="K2048">SUMPRODUCT(("SUP_H2DSL"=[1]OUT_SyntheticFuels!$C$4:$C$1000)*1,("Var_cap"=[1]OUT_SyntheticFuels!$B$4:$B$1000)*1,[1]OUT_SyntheticFuels!J$4:J$1000)</f>
        <v>2.3793260033792783E-4</v>
      </c>
      <c r="L2048" s="7" cm="1">
        <f t="array" ref="L2048">SUMPRODUCT(("SUP_H2DSL"=[1]OUT_SyntheticFuels!$C$4:$C$1000)*1,("Var_cap"=[1]OUT_SyntheticFuels!$B$4:$B$1000)*1,[1]OUT_SyntheticFuels!K$4:K$1000)</f>
        <v>2.37826280401768E-4</v>
      </c>
      <c r="M2048" s="7" cm="1">
        <f t="array" ref="M2048">SUMPRODUCT(("SUP_H2DSL"=[1]OUT_SyntheticFuels!$C$4:$C$1000)*1,("Var_cap"=[1]OUT_SyntheticFuels!$B$4:$B$1000)*1,[1]OUT_SyntheticFuels!L$4:L$1000)</f>
        <v>2.3630055668493675E-4</v>
      </c>
      <c r="N2048" s="7" cm="1">
        <f t="array" ref="N2048">SUMPRODUCT(("SUP_H2DSL"=[1]OUT_SyntheticFuels!$C$4:$C$1000)*1,("Var_cap"=[1]OUT_SyntheticFuels!$B$4:$B$1000)*1,[1]OUT_SyntheticFuels!M$4:M$1000)</f>
        <v>1.9683782784698289E-4</v>
      </c>
      <c r="O2048" s="7" cm="1">
        <f t="array" ref="O2048">SUMPRODUCT(("SUP_H2DSL"=[1]OUT_SyntheticFuels!$C$4:$C$1000)*1,("Var_cap"=[1]OUT_SyntheticFuels!$B$4:$B$1000)*1,[1]OUT_SyntheticFuels!N$4:N$1000)</f>
        <v>1.2845911588070535E-4</v>
      </c>
      <c r="P2048" s="7" cm="1">
        <f t="array" ref="P2048">SUMPRODUCT(("SUP_H2DSL"=[1]OUT_SyntheticFuels!$C$4:$C$1000)*1,("Var_cap"=[1]OUT_SyntheticFuels!$B$4:$B$1000)*1,[1]OUT_SyntheticFuels!O$4:O$1000)</f>
        <v>1.2968589470350577E-4</v>
      </c>
      <c r="Q2048" s="7" cm="1">
        <f t="array" ref="Q2048">SUMPRODUCT(("SUP_H2DSL"=[1]OUT_SyntheticFuels!$C$4:$C$1000)*1,("Var_cap"=[1]OUT_SyntheticFuels!$B$4:$B$1000)*1,[1]OUT_SyntheticFuels!P$4:P$1000)</f>
        <v>2.4556273840271371E-4</v>
      </c>
      <c r="S2048" s="3"/>
    </row>
    <row r="2049" spans="2:19" x14ac:dyDescent="0.5">
      <c r="B2049" s="5" t="str">
        <f t="shared" si="2209"/>
        <v>SPS1</v>
      </c>
      <c r="C2049" s="5" t="str">
        <f t="shared" si="2210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1.9025985072854701E-7</v>
      </c>
      <c r="J2049" s="7" cm="1">
        <f t="array" ref="J2049">SUMPRODUCT(("SUP_H2GSL"=[1]OUT_SyntheticFuels!$C$4:$C$1000)*1,("Var_cap"=[1]OUT_SyntheticFuels!$B$4:$B$1000)*1,[1]OUT_SyntheticFuels!I$4:I$1000)</f>
        <v>1.7693839010708351E-6</v>
      </c>
      <c r="K2049" s="7" cm="1">
        <f t="array" ref="K2049">SUMPRODUCT(("SUP_H2GSL"=[1]OUT_SyntheticFuels!$C$4:$C$1000)*1,("Var_cap"=[1]OUT_SyntheticFuels!$B$4:$B$1000)*1,[1]OUT_SyntheticFuels!J$4:J$1000)</f>
        <v>2.1723498040407838E-2</v>
      </c>
      <c r="L2049" s="7" cm="1">
        <f t="array" ref="L2049">SUMPRODUCT(("SUP_H2GSL"=[1]OUT_SyntheticFuels!$C$4:$C$1000)*1,("Var_cap"=[1]OUT_SyntheticFuels!$B$4:$B$1000)*1,[1]OUT_SyntheticFuels!K$4:K$1000)</f>
        <v>2.1723594657578272E-2</v>
      </c>
      <c r="M2049" s="7" cm="1">
        <f t="array" ref="M2049">SUMPRODUCT(("SUP_H2GSL"=[1]OUT_SyntheticFuels!$C$4:$C$1000)*1,("Var_cap"=[1]OUT_SyntheticFuels!$B$4:$B$1000)*1,[1]OUT_SyntheticFuels!L$4:L$1000)</f>
        <v>2.1725359665985357E-2</v>
      </c>
      <c r="N2049" s="7" cm="1">
        <f t="array" ref="N2049">SUMPRODUCT(("SUP_H2GSL"=[1]OUT_SyntheticFuels!$C$4:$C$1000)*1,("Var_cap"=[1]OUT_SyntheticFuels!$B$4:$B$1000)*1,[1]OUT_SyntheticFuels!M$4:M$1000)</f>
        <v>1.5095940329568002E-2</v>
      </c>
      <c r="O2049" s="7" cm="1">
        <f t="array" ref="O2049">SUMPRODUCT(("SUP_H2GSL"=[1]OUT_SyntheticFuels!$C$4:$C$1000)*1,("Var_cap"=[1]OUT_SyntheticFuels!$B$4:$B$1000)*1,[1]OUT_SyntheticFuels!N$4:N$1000)</f>
        <v>1.0139945194056664E-2</v>
      </c>
      <c r="P2049" s="7" cm="1">
        <f t="array" ref="P2049">SUMPRODUCT(("SUP_H2GSL"=[1]OUT_SyntheticFuels!$C$4:$C$1000)*1,("Var_cap"=[1]OUT_SyntheticFuels!$B$4:$B$1000)*1,[1]OUT_SyntheticFuels!O$4:O$1000)</f>
        <v>1.0140554256341619E-2</v>
      </c>
      <c r="Q2049" s="7" cm="1">
        <f t="array" ref="Q2049">SUMPRODUCT(("SUP_H2GSL"=[1]OUT_SyntheticFuels!$C$4:$C$1000)*1,("Var_cap"=[1]OUT_SyntheticFuels!$B$4:$B$1000)*1,[1]OUT_SyntheticFuels!P$4:P$1000)</f>
        <v>1.0151781084254812E-2</v>
      </c>
      <c r="S2049" s="3"/>
    </row>
    <row r="2050" spans="2:19" x14ac:dyDescent="0.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211">SUM(F2051,F2053,F2057,F2061,F2077,F2084,F2092,F2094,F2102,F2106,F2100)</f>
        <v>1.0369008290807371E-3</v>
      </c>
      <c r="G2050" s="3">
        <f t="shared" si="2211"/>
        <v>1.3667026563618383</v>
      </c>
      <c r="H2050" s="3">
        <f t="shared" si="2211"/>
        <v>5.3355011496658564</v>
      </c>
      <c r="I2050" s="3">
        <f t="shared" si="2211"/>
        <v>5.6761364965468495</v>
      </c>
      <c r="J2050" s="3">
        <f t="shared" si="2211"/>
        <v>8.4603940438710463</v>
      </c>
      <c r="K2050" s="3">
        <f t="shared" si="2211"/>
        <v>4.3196175185557424</v>
      </c>
      <c r="L2050" s="3">
        <f t="shared" ref="L2050:O2050" si="2212">SUM(L2051,L2053,L2057,L2061,L2077,L2084,L2092,L2094,L2102,L2106,L2100)</f>
        <v>9.9480692866031308</v>
      </c>
      <c r="M2050" s="3">
        <f t="shared" si="2212"/>
        <v>6.9070590199014257</v>
      </c>
      <c r="N2050" s="3">
        <f t="shared" si="2212"/>
        <v>8.0668073386261909</v>
      </c>
      <c r="O2050" s="3">
        <f t="shared" si="2212"/>
        <v>7.3836765873474484</v>
      </c>
      <c r="P2050" s="3">
        <f>SUM(P2051,P2053,P2057,P2061,P2077,P2084,P2092,P2094,P2102,P2106,P2100)</f>
        <v>11.233252484582016</v>
      </c>
      <c r="Q2050" s="3">
        <f>SUM(Q2051,Q2053,Q2057,Q2061,Q2077,Q2084,Q2092,Q2094,Q2102,Q2106,Q2100)</f>
        <v>8.0553783859952137</v>
      </c>
      <c r="S2050" s="3"/>
    </row>
    <row r="2051" spans="2:19" x14ac:dyDescent="0.5">
      <c r="B2051" s="5" t="str">
        <f>B2050</f>
        <v>SPS1</v>
      </c>
      <c r="C2051" s="5" t="str">
        <f t="shared" ref="C2051:C2113" si="2213">C2050</f>
        <v>CH</v>
      </c>
      <c r="D2051" t="s">
        <v>2180</v>
      </c>
      <c r="E2051" t="str">
        <f t="shared" ref="E2051:E2082" si="2214">E2050</f>
        <v>GWe/yr.</v>
      </c>
      <c r="F2051" s="1">
        <f t="shared" ref="F2051:O2051" si="2215">+F2052</f>
        <v>0</v>
      </c>
      <c r="G2051" s="1">
        <f t="shared" si="2215"/>
        <v>1.23297243255392</v>
      </c>
      <c r="H2051" s="1">
        <f t="shared" si="2215"/>
        <v>1.0099030616589999</v>
      </c>
      <c r="I2051" s="1">
        <f t="shared" si="2215"/>
        <v>0</v>
      </c>
      <c r="J2051" s="1">
        <f t="shared" si="2215"/>
        <v>0</v>
      </c>
      <c r="K2051" s="1">
        <f t="shared" si="2215"/>
        <v>0</v>
      </c>
      <c r="L2051" s="1">
        <f t="shared" si="2215"/>
        <v>0</v>
      </c>
      <c r="M2051" s="1">
        <f t="shared" si="2215"/>
        <v>0</v>
      </c>
      <c r="N2051" s="1">
        <f t="shared" si="2215"/>
        <v>0</v>
      </c>
      <c r="O2051" s="1">
        <f t="shared" si="2215"/>
        <v>0</v>
      </c>
      <c r="P2051" s="1">
        <f>+P2052</f>
        <v>0</v>
      </c>
      <c r="Q2051" s="1">
        <f>+Q2052</f>
        <v>0</v>
      </c>
      <c r="S2051" s="3"/>
    </row>
    <row r="2052" spans="2:19" x14ac:dyDescent="0.5">
      <c r="B2052" s="5" t="str">
        <f t="shared" ref="B2052:B2113" si="2216">B2051</f>
        <v>SPS1</v>
      </c>
      <c r="C2052" s="5" t="str">
        <f t="shared" si="2213"/>
        <v>CH</v>
      </c>
      <c r="D2052" t="s">
        <v>2181</v>
      </c>
      <c r="E2052" t="str">
        <f t="shared" si="2214"/>
        <v>GWe/yr.</v>
      </c>
      <c r="F2052" s="1">
        <f>'[1]Electricity and CHPs_NCAP'!B$14</f>
        <v>0</v>
      </c>
      <c r="G2052" s="1">
        <f>'[1]Electricity and CHPs_NCAP'!C$14</f>
        <v>1.23297243255392</v>
      </c>
      <c r="H2052" s="1">
        <f>'[1]Electricity and CHPs_NCAP'!D$14</f>
        <v>1.0099030616589999</v>
      </c>
      <c r="I2052" s="1">
        <f>'[1]Electricity and CHPs_NCAP'!E$14</f>
        <v>0</v>
      </c>
      <c r="J2052" s="1">
        <f>'[1]Electricity and CHPs_NCAP'!F$14</f>
        <v>0</v>
      </c>
      <c r="K2052" s="1">
        <f>'[1]Electricity and CHPs_NCAP'!G$14</f>
        <v>0</v>
      </c>
      <c r="L2052" s="1">
        <f>'[1]Electricity and CHPs_NCAP'!H$14</f>
        <v>0</v>
      </c>
      <c r="M2052" s="1">
        <f>'[1]Electricity and CHPs_NCAP'!I$14</f>
        <v>0</v>
      </c>
      <c r="N2052" s="1">
        <f>'[1]Electricity and CHPs_NCAP'!J$14</f>
        <v>0</v>
      </c>
      <c r="O2052" s="1">
        <f>'[1]Electricity and CHPs_NCAP'!K$14</f>
        <v>0</v>
      </c>
      <c r="P2052" s="1">
        <f>'[1]Electricity and CHPs_NCAP'!L$14</f>
        <v>0</v>
      </c>
      <c r="Q2052" s="1">
        <f>'[1]Electricity and CHPs_NCAP'!M$14</f>
        <v>0</v>
      </c>
      <c r="S2052" s="3"/>
    </row>
    <row r="2053" spans="2:19" x14ac:dyDescent="0.5">
      <c r="B2053" s="5" t="str">
        <f t="shared" si="2216"/>
        <v>SPS1</v>
      </c>
      <c r="C2053" s="5" t="str">
        <f t="shared" si="2213"/>
        <v>CH</v>
      </c>
      <c r="D2053" t="s">
        <v>2182</v>
      </c>
      <c r="E2053" t="str">
        <f t="shared" si="2214"/>
        <v>GWe/yr.</v>
      </c>
      <c r="F2053" s="1">
        <f t="shared" ref="F2053:K2053" si="2217">SUM(F2054:F2056)</f>
        <v>0</v>
      </c>
      <c r="G2053" s="1">
        <f t="shared" si="2217"/>
        <v>7.787234566012639E-4</v>
      </c>
      <c r="H2053" s="1">
        <f t="shared" si="2217"/>
        <v>2.848926249488545E-2</v>
      </c>
      <c r="I2053" s="1">
        <f t="shared" si="2217"/>
        <v>0.10917363394261785</v>
      </c>
      <c r="J2053" s="1">
        <f t="shared" si="2217"/>
        <v>0.13460857851651462</v>
      </c>
      <c r="K2053" s="1">
        <f t="shared" si="2217"/>
        <v>0.10171282865066358</v>
      </c>
      <c r="L2053" s="1">
        <f t="shared" ref="L2053:O2053" si="2218">SUM(L2054:L2056)</f>
        <v>1.1526840863745835E-6</v>
      </c>
      <c r="M2053" s="1">
        <f t="shared" si="2218"/>
        <v>2.707697161329889E-5</v>
      </c>
      <c r="N2053" s="1">
        <f t="shared" si="2218"/>
        <v>8.2675936100062991E-7</v>
      </c>
      <c r="O2053" s="1">
        <f t="shared" si="2218"/>
        <v>1.2358542320486357E-4</v>
      </c>
      <c r="P2053" s="1">
        <f>SUM(P2054:P2056)</f>
        <v>1.5726323394204192E-6</v>
      </c>
      <c r="Q2053" s="1">
        <f>SUM(Q2054:Q2056)</f>
        <v>1.2299691151155468E-4</v>
      </c>
      <c r="S2053" s="3"/>
    </row>
    <row r="2054" spans="2:19" x14ac:dyDescent="0.5">
      <c r="B2054" s="5" t="str">
        <f t="shared" si="2216"/>
        <v>SPS1</v>
      </c>
      <c r="C2054" s="5" t="str">
        <f t="shared" si="2213"/>
        <v>CH</v>
      </c>
      <c r="D2054" t="s">
        <v>2183</v>
      </c>
      <c r="E2054" t="str">
        <f t="shared" si="2214"/>
        <v>GWe/yr.</v>
      </c>
      <c r="F2054" s="1">
        <f>'[1]Electricity and CHPs_NCAP'!B$15</f>
        <v>0</v>
      </c>
      <c r="G2054" s="1">
        <f>'[1]Electricity and CHPs_NCAP'!C$15</f>
        <v>5.8776663832266901E-4</v>
      </c>
      <c r="H2054" s="1">
        <f>'[1]Electricity and CHPs_NCAP'!D$15</f>
        <v>3.2028050726893202E-3</v>
      </c>
      <c r="I2054" s="1">
        <f>'[1]Electricity and CHPs_NCAP'!E$15</f>
        <v>0.1089406061111725</v>
      </c>
      <c r="J2054" s="1">
        <f>'[1]Electricity and CHPs_NCAP'!F$15</f>
        <v>0.13459560098549375</v>
      </c>
      <c r="K2054" s="1">
        <f>'[1]Electricity and CHPs_NCAP'!G$15</f>
        <v>0.10168582086884732</v>
      </c>
      <c r="L2054" s="1">
        <f>'[1]Electricity and CHPs_NCAP'!H$15</f>
        <v>6.846754195037041E-7</v>
      </c>
      <c r="M2054" s="1">
        <f>'[1]Electricity and CHPs_NCAP'!I$15</f>
        <v>2.9748040167985798E-7</v>
      </c>
      <c r="N2054" s="1">
        <f>'[1]Electricity and CHPs_NCAP'!J$15</f>
        <v>2.1021678371299699E-7</v>
      </c>
      <c r="O2054" s="1">
        <f>'[1]Electricity and CHPs_NCAP'!K$15</f>
        <v>3.13103937151648E-6</v>
      </c>
      <c r="P2054" s="1">
        <f>'[1]Electricity and CHPs_NCAP'!L$15</f>
        <v>9.7590877196717996E-8</v>
      </c>
      <c r="Q2054" s="1">
        <f>'[1]Electricity and CHPs_NCAP'!M$15</f>
        <v>3.1440382589953099E-8</v>
      </c>
      <c r="S2054" s="3"/>
    </row>
    <row r="2055" spans="2:19" x14ac:dyDescent="0.5">
      <c r="B2055" s="5" t="str">
        <f t="shared" si="2216"/>
        <v>SPS1</v>
      </c>
      <c r="C2055" s="5" t="str">
        <f t="shared" si="2213"/>
        <v>CH</v>
      </c>
      <c r="D2055" t="s">
        <v>2184</v>
      </c>
      <c r="E2055" t="str">
        <f t="shared" si="2214"/>
        <v>GWe/yr.</v>
      </c>
      <c r="F2055" s="1">
        <f>'[1]Electricity and CHPs_NCAP'!B$16</f>
        <v>0</v>
      </c>
      <c r="G2055" s="1">
        <f>'[1]Electricity and CHPs_NCAP'!C$16</f>
        <v>1.2401949107002832E-4</v>
      </c>
      <c r="H2055" s="1">
        <f>'[1]Electricity and CHPs_NCAP'!D$16</f>
        <v>2.5286116780323459E-2</v>
      </c>
      <c r="I2055" s="1">
        <f>'[1]Electricity and CHPs_NCAP'!E$16</f>
        <v>2.3267383805189538E-4</v>
      </c>
      <c r="J2055" s="1">
        <f>'[1]Electricity and CHPs_NCAP'!F$16</f>
        <v>1.2738981895233875E-5</v>
      </c>
      <c r="K2055" s="1">
        <f>'[1]Electricity and CHPs_NCAP'!G$16</f>
        <v>2.775186762510778E-7</v>
      </c>
      <c r="L2055" s="1">
        <f>'[1]Electricity and CHPs_NCAP'!H$16</f>
        <v>3.3308136212027532E-7</v>
      </c>
      <c r="M2055" s="1">
        <f>'[1]Electricity and CHPs_NCAP'!I$16</f>
        <v>2.1015659010593083E-7</v>
      </c>
      <c r="N2055" s="1">
        <f>'[1]Electricity and CHPs_NCAP'!J$16</f>
        <v>1.8331201585469189E-7</v>
      </c>
      <c r="O2055" s="1">
        <f>'[1]Electricity and CHPs_NCAP'!K$16</f>
        <v>2.1944205637811057E-6</v>
      </c>
      <c r="P2055" s="1">
        <f>'[1]Electricity and CHPs_NCAP'!L$16</f>
        <v>1.4750414622237011E-6</v>
      </c>
      <c r="Q2055" s="1">
        <f>'[1]Electricity and CHPs_NCAP'!M$16</f>
        <v>1.2296547112896472E-4</v>
      </c>
      <c r="S2055" s="3"/>
    </row>
    <row r="2056" spans="2:19" x14ac:dyDescent="0.5">
      <c r="B2056" s="5" t="str">
        <f t="shared" si="2216"/>
        <v>SPS1</v>
      </c>
      <c r="C2056" s="5" t="str">
        <f t="shared" si="2213"/>
        <v>CH</v>
      </c>
      <c r="D2056" t="s">
        <v>2185</v>
      </c>
      <c r="E2056" t="str">
        <f t="shared" si="2214"/>
        <v>GWe/yr.</v>
      </c>
      <c r="F2056" s="1">
        <f>'[1]Electricity and CHPs_NCAP'!B$17</f>
        <v>0</v>
      </c>
      <c r="G2056" s="1">
        <f>'[1]Electricity and CHPs_NCAP'!C$17</f>
        <v>6.6937327208566502E-5</v>
      </c>
      <c r="H2056" s="1">
        <f>'[1]Electricity and CHPs_NCAP'!D$17</f>
        <v>3.4064187267239998E-7</v>
      </c>
      <c r="I2056" s="1">
        <f>'[1]Electricity and CHPs_NCAP'!E$17</f>
        <v>3.53993393453131E-7</v>
      </c>
      <c r="J2056" s="1">
        <f>'[1]Electricity and CHPs_NCAP'!F$17</f>
        <v>2.3854912561596001E-7</v>
      </c>
      <c r="K2056" s="1">
        <f>'[1]Electricity and CHPs_NCAP'!G$17</f>
        <v>2.6730263140011401E-5</v>
      </c>
      <c r="L2056" s="1">
        <f>'[1]Electricity and CHPs_NCAP'!H$17</f>
        <v>1.3492730475060401E-7</v>
      </c>
      <c r="M2056" s="1">
        <f>'[1]Electricity and CHPs_NCAP'!I$17</f>
        <v>2.6569334621513101E-5</v>
      </c>
      <c r="N2056" s="1">
        <f>'[1]Electricity and CHPs_NCAP'!J$17</f>
        <v>4.3323056143294098E-7</v>
      </c>
      <c r="O2056" s="1">
        <f>'[1]Electricity and CHPs_NCAP'!K$17</f>
        <v>1.1825996326956599E-4</v>
      </c>
      <c r="P2056" s="1">
        <f>'[1]Electricity and CHPs_NCAP'!L$17</f>
        <v>0</v>
      </c>
      <c r="Q2056" s="1">
        <f>'[1]Electricity and CHPs_NCAP'!M$17</f>
        <v>0</v>
      </c>
      <c r="S2056" s="3"/>
    </row>
    <row r="2057" spans="2:19" x14ac:dyDescent="0.5">
      <c r="B2057" s="5" t="str">
        <f t="shared" si="2216"/>
        <v>SPS1</v>
      </c>
      <c r="C2057" s="5" t="str">
        <f t="shared" si="2213"/>
        <v>CH</v>
      </c>
      <c r="D2057" t="s">
        <v>2186</v>
      </c>
      <c r="E2057" t="str">
        <f t="shared" si="2214"/>
        <v>GWe/yr.</v>
      </c>
      <c r="F2057" s="1">
        <f t="shared" ref="F2057:K2057" si="2219">SUM(F2058:F2060)</f>
        <v>0</v>
      </c>
      <c r="G2057" s="1">
        <f t="shared" si="2219"/>
        <v>2.1247466364460694E-2</v>
      </c>
      <c r="H2057" s="1">
        <f t="shared" si="2219"/>
        <v>1.4441246978614518E-3</v>
      </c>
      <c r="I2057" s="1">
        <f t="shared" si="2219"/>
        <v>6.2780843619215709E-2</v>
      </c>
      <c r="J2057" s="1">
        <f t="shared" si="2219"/>
        <v>2.2171454559702275E-3</v>
      </c>
      <c r="K2057" s="1">
        <f t="shared" si="2219"/>
        <v>6.5768050094265115E-3</v>
      </c>
      <c r="L2057" s="1">
        <f t="shared" ref="L2057:O2057" si="2220">SUM(L2058:L2060)</f>
        <v>6.1819897436776204E-5</v>
      </c>
      <c r="M2057" s="1">
        <f t="shared" si="2220"/>
        <v>1.939045513590867E-5</v>
      </c>
      <c r="N2057" s="1">
        <f t="shared" si="2220"/>
        <v>2.580870516672975E-4</v>
      </c>
      <c r="O2057" s="1">
        <f t="shared" si="2220"/>
        <v>2.9336090010012669E-5</v>
      </c>
      <c r="P2057" s="1">
        <f>SUM(P2058:P2060)</f>
        <v>2.5441419862219337E-2</v>
      </c>
      <c r="Q2057" s="1">
        <f>SUM(Q2058:Q2060)</f>
        <v>6.1060882331671451E-4</v>
      </c>
      <c r="S2057" s="3"/>
    </row>
    <row r="2058" spans="2:19" x14ac:dyDescent="0.5">
      <c r="B2058" s="5" t="str">
        <f t="shared" si="2216"/>
        <v>SPS1</v>
      </c>
      <c r="C2058" s="5" t="str">
        <f t="shared" si="2213"/>
        <v>CH</v>
      </c>
      <c r="D2058" t="s">
        <v>2187</v>
      </c>
      <c r="E2058" t="str">
        <f t="shared" si="2214"/>
        <v>GWe/yr.</v>
      </c>
      <c r="F2058" s="1">
        <f>'[1]Electricity and CHPs_NCAP'!B$18</f>
        <v>0</v>
      </c>
      <c r="G2058" s="1">
        <f>'[1]Electricity and CHPs_NCAP'!C$18</f>
        <v>1.34449217445639E-6</v>
      </c>
      <c r="H2058" s="1">
        <f>'[1]Electricity and CHPs_NCAP'!D$18</f>
        <v>1.4437234110076299E-3</v>
      </c>
      <c r="I2058" s="1">
        <f>'[1]Electricity and CHPs_NCAP'!E$18</f>
        <v>6.2780297904582602E-2</v>
      </c>
      <c r="J2058" s="1">
        <f>'[1]Electricity and CHPs_NCAP'!F$18</f>
        <v>2.21462260949016E-3</v>
      </c>
      <c r="K2058" s="1">
        <f>'[1]Electricity and CHPs_NCAP'!G$18</f>
        <v>6.5615728193863104E-3</v>
      </c>
      <c r="L2058" s="1">
        <f>'[1]Electricity and CHPs_NCAP'!H$18</f>
        <v>2.2867765970838799E-5</v>
      </c>
      <c r="M2058" s="1">
        <f>'[1]Electricity and CHPs_NCAP'!I$18</f>
        <v>2.8188010074723699E-6</v>
      </c>
      <c r="N2058" s="1">
        <f>'[1]Electricity and CHPs_NCAP'!J$18</f>
        <v>3.7673039406849898E-6</v>
      </c>
      <c r="O2058" s="1">
        <f>'[1]Electricity and CHPs_NCAP'!K$18</f>
        <v>1.1760484570630601E-5</v>
      </c>
      <c r="P2058" s="1">
        <f>'[1]Electricity and CHPs_NCAP'!L$18</f>
        <v>2.7229431278351298E-4</v>
      </c>
      <c r="Q2058" s="1">
        <f>'[1]Electricity and CHPs_NCAP'!M$18</f>
        <v>6.0774388254428602E-4</v>
      </c>
      <c r="S2058" s="3"/>
    </row>
    <row r="2059" spans="2:19" x14ac:dyDescent="0.5">
      <c r="B2059" s="5" t="str">
        <f t="shared" si="2216"/>
        <v>SPS1</v>
      </c>
      <c r="C2059" s="5" t="str">
        <f t="shared" si="2213"/>
        <v>CH</v>
      </c>
      <c r="D2059" t="s">
        <v>2188</v>
      </c>
      <c r="E2059" t="str">
        <f t="shared" si="2214"/>
        <v>GWe/yr.</v>
      </c>
      <c r="F2059" s="1">
        <f>'[1]Electricity and CHPs_NCAP'!B$28</f>
        <v>0</v>
      </c>
      <c r="G2059" s="1">
        <f>'[1]Electricity and CHPs_NCAP'!C$28</f>
        <v>4.5196379083733899E-7</v>
      </c>
      <c r="H2059" s="1">
        <f>'[1]Electricity and CHPs_NCAP'!D$28</f>
        <v>4.0128685382192401E-7</v>
      </c>
      <c r="I2059" s="1">
        <f>'[1]Electricity and CHPs_NCAP'!E$28</f>
        <v>5.4571463311251896E-7</v>
      </c>
      <c r="J2059" s="1">
        <f>'[1]Electricity and CHPs_NCAP'!F$28</f>
        <v>2.5228464800673601E-6</v>
      </c>
      <c r="K2059" s="1">
        <f>'[1]Electricity and CHPs_NCAP'!G$28</f>
        <v>1.5232190040201201E-5</v>
      </c>
      <c r="L2059" s="1">
        <f>'[1]Electricity and CHPs_NCAP'!H$28</f>
        <v>3.8952131465937402E-5</v>
      </c>
      <c r="M2059" s="1">
        <f>'[1]Electricity and CHPs_NCAP'!I$28</f>
        <v>1.65716541284363E-5</v>
      </c>
      <c r="N2059" s="1">
        <f>'[1]Electricity and CHPs_NCAP'!J$28</f>
        <v>3.0029182879714901E-6</v>
      </c>
      <c r="O2059" s="1">
        <f>'[1]Electricity and CHPs_NCAP'!K$28</f>
        <v>1.22501331628048E-5</v>
      </c>
      <c r="P2059" s="1">
        <f>'[1]Electricity and CHPs_NCAP'!L$28</f>
        <v>7.9316315729247306E-6</v>
      </c>
      <c r="Q2059" s="1">
        <f>'[1]Electricity and CHPs_NCAP'!M$28</f>
        <v>4.8081696913645103E-7</v>
      </c>
      <c r="S2059" s="3"/>
    </row>
    <row r="2060" spans="2:19" x14ac:dyDescent="0.5">
      <c r="B2060" s="5" t="str">
        <f t="shared" si="2216"/>
        <v>SPS1</v>
      </c>
      <c r="C2060" s="5" t="str">
        <f t="shared" si="2213"/>
        <v>CH</v>
      </c>
      <c r="D2060" t="s">
        <v>2189</v>
      </c>
      <c r="E2060" t="str">
        <f t="shared" si="2214"/>
        <v>GWe/yr.</v>
      </c>
      <c r="F2060" s="1">
        <f>'[1]Electricity and CHPs_NCAP'!B$41</f>
        <v>0</v>
      </c>
      <c r="G2060" s="1">
        <f>'[1]Electricity and CHPs_NCAP'!C$41</f>
        <v>2.1245669908495399E-2</v>
      </c>
      <c r="H2060" s="1">
        <f>'[1]Electricity and CHPs_NCAP'!D$41</f>
        <v>0</v>
      </c>
      <c r="I2060" s="1">
        <f>'[1]Electricity and CHPs_NCAP'!E$41</f>
        <v>0</v>
      </c>
      <c r="J2060" s="1">
        <f>'[1]Electricity and CHPs_NCAP'!F$41</f>
        <v>0</v>
      </c>
      <c r="K2060" s="1">
        <f>'[1]Electricity and CHPs_NCAP'!G$41</f>
        <v>0</v>
      </c>
      <c r="L2060" s="1">
        <f>'[1]Electricity and CHPs_NCAP'!H$41</f>
        <v>0</v>
      </c>
      <c r="M2060" s="1">
        <f>'[1]Electricity and CHPs_NCAP'!I$41</f>
        <v>0</v>
      </c>
      <c r="N2060" s="1">
        <f>'[1]Electricity and CHPs_NCAP'!J$41</f>
        <v>2.51316829438641E-4</v>
      </c>
      <c r="O2060" s="1">
        <f>'[1]Electricity and CHPs_NCAP'!K$41</f>
        <v>5.3254722765772698E-6</v>
      </c>
      <c r="P2060" s="1">
        <f>'[1]Electricity and CHPs_NCAP'!L$41</f>
        <v>2.5161193917862899E-2</v>
      </c>
      <c r="Q2060" s="1">
        <f>'[1]Electricity and CHPs_NCAP'!M$41</f>
        <v>2.3841238032921101E-6</v>
      </c>
      <c r="S2060" s="3"/>
    </row>
    <row r="2061" spans="2:19" x14ac:dyDescent="0.5">
      <c r="B2061" s="5" t="str">
        <f t="shared" si="2216"/>
        <v>SPS1</v>
      </c>
      <c r="C2061" s="5" t="str">
        <f t="shared" si="2213"/>
        <v>CH</v>
      </c>
      <c r="D2061" t="s">
        <v>2190</v>
      </c>
      <c r="E2061" t="str">
        <f t="shared" si="2214"/>
        <v>GWe/yr.</v>
      </c>
      <c r="F2061" s="1">
        <f t="shared" ref="F2061:K2061" si="2221">SUM(F2062:F2076)</f>
        <v>0</v>
      </c>
      <c r="G2061" s="1">
        <f t="shared" si="2221"/>
        <v>9.7440356176392282E-2</v>
      </c>
      <c r="H2061" s="1">
        <f t="shared" si="2221"/>
        <v>6.5700970733744667E-3</v>
      </c>
      <c r="I2061" s="1">
        <f t="shared" si="2221"/>
        <v>2.4020204840642129E-2</v>
      </c>
      <c r="J2061" s="1">
        <f t="shared" si="2221"/>
        <v>7.944437216731555E-2</v>
      </c>
      <c r="K2061" s="1">
        <f t="shared" si="2221"/>
        <v>6.9604599294721792E-2</v>
      </c>
      <c r="L2061" s="1">
        <f t="shared" ref="L2061:O2061" si="2222">SUM(L2062:L2076)</f>
        <v>0.1148233863786936</v>
      </c>
      <c r="M2061" s="1">
        <f t="shared" si="2222"/>
        <v>0.16044311214028686</v>
      </c>
      <c r="N2061" s="1">
        <f t="shared" si="2222"/>
        <v>0.46313038125543227</v>
      </c>
      <c r="O2061" s="1">
        <f t="shared" si="2222"/>
        <v>0.1800308018417611</v>
      </c>
      <c r="P2061" s="1">
        <f>SUM(P2062:P2076)</f>
        <v>0.22014926206160984</v>
      </c>
      <c r="Q2061" s="1">
        <f>SUM(Q2062:Q2076)</f>
        <v>0.18570253710565643</v>
      </c>
      <c r="S2061" s="3"/>
    </row>
    <row r="2062" spans="2:19" x14ac:dyDescent="0.5">
      <c r="B2062" s="5" t="str">
        <f t="shared" si="2216"/>
        <v>SPS1</v>
      </c>
      <c r="C2062" s="5" t="str">
        <f t="shared" si="2213"/>
        <v>CH</v>
      </c>
      <c r="D2062" t="s">
        <v>2191</v>
      </c>
      <c r="E2062" t="str">
        <f t="shared" si="2214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'[1]Electricity and CHPs_NCAP'!F$21</f>
        <v>0</v>
      </c>
      <c r="K2062" s="1">
        <f>'[1]Electricity and CHPs_NCAP'!G$21</f>
        <v>3.50297681660541E-6</v>
      </c>
      <c r="L2062" s="1">
        <f>'[1]Electricity and CHPs_NCAP'!H$21</f>
        <v>3.4410225975544702E-6</v>
      </c>
      <c r="M2062" s="1">
        <f>'[1]Electricity and CHPs_NCAP'!I$21</f>
        <v>7.5874628449324995E-5</v>
      </c>
      <c r="N2062" s="1">
        <f>'[1]Electricity and CHPs_NCAP'!J$21</f>
        <v>3.0991694311215897E-5</v>
      </c>
      <c r="O2062" s="1">
        <f>'[1]Electricity and CHPs_NCAP'!K$21</f>
        <v>9.5864959956784099E-7</v>
      </c>
      <c r="P2062" s="1">
        <f>'[1]Electricity and CHPs_NCAP'!L$21</f>
        <v>8.2463467724180797E-5</v>
      </c>
      <c r="Q2062" s="1">
        <f>'[1]Electricity and CHPs_NCAP'!M$21</f>
        <v>0</v>
      </c>
      <c r="S2062" s="3"/>
    </row>
    <row r="2063" spans="2:19" x14ac:dyDescent="0.5">
      <c r="B2063" s="5" t="str">
        <f t="shared" si="2216"/>
        <v>SPS1</v>
      </c>
      <c r="C2063" s="5" t="str">
        <f t="shared" si="2213"/>
        <v>CH</v>
      </c>
      <c r="D2063" t="s">
        <v>2192</v>
      </c>
      <c r="E2063" t="str">
        <f t="shared" si="2214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'[1]Electricity and CHPs_NCAP'!F$22</f>
        <v>2.6540860958543499E-4</v>
      </c>
      <c r="K2063" s="1">
        <f>'[1]Electricity and CHPs_NCAP'!G$22</f>
        <v>2.9717866767700601E-6</v>
      </c>
      <c r="L2063" s="1">
        <f>'[1]Electricity and CHPs_NCAP'!H$22</f>
        <v>1.3936260654706599E-4</v>
      </c>
      <c r="M2063" s="1">
        <f>'[1]Electricity and CHPs_NCAP'!I$22</f>
        <v>1.97718772766814E-6</v>
      </c>
      <c r="N2063" s="1">
        <f>'[1]Electricity and CHPs_NCAP'!J$22</f>
        <v>1.80439591130464E-6</v>
      </c>
      <c r="O2063" s="1">
        <f>'[1]Electricity and CHPs_NCAP'!K$22</f>
        <v>6.6975116380634198E-6</v>
      </c>
      <c r="P2063" s="1">
        <f>'[1]Electricity and CHPs_NCAP'!L$22</f>
        <v>3.33670949406396E-4</v>
      </c>
      <c r="Q2063" s="1">
        <f>'[1]Electricity and CHPs_NCAP'!M$22</f>
        <v>0</v>
      </c>
      <c r="S2063" s="3"/>
    </row>
    <row r="2064" spans="2:19" x14ac:dyDescent="0.5">
      <c r="B2064" s="5" t="str">
        <f t="shared" si="2216"/>
        <v>SPS1</v>
      </c>
      <c r="C2064" s="5" t="str">
        <f t="shared" si="2213"/>
        <v>CH</v>
      </c>
      <c r="D2064" t="s">
        <v>2193</v>
      </c>
      <c r="E2064" t="str">
        <f t="shared" si="2214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'[1]Electricity and CHPs_NCAP'!F$23</f>
        <v>0</v>
      </c>
      <c r="K2064" s="1">
        <f>'[1]Electricity and CHPs_NCAP'!G$23</f>
        <v>0</v>
      </c>
      <c r="L2064" s="1">
        <f>'[1]Electricity and CHPs_NCAP'!H$23</f>
        <v>2.9928512294744301E-6</v>
      </c>
      <c r="M2064" s="1">
        <f>'[1]Electricity and CHPs_NCAP'!I$23</f>
        <v>0</v>
      </c>
      <c r="N2064" s="1">
        <f>'[1]Electricity and CHPs_NCAP'!J$23</f>
        <v>0.34889147491480599</v>
      </c>
      <c r="O2064" s="1">
        <f>'[1]Electricity and CHPs_NCAP'!K$23</f>
        <v>3.1065255811470299E-7</v>
      </c>
      <c r="P2064" s="1">
        <f>'[1]Electricity and CHPs_NCAP'!L$23</f>
        <v>5.0979690947886699E-7</v>
      </c>
      <c r="Q2064" s="1">
        <f>'[1]Electricity and CHPs_NCAP'!M$23</f>
        <v>0</v>
      </c>
      <c r="S2064" s="3"/>
    </row>
    <row r="2065" spans="2:19" x14ac:dyDescent="0.5">
      <c r="B2065" s="5" t="str">
        <f t="shared" si="2216"/>
        <v>SPS1</v>
      </c>
      <c r="C2065" s="5" t="str">
        <f t="shared" si="2213"/>
        <v>CH</v>
      </c>
      <c r="D2065" t="s">
        <v>2194</v>
      </c>
      <c r="E2065" t="str">
        <f t="shared" si="2214"/>
        <v>GWe/yr.</v>
      </c>
      <c r="F2065" s="1">
        <f>'[1]Electricity and CHPs_NCAP'!B$24</f>
        <v>0</v>
      </c>
      <c r="G2065" s="1">
        <f>'[1]Electricity and CHPs_NCAP'!C$24</f>
        <v>6.4368345889345901E-8</v>
      </c>
      <c r="H2065" s="1">
        <f>'[1]Electricity and CHPs_NCAP'!D$24</f>
        <v>0</v>
      </c>
      <c r="I2065" s="1">
        <f>'[1]Electricity and CHPs_NCAP'!E$24</f>
        <v>0</v>
      </c>
      <c r="J2065" s="1">
        <f>'[1]Electricity and CHPs_NCAP'!F$24</f>
        <v>0</v>
      </c>
      <c r="K2065" s="1">
        <f>'[1]Electricity and CHPs_NCAP'!G$24</f>
        <v>0</v>
      </c>
      <c r="L2065" s="1">
        <f>'[1]Electricity and CHPs_NCAP'!H$24</f>
        <v>0</v>
      </c>
      <c r="M2065" s="1">
        <f>'[1]Electricity and CHPs_NCAP'!I$24</f>
        <v>0</v>
      </c>
      <c r="N2065" s="1">
        <f>'[1]Electricity and CHPs_NCAP'!J$24</f>
        <v>0</v>
      </c>
      <c r="O2065" s="1">
        <f>'[1]Electricity and CHPs_NCAP'!K$24</f>
        <v>0</v>
      </c>
      <c r="P2065" s="1">
        <f>'[1]Electricity and CHPs_NCAP'!L$24</f>
        <v>0</v>
      </c>
      <c r="Q2065" s="1">
        <f>'[1]Electricity and CHPs_NCAP'!M$24</f>
        <v>0</v>
      </c>
      <c r="S2065" s="3"/>
    </row>
    <row r="2066" spans="2:19" x14ac:dyDescent="0.5">
      <c r="B2066" s="5" t="str">
        <f t="shared" si="2216"/>
        <v>SPS1</v>
      </c>
      <c r="C2066" s="5" t="str">
        <f t="shared" si="2213"/>
        <v>CH</v>
      </c>
      <c r="D2066" t="s">
        <v>2195</v>
      </c>
      <c r="E2066" t="str">
        <f t="shared" si="2214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'[1]Electricity and CHPs_NCAP'!F$29</f>
        <v>0</v>
      </c>
      <c r="K2066" s="1">
        <f>'[1]Electricity and CHPs_NCAP'!G$29</f>
        <v>0</v>
      </c>
      <c r="L2066" s="1">
        <f>'[1]Electricity and CHPs_NCAP'!H$29</f>
        <v>0</v>
      </c>
      <c r="M2066" s="1">
        <f>'[1]Electricity and CHPs_NCAP'!I$29</f>
        <v>0</v>
      </c>
      <c r="N2066" s="1">
        <f>'[1]Electricity and CHPs_NCAP'!J$29</f>
        <v>0</v>
      </c>
      <c r="O2066" s="1">
        <f>'[1]Electricity and CHPs_NCAP'!K$29</f>
        <v>0</v>
      </c>
      <c r="P2066" s="1">
        <f>'[1]Electricity and CHPs_NCAP'!L$29</f>
        <v>0</v>
      </c>
      <c r="Q2066" s="1">
        <f>'[1]Electricity and CHPs_NCAP'!M$29</f>
        <v>0</v>
      </c>
      <c r="S2066" s="3"/>
    </row>
    <row r="2067" spans="2:19" x14ac:dyDescent="0.5">
      <c r="B2067" s="5" t="str">
        <f t="shared" si="2216"/>
        <v>SPS1</v>
      </c>
      <c r="C2067" s="5" t="str">
        <f t="shared" si="2213"/>
        <v>CH</v>
      </c>
      <c r="D2067" t="s">
        <v>2196</v>
      </c>
      <c r="E2067" t="str">
        <f t="shared" si="2214"/>
        <v>GWe/yr.</v>
      </c>
      <c r="F2067" s="1">
        <f>'[1]Electricity and CHPs_NCAP'!B$39</f>
        <v>0</v>
      </c>
      <c r="G2067" s="1">
        <f>'[1]Electricity and CHPs_NCAP'!C$39</f>
        <v>1.7844468290272001E-7</v>
      </c>
      <c r="H2067" s="1">
        <f>'[1]Electricity and CHPs_NCAP'!D$39</f>
        <v>7.5113476031704198E-7</v>
      </c>
      <c r="I2067" s="1">
        <f>'[1]Electricity and CHPs_NCAP'!E$39</f>
        <v>1.1776845887952201E-2</v>
      </c>
      <c r="J2067" s="1">
        <f>'[1]Electricity and CHPs_NCAP'!F$39</f>
        <v>3.4944538029515901E-2</v>
      </c>
      <c r="K2067" s="1">
        <f>'[1]Electricity and CHPs_NCAP'!G$39</f>
        <v>2.2111271924206501E-2</v>
      </c>
      <c r="L2067" s="1">
        <f>'[1]Electricity and CHPs_NCAP'!H$39</f>
        <v>1.2364982582054734E-6</v>
      </c>
      <c r="M2067" s="1">
        <f>'[1]Electricity and CHPs_NCAP'!I$39</f>
        <v>3.7196892509611199E-3</v>
      </c>
      <c r="N2067" s="1">
        <f>'[1]Electricity and CHPs_NCAP'!J$39</f>
        <v>2.7587476074729601E-2</v>
      </c>
      <c r="O2067" s="1">
        <f>'[1]Electricity and CHPs_NCAP'!K$39</f>
        <v>1.1943642864153199E-2</v>
      </c>
      <c r="P2067" s="1">
        <f>'[1]Electricity and CHPs_NCAP'!L$39</f>
        <v>1.7760084009270399E-2</v>
      </c>
      <c r="Q2067" s="1">
        <f>'[1]Electricity and CHPs_NCAP'!M$39</f>
        <v>3.6883724455132102E-3</v>
      </c>
      <c r="S2067" s="3"/>
    </row>
    <row r="2068" spans="2:19" x14ac:dyDescent="0.5">
      <c r="B2068" s="5" t="str">
        <f t="shared" si="2216"/>
        <v>SPS1</v>
      </c>
      <c r="C2068" s="5" t="str">
        <f t="shared" si="2213"/>
        <v>CH</v>
      </c>
      <c r="D2068" t="s">
        <v>2197</v>
      </c>
      <c r="E2068" t="str">
        <f t="shared" si="2214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'[1]Electricity and CHPs_NCAP'!F$40</f>
        <v>0</v>
      </c>
      <c r="K2068" s="1">
        <f>'[1]Electricity and CHPs_NCAP'!G$40</f>
        <v>2.21432419492082E-4</v>
      </c>
      <c r="L2068" s="1">
        <f>'[1]Electricity and CHPs_NCAP'!H$40</f>
        <v>1.2505064725039599E-2</v>
      </c>
      <c r="M2068" s="1">
        <f>'[1]Electricity and CHPs_NCAP'!I$40</f>
        <v>1.19941851291134E-2</v>
      </c>
      <c r="N2068" s="1">
        <f>'[1]Electricity and CHPs_NCAP'!J$40</f>
        <v>3.1160814728286898E-6</v>
      </c>
      <c r="O2068" s="1">
        <f>'[1]Electricity and CHPs_NCAP'!K$40</f>
        <v>2.0519315252910402E-6</v>
      </c>
      <c r="P2068" s="1">
        <f>'[1]Electricity and CHPs_NCAP'!L$40</f>
        <v>7.9486055089002302E-3</v>
      </c>
      <c r="Q2068" s="1">
        <f>'[1]Electricity and CHPs_NCAP'!M$40</f>
        <v>1.06589337623108E-2</v>
      </c>
      <c r="S2068" s="3"/>
    </row>
    <row r="2069" spans="2:19" x14ac:dyDescent="0.5">
      <c r="B2069" s="5" t="str">
        <f t="shared" si="2216"/>
        <v>SPS1</v>
      </c>
      <c r="C2069" s="5" t="str">
        <f t="shared" si="2213"/>
        <v>CH</v>
      </c>
      <c r="D2069" t="s">
        <v>2198</v>
      </c>
      <c r="E2069" t="str">
        <f t="shared" si="2214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2.2319037342327399E-5</v>
      </c>
      <c r="J2069" s="1">
        <f>'[1]Electricity and CHPs_NCAP'!F$47</f>
        <v>1.9781035215116998E-5</v>
      </c>
      <c r="K2069" s="1">
        <f>'[1]Electricity and CHPs_NCAP'!G$47</f>
        <v>5.6685027860826199E-5</v>
      </c>
      <c r="L2069" s="1">
        <f>'[1]Electricity and CHPs_NCAP'!H$47</f>
        <v>1.31925132671394E-6</v>
      </c>
      <c r="M2069" s="1">
        <f>'[1]Electricity and CHPs_NCAP'!I$47</f>
        <v>2.8974175311352099E-5</v>
      </c>
      <c r="N2069" s="1">
        <f>'[1]Electricity and CHPs_NCAP'!J$47</f>
        <v>3.3503881321269701E-5</v>
      </c>
      <c r="O2069" s="1">
        <f>'[1]Electricity and CHPs_NCAP'!K$47</f>
        <v>2.41370493151624E-5</v>
      </c>
      <c r="P2069" s="1">
        <f>'[1]Electricity and CHPs_NCAP'!L$47</f>
        <v>1.9783023469675602E-5</v>
      </c>
      <c r="Q2069" s="1">
        <f>'[1]Electricity and CHPs_NCAP'!M$47</f>
        <v>3.8564526169456799E-5</v>
      </c>
      <c r="S2069" s="3"/>
    </row>
    <row r="2070" spans="2:19" x14ac:dyDescent="0.5">
      <c r="B2070" s="5" t="str">
        <f t="shared" si="2216"/>
        <v>SPS1</v>
      </c>
      <c r="C2070" s="5" t="str">
        <f t="shared" si="2213"/>
        <v>CH</v>
      </c>
      <c r="D2070" t="s">
        <v>2199</v>
      </c>
      <c r="E2070" t="str">
        <f t="shared" si="2214"/>
        <v>GWe/yr.</v>
      </c>
      <c r="F2070" s="1">
        <f>'[1]Electricity and CHPs_NCAP'!B$48</f>
        <v>0</v>
      </c>
      <c r="G2070" s="1">
        <f>'[1]Electricity and CHPs_NCAP'!C$48</f>
        <v>5.1767023292719899E-5</v>
      </c>
      <c r="H2070" s="1">
        <f>'[1]Electricity and CHPs_NCAP'!D$48</f>
        <v>0</v>
      </c>
      <c r="I2070" s="1">
        <f>'[1]Electricity and CHPs_NCAP'!E$48</f>
        <v>0</v>
      </c>
      <c r="J2070" s="1">
        <f>'[1]Electricity and CHPs_NCAP'!F$48</f>
        <v>0</v>
      </c>
      <c r="K2070" s="1">
        <f>'[1]Electricity and CHPs_NCAP'!G$48</f>
        <v>0</v>
      </c>
      <c r="L2070" s="1">
        <f>'[1]Electricity and CHPs_NCAP'!H$48</f>
        <v>0</v>
      </c>
      <c r="M2070" s="1">
        <f>'[1]Electricity and CHPs_NCAP'!I$48</f>
        <v>0</v>
      </c>
      <c r="N2070" s="1">
        <f>'[1]Electricity and CHPs_NCAP'!J$48</f>
        <v>1.0236873816474951E-4</v>
      </c>
      <c r="O2070" s="1">
        <f>'[1]Electricity and CHPs_NCAP'!K$48</f>
        <v>4.8792585216074469E-5</v>
      </c>
      <c r="P2070" s="1">
        <f>'[1]Electricity and CHPs_NCAP'!L$48</f>
        <v>5.2868834780021664E-6</v>
      </c>
      <c r="Q2070" s="1">
        <f>'[1]Electricity and CHPs_NCAP'!M$48</f>
        <v>2.4854478969428931E-5</v>
      </c>
      <c r="S2070" s="3"/>
    </row>
    <row r="2071" spans="2:19" x14ac:dyDescent="0.5">
      <c r="B2071" s="5" t="str">
        <f t="shared" si="2216"/>
        <v>SPS1</v>
      </c>
      <c r="C2071" s="5" t="str">
        <f t="shared" si="2213"/>
        <v>CH</v>
      </c>
      <c r="D2071" t="s">
        <v>2200</v>
      </c>
      <c r="E2071" t="str">
        <f t="shared" si="2214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0</v>
      </c>
      <c r="J2071" s="1">
        <f>'[1]Electricity and CHPs_NCAP'!F$49</f>
        <v>0</v>
      </c>
      <c r="K2071" s="1">
        <f>'[1]Electricity and CHPs_NCAP'!G$49</f>
        <v>0</v>
      </c>
      <c r="L2071" s="1">
        <f>'[1]Electricity and CHPs_NCAP'!H$49</f>
        <v>0</v>
      </c>
      <c r="M2071" s="1">
        <f>'[1]Electricity and CHPs_NCAP'!I$49</f>
        <v>0</v>
      </c>
      <c r="N2071" s="1">
        <f>'[1]Electricity and CHPs_NCAP'!J$49</f>
        <v>3.4400817091506498E-5</v>
      </c>
      <c r="O2071" s="1">
        <f>'[1]Electricity and CHPs_NCAP'!K$49</f>
        <v>2.3437244177450082E-5</v>
      </c>
      <c r="P2071" s="1">
        <f>'[1]Electricity and CHPs_NCAP'!L$49</f>
        <v>2.5749397827492798E-7</v>
      </c>
      <c r="Q2071" s="1">
        <f>'[1]Electricity and CHPs_NCAP'!M$49</f>
        <v>4.9395158980571706E-5</v>
      </c>
      <c r="S2071" s="3"/>
    </row>
    <row r="2072" spans="2:19" x14ac:dyDescent="0.5">
      <c r="B2072" s="5" t="str">
        <f t="shared" si="2216"/>
        <v>SPS1</v>
      </c>
      <c r="C2072" s="5" t="str">
        <f t="shared" si="2213"/>
        <v>CH</v>
      </c>
      <c r="D2072" t="s">
        <v>2201</v>
      </c>
      <c r="E2072" t="str">
        <f t="shared" si="2214"/>
        <v>GWe/yr.</v>
      </c>
      <c r="F2072" s="1">
        <f>'[1]Electricity and CHPs_NCAP'!B$51</f>
        <v>0</v>
      </c>
      <c r="G2072" s="1">
        <f>'[1]Electricity and CHPs_NCAP'!C$51</f>
        <v>2.1706016859796972E-4</v>
      </c>
      <c r="H2072" s="1">
        <f>'[1]Electricity and CHPs_NCAP'!D$51</f>
        <v>0</v>
      </c>
      <c r="I2072" s="1">
        <f>'[1]Electricity and CHPs_NCAP'!E$51</f>
        <v>0</v>
      </c>
      <c r="J2072" s="1">
        <f>'[1]Electricity and CHPs_NCAP'!F$51</f>
        <v>0</v>
      </c>
      <c r="K2072" s="1">
        <f>'[1]Electricity and CHPs_NCAP'!G$51</f>
        <v>0</v>
      </c>
      <c r="L2072" s="1">
        <f>'[1]Electricity and CHPs_NCAP'!H$51</f>
        <v>0</v>
      </c>
      <c r="M2072" s="1">
        <f>'[1]Electricity and CHPs_NCAP'!I$51</f>
        <v>0</v>
      </c>
      <c r="N2072" s="1">
        <f>'[1]Electricity and CHPs_NCAP'!J$51</f>
        <v>1.2645496367662631E-4</v>
      </c>
      <c r="O2072" s="1">
        <f>'[1]Electricity and CHPs_NCAP'!K$51</f>
        <v>1.2511678780480792E-4</v>
      </c>
      <c r="P2072" s="1">
        <f>'[1]Electricity and CHPs_NCAP'!L$51</f>
        <v>4.1566136375814597E-7</v>
      </c>
      <c r="Q2072" s="1">
        <f>'[1]Electricity and CHPs_NCAP'!M$51</f>
        <v>6.4068027223692102E-5</v>
      </c>
      <c r="S2072" s="3"/>
    </row>
    <row r="2073" spans="2:19" x14ac:dyDescent="0.5">
      <c r="B2073" s="5" t="str">
        <f t="shared" si="2216"/>
        <v>SPS1</v>
      </c>
      <c r="C2073" s="5" t="str">
        <f t="shared" si="2213"/>
        <v>CH</v>
      </c>
      <c r="D2073" t="s">
        <v>2202</v>
      </c>
      <c r="E2073" t="str">
        <f t="shared" si="2214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0</v>
      </c>
      <c r="J2073" s="1">
        <f>'[1]Electricity and CHPs_NCAP'!F$52</f>
        <v>0</v>
      </c>
      <c r="K2073" s="1">
        <f>'[1]Electricity and CHPs_NCAP'!G$52</f>
        <v>0</v>
      </c>
      <c r="L2073" s="1">
        <f>'[1]Electricity and CHPs_NCAP'!H$52</f>
        <v>0</v>
      </c>
      <c r="M2073" s="1">
        <f>'[1]Electricity and CHPs_NCAP'!I$52</f>
        <v>0</v>
      </c>
      <c r="N2073" s="1">
        <f>'[1]Electricity and CHPs_NCAP'!J$52</f>
        <v>9.2141107363259299E-5</v>
      </c>
      <c r="O2073" s="1">
        <f>'[1]Electricity and CHPs_NCAP'!K$52</f>
        <v>7.4350095330690896E-5</v>
      </c>
      <c r="P2073" s="1">
        <f>'[1]Electricity and CHPs_NCAP'!L$52</f>
        <v>5.0918088644024701E-7</v>
      </c>
      <c r="Q2073" s="1">
        <f>'[1]Electricity and CHPs_NCAP'!M$52</f>
        <v>1.033929550982834E-4</v>
      </c>
      <c r="S2073" s="3"/>
    </row>
    <row r="2074" spans="2:19" x14ac:dyDescent="0.5">
      <c r="B2074" s="5" t="str">
        <f t="shared" si="2216"/>
        <v>SPS1</v>
      </c>
      <c r="C2074" s="5" t="str">
        <f t="shared" si="2213"/>
        <v>CH</v>
      </c>
      <c r="D2074" t="s">
        <v>2203</v>
      </c>
      <c r="E2074" t="str">
        <f t="shared" si="2214"/>
        <v>GWe/yr.</v>
      </c>
      <c r="F2074" s="1">
        <f>'[1]Electricity and CHPs_NCAP'!B$54</f>
        <v>0</v>
      </c>
      <c r="G2074" s="1">
        <f>'[1]Electricity and CHPs_NCAP'!C$54</f>
        <v>2.6187044866540801E-2</v>
      </c>
      <c r="H2074" s="1">
        <f>'[1]Electricity and CHPs_NCAP'!D$54</f>
        <v>6.5693459386141498E-3</v>
      </c>
      <c r="I2074" s="1">
        <f>'[1]Electricity and CHPs_NCAP'!E$54</f>
        <v>1.2221039915347599E-2</v>
      </c>
      <c r="J2074" s="1">
        <f>'[1]Electricity and CHPs_NCAP'!F$54</f>
        <v>4.4214644492999097E-2</v>
      </c>
      <c r="K2074" s="1">
        <f>'[1]Electricity and CHPs_NCAP'!G$54</f>
        <v>4.7208735159669002E-2</v>
      </c>
      <c r="L2074" s="1">
        <f>'[1]Electricity and CHPs_NCAP'!H$54</f>
        <v>0.102169969423695</v>
      </c>
      <c r="M2074" s="1">
        <f>'[1]Electricity and CHPs_NCAP'!I$54</f>
        <v>0.14462241176872401</v>
      </c>
      <c r="N2074" s="1">
        <f>'[1]Electricity and CHPs_NCAP'!J$54</f>
        <v>8.6092739213326802E-2</v>
      </c>
      <c r="O2074" s="1">
        <f>'[1]Electricity and CHPs_NCAP'!K$54</f>
        <v>0.167743742501094</v>
      </c>
      <c r="P2074" s="1">
        <f>'[1]Electricity and CHPs_NCAP'!L$54</f>
        <v>0.193996237647968</v>
      </c>
      <c r="Q2074" s="1">
        <f>'[1]Electricity and CHPs_NCAP'!M$54</f>
        <v>0.17091863328807499</v>
      </c>
      <c r="S2074" s="3"/>
    </row>
    <row r="2075" spans="2:19" x14ac:dyDescent="0.5">
      <c r="B2075" s="5" t="str">
        <f t="shared" si="2216"/>
        <v>SPS1</v>
      </c>
      <c r="C2075" s="5" t="str">
        <f t="shared" si="2213"/>
        <v>CH</v>
      </c>
      <c r="D2075" t="s">
        <v>2204</v>
      </c>
      <c r="E2075" t="str">
        <f t="shared" si="2214"/>
        <v>GWe/yr.</v>
      </c>
      <c r="F2075" s="1">
        <f>'[1]Electricity and CHPs_NCAP'!B$55</f>
        <v>0</v>
      </c>
      <c r="G2075" s="1">
        <f>'[1]Electricity and CHPs_NCAP'!C$55</f>
        <v>7.0984241304932E-2</v>
      </c>
      <c r="H2075" s="1">
        <f>'[1]Electricity and CHPs_NCAP'!D$55</f>
        <v>0</v>
      </c>
      <c r="I2075" s="1">
        <f>'[1]Electricity and CHPs_NCAP'!E$55</f>
        <v>0</v>
      </c>
      <c r="J2075" s="1">
        <f>'[1]Electricity and CHPs_NCAP'!F$55</f>
        <v>0</v>
      </c>
      <c r="K2075" s="1">
        <f>'[1]Electricity and CHPs_NCAP'!G$55</f>
        <v>0</v>
      </c>
      <c r="L2075" s="1">
        <f>'[1]Electricity and CHPs_NCAP'!H$55</f>
        <v>0</v>
      </c>
      <c r="M2075" s="1">
        <f>'[1]Electricity and CHPs_NCAP'!I$55</f>
        <v>0</v>
      </c>
      <c r="N2075" s="1">
        <f>'[1]Electricity and CHPs_NCAP'!J$55</f>
        <v>8.6595464348373006E-5</v>
      </c>
      <c r="O2075" s="1">
        <f>'[1]Electricity and CHPs_NCAP'!K$55</f>
        <v>2.5180212741977099E-6</v>
      </c>
      <c r="P2075" s="1">
        <f>'[1]Electricity and CHPs_NCAP'!L$55</f>
        <v>2.2972510271976299E-7</v>
      </c>
      <c r="Q2075" s="1">
        <f>'[1]Electricity and CHPs_NCAP'!M$55</f>
        <v>5.3857506248560897E-5</v>
      </c>
      <c r="S2075" s="3"/>
    </row>
    <row r="2076" spans="2:19" x14ac:dyDescent="0.5">
      <c r="B2076" s="5" t="str">
        <f t="shared" si="2216"/>
        <v>SPS1</v>
      </c>
      <c r="C2076" s="5" t="str">
        <f t="shared" si="2213"/>
        <v>CH</v>
      </c>
      <c r="D2076" t="s">
        <v>2205</v>
      </c>
      <c r="E2076" t="str">
        <f t="shared" si="2214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0</v>
      </c>
      <c r="J2076" s="1">
        <f>'[1]Electricity and CHPs_NCAP'!F$58</f>
        <v>0</v>
      </c>
      <c r="K2076" s="1">
        <f>'[1]Electricity and CHPs_NCAP'!G$58</f>
        <v>0</v>
      </c>
      <c r="L2076" s="1">
        <f>'[1]Electricity and CHPs_NCAP'!H$58</f>
        <v>0</v>
      </c>
      <c r="M2076" s="1">
        <f>'[1]Electricity and CHPs_NCAP'!I$58</f>
        <v>0</v>
      </c>
      <c r="N2076" s="1">
        <f>'[1]Electricity and CHPs_NCAP'!J$58</f>
        <v>4.73139089087463E-5</v>
      </c>
      <c r="O2076" s="1">
        <f>'[1]Electricity and CHPs_NCAP'!K$58</f>
        <v>3.5045948074455999E-5</v>
      </c>
      <c r="P2076" s="1">
        <f>'[1]Electricity and CHPs_NCAP'!L$58</f>
        <v>1.20871315229514E-6</v>
      </c>
      <c r="Q2076" s="1">
        <f>'[1]Electricity and CHPs_NCAP'!M$58</f>
        <v>1.0246495706740899E-4</v>
      </c>
      <c r="S2076" s="3"/>
    </row>
    <row r="2077" spans="2:19" x14ac:dyDescent="0.5">
      <c r="B2077" s="5" t="str">
        <f t="shared" si="2216"/>
        <v>SPS1</v>
      </c>
      <c r="C2077" s="5" t="str">
        <f t="shared" si="2213"/>
        <v>CH</v>
      </c>
      <c r="D2077" t="s">
        <v>2206</v>
      </c>
      <c r="E2077" t="str">
        <f t="shared" si="2214"/>
        <v>GWe/yr.</v>
      </c>
      <c r="F2077" s="1">
        <f t="shared" ref="F2077:K2077" si="2223">SUM(F2078:F2083)</f>
        <v>0</v>
      </c>
      <c r="G2077" s="1">
        <f t="shared" si="2223"/>
        <v>2.0297708263906721E-7</v>
      </c>
      <c r="H2077" s="1">
        <f t="shared" si="2223"/>
        <v>6.1110992670224798E-7</v>
      </c>
      <c r="I2077" s="1">
        <f t="shared" si="2223"/>
        <v>6.8712180047658347E-2</v>
      </c>
      <c r="J2077" s="1">
        <f t="shared" si="2223"/>
        <v>0.16604936983479232</v>
      </c>
      <c r="K2077" s="1">
        <f t="shared" si="2223"/>
        <v>0.13562275370518767</v>
      </c>
      <c r="L2077" s="1">
        <f t="shared" ref="L2077:O2077" si="2224">SUM(L2078:L2083)</f>
        <v>0.1630119328017397</v>
      </c>
      <c r="M2077" s="1">
        <f t="shared" si="2224"/>
        <v>4.8031220492473048E-2</v>
      </c>
      <c r="N2077" s="1">
        <f t="shared" si="2224"/>
        <v>9.4472351072542159E-3</v>
      </c>
      <c r="O2077" s="1">
        <f t="shared" si="2224"/>
        <v>4.28247505203267E-2</v>
      </c>
      <c r="P2077" s="1">
        <f>SUM(P2078:P2083)</f>
        <v>0.14851265704954508</v>
      </c>
      <c r="Q2077" s="1">
        <f>SUM(Q2078:Q2083)</f>
        <v>0.12575348366632319</v>
      </c>
      <c r="S2077" s="3"/>
    </row>
    <row r="2078" spans="2:19" x14ac:dyDescent="0.5">
      <c r="B2078" s="5" t="str">
        <f t="shared" si="2216"/>
        <v>SPS1</v>
      </c>
      <c r="C2078" s="5" t="str">
        <f t="shared" si="2213"/>
        <v>CH</v>
      </c>
      <c r="D2078" t="s">
        <v>2207</v>
      </c>
      <c r="E2078" t="str">
        <f t="shared" si="2214"/>
        <v>GWe/yr.</v>
      </c>
      <c r="F2078" s="1">
        <f>'[1]Electricity and CHPs_NCAP'!B$19</f>
        <v>0</v>
      </c>
      <c r="G2078" s="1">
        <f>'[1]Electricity and CHPs_NCAP'!C$19</f>
        <v>6.0630871676280506E-8</v>
      </c>
      <c r="H2078" s="1">
        <f>'[1]Electricity and CHPs_NCAP'!D$19</f>
        <v>1.37814131581343E-7</v>
      </c>
      <c r="I2078" s="1">
        <f>'[1]Electricity and CHPs_NCAP'!E$19</f>
        <v>6.7162255935651199E-2</v>
      </c>
      <c r="J2078" s="1">
        <f>'[1]Electricity and CHPs_NCAP'!F$19</f>
        <v>0.155389833720502</v>
      </c>
      <c r="K2078" s="1">
        <f>'[1]Electricity and CHPs_NCAP'!G$19</f>
        <v>1.29547178724697E-5</v>
      </c>
      <c r="L2078" s="1">
        <f>'[1]Electricity and CHPs_NCAP'!H$19</f>
        <v>2.8421315822656602E-2</v>
      </c>
      <c r="M2078" s="1">
        <f>'[1]Electricity and CHPs_NCAP'!I$19</f>
        <v>2.6464030599425399E-3</v>
      </c>
      <c r="N2078" s="1">
        <f>'[1]Electricity and CHPs_NCAP'!J$19</f>
        <v>9.1106651950521502E-3</v>
      </c>
      <c r="O2078" s="1">
        <f>'[1]Electricity and CHPs_NCAP'!K$19</f>
        <v>3.8748171658832702E-2</v>
      </c>
      <c r="P2078" s="1">
        <f>'[1]Electricity and CHPs_NCAP'!L$19</f>
        <v>0.137968955835476</v>
      </c>
      <c r="Q2078" s="1">
        <f>'[1]Electricity and CHPs_NCAP'!M$19</f>
        <v>2.7970465746660698E-2</v>
      </c>
      <c r="S2078" s="3"/>
    </row>
    <row r="2079" spans="2:19" x14ac:dyDescent="0.5">
      <c r="B2079" s="5" t="str">
        <f t="shared" si="2216"/>
        <v>SPS1</v>
      </c>
      <c r="C2079" s="5" t="str">
        <f t="shared" si="2213"/>
        <v>CH</v>
      </c>
      <c r="D2079" t="s">
        <v>2208</v>
      </c>
      <c r="E2079" t="str">
        <f t="shared" si="2214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'[1]Electricity and CHPs_NCAP'!F$20</f>
        <v>0</v>
      </c>
      <c r="K2079" s="1">
        <f>'[1]Electricity and CHPs_NCAP'!G$20</f>
        <v>0.110175787185489</v>
      </c>
      <c r="L2079" s="1">
        <f>'[1]Electricity and CHPs_NCAP'!H$20</f>
        <v>8.6381093194042496E-2</v>
      </c>
      <c r="M2079" s="1">
        <f>'[1]Electricity and CHPs_NCAP'!I$20</f>
        <v>2.0034486832402399E-7</v>
      </c>
      <c r="N2079" s="1">
        <f>'[1]Electricity and CHPs_NCAP'!J$20</f>
        <v>5.9623546820197103E-8</v>
      </c>
      <c r="O2079" s="1">
        <f>'[1]Electricity and CHPs_NCAP'!K$20</f>
        <v>3.8741187123092501E-7</v>
      </c>
      <c r="P2079" s="1">
        <f>'[1]Electricity and CHPs_NCAP'!L$20</f>
        <v>7.9775806334528401E-7</v>
      </c>
      <c r="Q2079" s="1">
        <f>'[1]Electricity and CHPs_NCAP'!M$20</f>
        <v>8.5192688339901304E-2</v>
      </c>
      <c r="S2079" s="3"/>
    </row>
    <row r="2080" spans="2:19" x14ac:dyDescent="0.5">
      <c r="B2080" s="5" t="str">
        <f t="shared" si="2216"/>
        <v>SPS1</v>
      </c>
      <c r="C2080" s="5" t="str">
        <f t="shared" si="2213"/>
        <v>CH</v>
      </c>
      <c r="D2080" t="s">
        <v>2209</v>
      </c>
      <c r="E2080" t="str">
        <f t="shared" si="2214"/>
        <v>GWe/yr.</v>
      </c>
      <c r="F2080" s="1">
        <f>'[1]Electricity and CHPs_NCAP'!B$26</f>
        <v>0</v>
      </c>
      <c r="G2080" s="1">
        <f>'[1]Electricity and CHPs_NCAP'!C$26</f>
        <v>4.1748078460066702E-8</v>
      </c>
      <c r="H2080" s="1">
        <f>'[1]Electricity and CHPs_NCAP'!D$26</f>
        <v>5.5896869627518002E-8</v>
      </c>
      <c r="I2080" s="1">
        <f>'[1]Electricity and CHPs_NCAP'!E$26</f>
        <v>1.0265358853556E-7</v>
      </c>
      <c r="J2080" s="1">
        <f>'[1]Electricity and CHPs_NCAP'!F$26</f>
        <v>5.6589530286559201E-3</v>
      </c>
      <c r="K2080" s="1">
        <f>'[1]Electricity and CHPs_NCAP'!G$26</f>
        <v>1.2890771084435399E-4</v>
      </c>
      <c r="L2080" s="1">
        <f>'[1]Electricity and CHPs_NCAP'!H$26</f>
        <v>2.7248338303580801E-7</v>
      </c>
      <c r="M2080" s="1">
        <f>'[1]Electricity and CHPs_NCAP'!I$26</f>
        <v>3.0278573695516901E-2</v>
      </c>
      <c r="N2080" s="1">
        <f>'[1]Electricity and CHPs_NCAP'!J$26</f>
        <v>3.35439474108507E-4</v>
      </c>
      <c r="O2080" s="1">
        <f>'[1]Electricity and CHPs_NCAP'!K$26</f>
        <v>3.0137391663067402E-7</v>
      </c>
      <c r="P2080" s="1">
        <f>'[1]Electricity and CHPs_NCAP'!L$26</f>
        <v>2.10018643351925E-5</v>
      </c>
      <c r="Q2080" s="1">
        <f>'[1]Electricity and CHPs_NCAP'!M$26</f>
        <v>1.09603078953528E-7</v>
      </c>
      <c r="S2080" s="3"/>
    </row>
    <row r="2081" spans="2:19" x14ac:dyDescent="0.5">
      <c r="B2081" s="5" t="str">
        <f t="shared" si="2216"/>
        <v>SPS1</v>
      </c>
      <c r="C2081" s="5" t="str">
        <f t="shared" si="2213"/>
        <v>CH</v>
      </c>
      <c r="D2081" t="s">
        <v>2210</v>
      </c>
      <c r="E2081" t="str">
        <f t="shared" si="2214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'[1]Electricity and CHPs_NCAP'!F$27</f>
        <v>0</v>
      </c>
      <c r="K2081" s="1">
        <f>'[1]Electricity and CHPs_NCAP'!G$27</f>
        <v>2.0132120406629501E-2</v>
      </c>
      <c r="L2081" s="1">
        <f>'[1]Electricity and CHPs_NCAP'!H$27</f>
        <v>1.8075904247919099E-2</v>
      </c>
      <c r="M2081" s="1">
        <f>'[1]Electricity and CHPs_NCAP'!I$27</f>
        <v>6.7909236500185595E-4</v>
      </c>
      <c r="N2081" s="1">
        <f>'[1]Electricity and CHPs_NCAP'!J$27</f>
        <v>9.0730155846644701E-8</v>
      </c>
      <c r="O2081" s="1">
        <f>'[1]Electricity and CHPs_NCAP'!K$27</f>
        <v>4.0755225389293697E-3</v>
      </c>
      <c r="P2081" s="1">
        <f>'[1]Electricity and CHPs_NCAP'!L$27</f>
        <v>1.0510591642692401E-2</v>
      </c>
      <c r="Q2081" s="1">
        <f>'[1]Electricity and CHPs_NCAP'!M$27</f>
        <v>5.5465045966695903E-3</v>
      </c>
      <c r="S2081" s="3"/>
    </row>
    <row r="2082" spans="2:19" x14ac:dyDescent="0.5">
      <c r="B2082" s="5" t="str">
        <f t="shared" si="2216"/>
        <v>SPS1</v>
      </c>
      <c r="C2082" s="5" t="str">
        <f t="shared" si="2213"/>
        <v>CH</v>
      </c>
      <c r="D2082" t="s">
        <v>2211</v>
      </c>
      <c r="E2082" t="str">
        <f t="shared" si="2214"/>
        <v>GWe/yr.</v>
      </c>
      <c r="F2082" s="1">
        <f>'[1]Electricity and CHPs_NCAP'!B$44</f>
        <v>0</v>
      </c>
      <c r="G2082" s="1">
        <f>'[1]Electricity and CHPs_NCAP'!C$44</f>
        <v>1.0059813250272E-7</v>
      </c>
      <c r="H2082" s="1">
        <f>'[1]Electricity and CHPs_NCAP'!D$44</f>
        <v>4.1739892549338699E-7</v>
      </c>
      <c r="I2082" s="1">
        <f>'[1]Electricity and CHPs_NCAP'!E$44</f>
        <v>1.54982145841861E-3</v>
      </c>
      <c r="J2082" s="1">
        <f>'[1]Electricity and CHPs_NCAP'!F$44</f>
        <v>5.0005830856344E-3</v>
      </c>
      <c r="K2082" s="1">
        <f>'[1]Electricity and CHPs_NCAP'!G$44</f>
        <v>4.66625444854061E-8</v>
      </c>
      <c r="L2082" s="1">
        <f>'[1]Electricity and CHPs_NCAP'!H$44</f>
        <v>4.83607900549406E-8</v>
      </c>
      <c r="M2082" s="1">
        <f>'[1]Electricity and CHPs_NCAP'!I$44</f>
        <v>6.3853584928799999E-8</v>
      </c>
      <c r="N2082" s="1">
        <f>'[1]Electricity and CHPs_NCAP'!J$44</f>
        <v>5.0200536891295102E-8</v>
      </c>
      <c r="O2082" s="1">
        <f>'[1]Electricity and CHPs_NCAP'!K$44</f>
        <v>1.79197648486061E-7</v>
      </c>
      <c r="P2082" s="1">
        <f>'[1]Electricity and CHPs_NCAP'!L$44</f>
        <v>1.10784791007806E-5</v>
      </c>
      <c r="Q2082" s="1">
        <f>'[1]Electricity and CHPs_NCAP'!M$44</f>
        <v>4.5472178750610397E-6</v>
      </c>
      <c r="S2082" s="3"/>
    </row>
    <row r="2083" spans="2:19" x14ac:dyDescent="0.5">
      <c r="B2083" s="5" t="str">
        <f t="shared" si="2216"/>
        <v>SPS1</v>
      </c>
      <c r="C2083" s="5" t="str">
        <f t="shared" si="2213"/>
        <v>CH</v>
      </c>
      <c r="D2083" t="s">
        <v>2212</v>
      </c>
      <c r="E2083" t="str">
        <f t="shared" ref="E2083:E2113" si="2225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'[1]Electricity and CHPs_NCAP'!F$45</f>
        <v>0</v>
      </c>
      <c r="K2083" s="1">
        <f>'[1]Electricity and CHPs_NCAP'!G$45</f>
        <v>5.1729370218078401E-3</v>
      </c>
      <c r="L2083" s="1">
        <f>'[1]Electricity and CHPs_NCAP'!H$45</f>
        <v>3.0133298692948399E-2</v>
      </c>
      <c r="M2083" s="1">
        <f>'[1]Electricity and CHPs_NCAP'!I$45</f>
        <v>1.44268871735585E-2</v>
      </c>
      <c r="N2083" s="1">
        <f>'[1]Electricity and CHPs_NCAP'!J$45</f>
        <v>9.2988385400138698E-7</v>
      </c>
      <c r="O2083" s="1">
        <f>'[1]Electricity and CHPs_NCAP'!K$45</f>
        <v>1.8833912828586901E-7</v>
      </c>
      <c r="P2083" s="1">
        <f>'[1]Electricity and CHPs_NCAP'!L$45</f>
        <v>2.3146987735761699E-7</v>
      </c>
      <c r="Q2083" s="1">
        <f>'[1]Electricity and CHPs_NCAP'!M$45</f>
        <v>7.0391681621375804E-3</v>
      </c>
      <c r="S2083" s="3"/>
    </row>
    <row r="2084" spans="2:19" x14ac:dyDescent="0.5">
      <c r="B2084" s="5" t="str">
        <f t="shared" si="2216"/>
        <v>SPS1</v>
      </c>
      <c r="C2084" s="5" t="str">
        <f t="shared" si="2213"/>
        <v>CH</v>
      </c>
      <c r="D2084" t="s">
        <v>2213</v>
      </c>
      <c r="E2084" t="str">
        <f t="shared" si="2225"/>
        <v>GWe/yr.</v>
      </c>
      <c r="F2084" s="1">
        <f t="shared" ref="F2084:K2084" si="2226">SUM(F2085:F2091)</f>
        <v>0</v>
      </c>
      <c r="G2084" s="1">
        <f t="shared" si="2226"/>
        <v>7.1274217175284456E-3</v>
      </c>
      <c r="H2084" s="1">
        <f t="shared" si="2226"/>
        <v>3.3421306045505673E-2</v>
      </c>
      <c r="I2084" s="1">
        <f t="shared" si="2226"/>
        <v>1.7014612357358086E-2</v>
      </c>
      <c r="J2084" s="1">
        <f t="shared" si="2226"/>
        <v>1.9921593366027324E-2</v>
      </c>
      <c r="K2084" s="1">
        <f t="shared" si="2226"/>
        <v>0.13622317168029421</v>
      </c>
      <c r="L2084" s="1">
        <f t="shared" ref="L2084:O2084" si="2227">SUM(L2085:L2091)</f>
        <v>0.10978158092173713</v>
      </c>
      <c r="M2084" s="1">
        <f t="shared" si="2227"/>
        <v>3.765269671575807E-2</v>
      </c>
      <c r="N2084" s="1">
        <f t="shared" si="2227"/>
        <v>6.833107283218913E-2</v>
      </c>
      <c r="O2084" s="1">
        <f t="shared" si="2227"/>
        <v>0.1509555078729749</v>
      </c>
      <c r="P2084" s="1">
        <f>SUM(P2085:P2091)</f>
        <v>4.3697647976786463E-2</v>
      </c>
      <c r="Q2084" s="1">
        <f>SUM(Q2085:Q2091)</f>
        <v>4.7735506411837526E-2</v>
      </c>
      <c r="S2084" s="3"/>
    </row>
    <row r="2085" spans="2:19" x14ac:dyDescent="0.5">
      <c r="B2085" s="5" t="str">
        <f t="shared" si="2216"/>
        <v>SPS1</v>
      </c>
      <c r="C2085" s="5" t="str">
        <f t="shared" si="2213"/>
        <v>CH</v>
      </c>
      <c r="D2085" t="s">
        <v>2214</v>
      </c>
      <c r="E2085" t="str">
        <f t="shared" si="2225"/>
        <v>GWe/yr.</v>
      </c>
      <c r="F2085" s="1">
        <f>'[1]Electricity and CHPs_NCAP'!B$25</f>
        <v>0</v>
      </c>
      <c r="G2085" s="1">
        <f>'[1]Electricity and CHPs_NCAP'!C$25</f>
        <v>4.3484167195552099E-8</v>
      </c>
      <c r="H2085" s="1">
        <f>'[1]Electricity and CHPs_NCAP'!D$25</f>
        <v>3.8127092282117702E-4</v>
      </c>
      <c r="I2085" s="1">
        <f>'[1]Electricity and CHPs_NCAP'!E$25</f>
        <v>1.35082595317498E-7</v>
      </c>
      <c r="J2085" s="1">
        <f>'[1]Electricity and CHPs_NCAP'!F$25</f>
        <v>3.09978971896887E-5</v>
      </c>
      <c r="K2085" s="1">
        <f>'[1]Electricity and CHPs_NCAP'!G$25</f>
        <v>7.0084982428151602E-2</v>
      </c>
      <c r="L2085" s="1">
        <f>'[1]Electricity and CHPs_NCAP'!H$25</f>
        <v>5.5565541010517901E-7</v>
      </c>
      <c r="M2085" s="1">
        <f>'[1]Electricity and CHPs_NCAP'!I$25</f>
        <v>5.4878985678863001E-7</v>
      </c>
      <c r="N2085" s="1">
        <f>'[1]Electricity and CHPs_NCAP'!J$25</f>
        <v>5.9721225859846799E-3</v>
      </c>
      <c r="O2085" s="1">
        <f>'[1]Electricity and CHPs_NCAP'!K$25</f>
        <v>5.17977627243714E-2</v>
      </c>
      <c r="P2085" s="1">
        <f>'[1]Electricity and CHPs_NCAP'!L$25</f>
        <v>6.55934765046316E-3</v>
      </c>
      <c r="Q2085" s="1">
        <f>'[1]Electricity and CHPs_NCAP'!M$25</f>
        <v>2.30512567333813E-7</v>
      </c>
      <c r="S2085" s="3"/>
    </row>
    <row r="2086" spans="2:19" x14ac:dyDescent="0.5">
      <c r="B2086" s="5" t="str">
        <f t="shared" si="2216"/>
        <v>SPS1</v>
      </c>
      <c r="C2086" s="5" t="str">
        <f t="shared" si="2213"/>
        <v>CH</v>
      </c>
      <c r="D2086" t="s">
        <v>2215</v>
      </c>
      <c r="E2086" t="str">
        <f t="shared" si="2225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'[1]Electricity and CHPs_NCAP'!F$31</f>
        <v>0</v>
      </c>
      <c r="K2086" s="1">
        <f>'[1]Electricity and CHPs_NCAP'!G$31</f>
        <v>3.9296301462217498E-5</v>
      </c>
      <c r="L2086" s="1">
        <f>'[1]Electricity and CHPs_NCAP'!H$31</f>
        <v>1.8627635920237098E-2</v>
      </c>
      <c r="M2086" s="1">
        <f>'[1]Electricity and CHPs_NCAP'!I$31</f>
        <v>6.0897422770497299E-3</v>
      </c>
      <c r="N2086" s="1">
        <f>'[1]Electricity and CHPs_NCAP'!J$31</f>
        <v>8.8416184709427405E-7</v>
      </c>
      <c r="O2086" s="1">
        <f>'[1]Electricity and CHPs_NCAP'!K$31</f>
        <v>1.02758870095753E-7</v>
      </c>
      <c r="P2086" s="1">
        <f>'[1]Electricity and CHPs_NCAP'!L$31</f>
        <v>6.32647943111974E-3</v>
      </c>
      <c r="Q2086" s="1">
        <f>'[1]Electricity and CHPs_NCAP'!M$31</f>
        <v>0</v>
      </c>
      <c r="S2086" s="3"/>
    </row>
    <row r="2087" spans="2:19" x14ac:dyDescent="0.5">
      <c r="B2087" s="5" t="str">
        <f t="shared" si="2216"/>
        <v>SPS1</v>
      </c>
      <c r="C2087" s="5" t="str">
        <f t="shared" si="2213"/>
        <v>CH</v>
      </c>
      <c r="D2087" t="s">
        <v>2216</v>
      </c>
      <c r="E2087" t="str">
        <f t="shared" si="2225"/>
        <v>GWe/yr.</v>
      </c>
      <c r="F2087" s="1">
        <f>'[1]Electricity and CHPs_NCAP'!B$42</f>
        <v>0</v>
      </c>
      <c r="G2087" s="1">
        <f>'[1]Electricity and CHPs_NCAP'!C$42</f>
        <v>7.1273782333612498E-3</v>
      </c>
      <c r="H2087" s="1">
        <f>'[1]Electricity and CHPs_NCAP'!D$42</f>
        <v>3.3040035122684497E-2</v>
      </c>
      <c r="I2087" s="1">
        <f>'[1]Electricity and CHPs_NCAP'!E$42</f>
        <v>1.69453971763888E-2</v>
      </c>
      <c r="J2087" s="1">
        <f>'[1]Electricity and CHPs_NCAP'!F$42</f>
        <v>1.98327768361087E-2</v>
      </c>
      <c r="K2087" s="1">
        <f>'[1]Electricity and CHPs_NCAP'!G$42</f>
        <v>9.1186367836426098E-8</v>
      </c>
      <c r="L2087" s="1">
        <f>'[1]Electricity and CHPs_NCAP'!H$42</f>
        <v>1.5440360501533599E-7</v>
      </c>
      <c r="M2087" s="1">
        <f>'[1]Electricity and CHPs_NCAP'!I$42</f>
        <v>2.4546932842651599E-5</v>
      </c>
      <c r="N2087" s="1">
        <f>'[1]Electricity and CHPs_NCAP'!J$42</f>
        <v>3.07701709255479E-7</v>
      </c>
      <c r="O2087" s="1">
        <f>'[1]Electricity and CHPs_NCAP'!K$42</f>
        <v>1.39962840016926E-5</v>
      </c>
      <c r="P2087" s="1">
        <f>'[1]Electricity and CHPs_NCAP'!L$42</f>
        <v>4.4441799963737097E-6</v>
      </c>
      <c r="Q2087" s="1">
        <f>'[1]Electricity and CHPs_NCAP'!M$42</f>
        <v>1.14718010651836E-5</v>
      </c>
      <c r="S2087" s="3"/>
    </row>
    <row r="2088" spans="2:19" x14ac:dyDescent="0.5">
      <c r="B2088" s="5" t="str">
        <f t="shared" si="2216"/>
        <v>SPS1</v>
      </c>
      <c r="C2088" s="5" t="str">
        <f t="shared" si="2213"/>
        <v>CH</v>
      </c>
      <c r="D2088" t="s">
        <v>2217</v>
      </c>
      <c r="E2088" t="str">
        <f t="shared" si="2225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'[1]Electricity and CHPs_NCAP'!F$43</f>
        <v>0</v>
      </c>
      <c r="K2088" s="1">
        <f>'[1]Electricity and CHPs_NCAP'!G$43</f>
        <v>6.2021040027272899E-2</v>
      </c>
      <c r="L2088" s="1">
        <f>'[1]Electricity and CHPs_NCAP'!H$43</f>
        <v>8.8327545336858701E-2</v>
      </c>
      <c r="M2088" s="1">
        <f>'[1]Electricity and CHPs_NCAP'!I$43</f>
        <v>3.1485830681335703E-2</v>
      </c>
      <c r="N2088" s="1">
        <f>'[1]Electricity and CHPs_NCAP'!J$43</f>
        <v>5.8810983930691403E-2</v>
      </c>
      <c r="O2088" s="1">
        <f>'[1]Electricity and CHPs_NCAP'!K$43</f>
        <v>9.6208319825237504E-2</v>
      </c>
      <c r="P2088" s="1">
        <f>'[1]Electricity and CHPs_NCAP'!L$43</f>
        <v>2.9545698506568598E-2</v>
      </c>
      <c r="Q2088" s="1">
        <f>'[1]Electricity and CHPs_NCAP'!M$43</f>
        <v>4.5298360935248902E-2</v>
      </c>
      <c r="S2088" s="3"/>
    </row>
    <row r="2089" spans="2:19" x14ac:dyDescent="0.5">
      <c r="B2089" s="5" t="str">
        <f t="shared" si="2216"/>
        <v>SPS1</v>
      </c>
      <c r="C2089" s="5" t="str">
        <f t="shared" si="2213"/>
        <v>CH</v>
      </c>
      <c r="D2089" t="s">
        <v>2218</v>
      </c>
      <c r="E2089" t="str">
        <f t="shared" si="2225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1.9217312535419232E-5</v>
      </c>
      <c r="J2089" s="1">
        <f>'[1]Electricity and CHPs_NCAP'!F$50</f>
        <v>1.278235187092677E-5</v>
      </c>
      <c r="K2089" s="1">
        <f>'[1]Electricity and CHPs_NCAP'!G$50</f>
        <v>8.2856517744432092E-5</v>
      </c>
      <c r="L2089" s="1">
        <f>'[1]Electricity and CHPs_NCAP'!H$50</f>
        <v>1.1972386130138941E-4</v>
      </c>
      <c r="M2089" s="1">
        <f>'[1]Electricity and CHPs_NCAP'!I$50</f>
        <v>4.6684661716978801E-5</v>
      </c>
      <c r="N2089" s="1">
        <f>'[1]Electricity and CHPs_NCAP'!J$50</f>
        <v>3.176440478571948E-7</v>
      </c>
      <c r="O2089" s="1">
        <f>'[1]Electricity and CHPs_NCAP'!K$50</f>
        <v>6.0649354547560075E-5</v>
      </c>
      <c r="P2089" s="1">
        <f>'[1]Electricity and CHPs_NCAP'!L$50</f>
        <v>2.6819299402824671E-5</v>
      </c>
      <c r="Q2089" s="1">
        <f>'[1]Electricity and CHPs_NCAP'!M$50</f>
        <v>6.2701508840451404E-5</v>
      </c>
      <c r="S2089" s="3"/>
    </row>
    <row r="2090" spans="2:19" x14ac:dyDescent="0.5">
      <c r="B2090" s="5" t="str">
        <f t="shared" si="2216"/>
        <v>SPS1</v>
      </c>
      <c r="C2090" s="5" t="str">
        <f t="shared" si="2213"/>
        <v>CH</v>
      </c>
      <c r="D2090" t="s">
        <v>2219</v>
      </c>
      <c r="E2090" t="str">
        <f t="shared" si="2225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2.5335388317659299E-5</v>
      </c>
      <c r="J2090" s="1">
        <f>'[1]Electricity and CHPs_NCAP'!F$53</f>
        <v>3.3770220977864896E-5</v>
      </c>
      <c r="K2090" s="1">
        <f>'[1]Electricity and CHPs_NCAP'!G$53</f>
        <v>3.8756377822474547E-3</v>
      </c>
      <c r="L2090" s="1">
        <f>'[1]Electricity and CHPs_NCAP'!H$53</f>
        <v>2.6916381341294785E-3</v>
      </c>
      <c r="M2090" s="1">
        <f>'[1]Electricity and CHPs_NCAP'!I$53</f>
        <v>4.2106265032902698E-6</v>
      </c>
      <c r="N2090" s="1">
        <f>'[1]Electricity and CHPs_NCAP'!J$53</f>
        <v>3.5162445564540261E-3</v>
      </c>
      <c r="O2090" s="1">
        <f>'[1]Electricity and CHPs_NCAP'!K$53</f>
        <v>2.8307609762455201E-3</v>
      </c>
      <c r="P2090" s="1">
        <f>'[1]Electricity and CHPs_NCAP'!L$53</f>
        <v>1.2332177642757705E-3</v>
      </c>
      <c r="Q2090" s="1">
        <f>'[1]Electricity and CHPs_NCAP'!M$53</f>
        <v>2.294764209396582E-3</v>
      </c>
      <c r="S2090" s="3"/>
    </row>
    <row r="2091" spans="2:19" x14ac:dyDescent="0.5">
      <c r="B2091" s="5" t="str">
        <f t="shared" si="2216"/>
        <v>SPS1</v>
      </c>
      <c r="C2091" s="5" t="str">
        <f t="shared" si="2213"/>
        <v>CH</v>
      </c>
      <c r="D2091" t="s">
        <v>2220</v>
      </c>
      <c r="E2091" t="str">
        <f t="shared" si="2225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2.4527397520886201E-5</v>
      </c>
      <c r="J2091" s="1">
        <f>'[1]Electricity and CHPs_NCAP'!F$56</f>
        <v>1.1266059880146199E-5</v>
      </c>
      <c r="K2091" s="1">
        <f>'[1]Electricity and CHPs_NCAP'!G$56</f>
        <v>1.19267437047803E-4</v>
      </c>
      <c r="L2091" s="1">
        <f>'[1]Electricity and CHPs_NCAP'!H$56</f>
        <v>1.43276101953485E-5</v>
      </c>
      <c r="M2091" s="1">
        <f>'[1]Electricity and CHPs_NCAP'!I$56</f>
        <v>1.1327464529264401E-6</v>
      </c>
      <c r="N2091" s="1">
        <f>'[1]Electricity and CHPs_NCAP'!J$56</f>
        <v>3.02122514548111E-5</v>
      </c>
      <c r="O2091" s="1">
        <f>'[1]Electricity and CHPs_NCAP'!K$56</f>
        <v>4.3915949701125198E-5</v>
      </c>
      <c r="P2091" s="1">
        <f>'[1]Electricity and CHPs_NCAP'!L$56</f>
        <v>1.6411449599964201E-6</v>
      </c>
      <c r="Q2091" s="1">
        <f>'[1]Electricity and CHPs_NCAP'!M$56</f>
        <v>6.7977444719073202E-5</v>
      </c>
      <c r="S2091" s="3"/>
    </row>
    <row r="2092" spans="2:19" x14ac:dyDescent="0.5">
      <c r="B2092" s="5" t="str">
        <f t="shared" si="2216"/>
        <v>SPS1</v>
      </c>
      <c r="C2092" s="5" t="str">
        <f t="shared" si="2213"/>
        <v>CH</v>
      </c>
      <c r="D2092" t="s">
        <v>2221</v>
      </c>
      <c r="E2092" t="str">
        <f t="shared" si="2225"/>
        <v>GWe/yr.</v>
      </c>
      <c r="F2092" s="1">
        <f t="shared" ref="F2092:O2092" si="2228">F2093</f>
        <v>0</v>
      </c>
      <c r="G2092" s="1">
        <f t="shared" si="2228"/>
        <v>7.1321126946055202E-3</v>
      </c>
      <c r="H2092" s="1">
        <f t="shared" si="2228"/>
        <v>0.399027290788042</v>
      </c>
      <c r="I2092" s="1">
        <f t="shared" si="2228"/>
        <v>8.0893270962752901E-3</v>
      </c>
      <c r="J2092" s="1">
        <f t="shared" si="2228"/>
        <v>2.1962583632699501E-2</v>
      </c>
      <c r="K2092" s="1">
        <f t="shared" si="2228"/>
        <v>8.5689229302480902E-6</v>
      </c>
      <c r="L2092" s="1">
        <f t="shared" si="2228"/>
        <v>0.47309634111971899</v>
      </c>
      <c r="M2092" s="1">
        <f t="shared" si="2228"/>
        <v>5.3314956052166997E-5</v>
      </c>
      <c r="N2092" s="1">
        <f t="shared" si="2228"/>
        <v>3.0012776596518801E-2</v>
      </c>
      <c r="O2092" s="1">
        <f t="shared" si="2228"/>
        <v>8.5267602282383399E-5</v>
      </c>
      <c r="P2092" s="1">
        <f>P2093</f>
        <v>0.47312697627442202</v>
      </c>
      <c r="Q2092" s="1">
        <f>Q2093</f>
        <v>0</v>
      </c>
      <c r="S2092" s="3"/>
    </row>
    <row r="2093" spans="2:19" x14ac:dyDescent="0.5">
      <c r="B2093" s="5" t="str">
        <f t="shared" si="2216"/>
        <v>SPS1</v>
      </c>
      <c r="C2093" s="5" t="str">
        <f t="shared" si="2213"/>
        <v>CH</v>
      </c>
      <c r="D2093" t="s">
        <v>2222</v>
      </c>
      <c r="E2093" t="str">
        <f t="shared" si="2225"/>
        <v>GWe/yr.</v>
      </c>
      <c r="F2093" s="1">
        <f>'[1]Electricity and CHPs_NCAP'!B$33</f>
        <v>0</v>
      </c>
      <c r="G2093" s="1">
        <f>'[1]Electricity and CHPs_NCAP'!C$33</f>
        <v>7.1321126946055202E-3</v>
      </c>
      <c r="H2093" s="1">
        <f>'[1]Electricity and CHPs_NCAP'!D$33</f>
        <v>0.399027290788042</v>
      </c>
      <c r="I2093" s="1">
        <f>'[1]Electricity and CHPs_NCAP'!E$33</f>
        <v>8.0893270962752901E-3</v>
      </c>
      <c r="J2093" s="1">
        <f>'[1]Electricity and CHPs_NCAP'!F$33</f>
        <v>2.1962583632699501E-2</v>
      </c>
      <c r="K2093" s="1">
        <f>'[1]Electricity and CHPs_NCAP'!G$33</f>
        <v>8.5689229302480902E-6</v>
      </c>
      <c r="L2093" s="1">
        <f>'[1]Electricity and CHPs_NCAP'!H$33</f>
        <v>0.47309634111971899</v>
      </c>
      <c r="M2093" s="1">
        <f>'[1]Electricity and CHPs_NCAP'!I$33</f>
        <v>5.3314956052166997E-5</v>
      </c>
      <c r="N2093" s="1">
        <f>'[1]Electricity and CHPs_NCAP'!J$33</f>
        <v>3.0012776596518801E-2</v>
      </c>
      <c r="O2093" s="1">
        <f>'[1]Electricity and CHPs_NCAP'!K$33</f>
        <v>8.5267602282383399E-5</v>
      </c>
      <c r="P2093" s="1">
        <f>'[1]Electricity and CHPs_NCAP'!L$33</f>
        <v>0.47312697627442202</v>
      </c>
      <c r="Q2093" s="1">
        <f>'[1]Electricity and CHPs_NCAP'!M$33</f>
        <v>0</v>
      </c>
      <c r="S2093" s="3"/>
    </row>
    <row r="2094" spans="2:19" x14ac:dyDescent="0.5">
      <c r="B2094" s="5" t="str">
        <f t="shared" si="2216"/>
        <v>SPS1</v>
      </c>
      <c r="C2094" s="5" t="str">
        <f t="shared" si="2213"/>
        <v>CH</v>
      </c>
      <c r="D2094" t="s">
        <v>2223</v>
      </c>
      <c r="E2094" t="str">
        <f t="shared" si="2225"/>
        <v>GWe/yr.</v>
      </c>
      <c r="F2094" s="1">
        <f t="shared" ref="F2094:K2094" si="2229">SUM(F2095:F2099)</f>
        <v>0</v>
      </c>
      <c r="G2094" s="1">
        <f t="shared" si="2229"/>
        <v>2.08401606596775E-6</v>
      </c>
      <c r="H2094" s="1">
        <f t="shared" si="2229"/>
        <v>3.8566403558379587</v>
      </c>
      <c r="I2094" s="1">
        <f t="shared" si="2229"/>
        <v>5.2427763270745196</v>
      </c>
      <c r="J2094" s="1">
        <f t="shared" si="2229"/>
        <v>7.6213087868089682</v>
      </c>
      <c r="K2094" s="1">
        <f t="shared" si="2229"/>
        <v>3.3739311498078659</v>
      </c>
      <c r="L2094" s="1">
        <f t="shared" ref="L2094:O2094" si="2230">SUM(L2095:L2099)</f>
        <v>8.4449557854643693</v>
      </c>
      <c r="M2094" s="1">
        <f t="shared" si="2230"/>
        <v>5.896542090971022</v>
      </c>
      <c r="N2094" s="1">
        <f t="shared" si="2230"/>
        <v>6.901333912524132</v>
      </c>
      <c r="O2094" s="1">
        <f t="shared" si="2230"/>
        <v>6.2895219453643634</v>
      </c>
      <c r="P2094" s="1">
        <f>SUM(P2095:P2099)</f>
        <v>9.3445484572814106</v>
      </c>
      <c r="Q2094" s="1">
        <f>SUM(Q2095:Q2099)</f>
        <v>7.2608167997419057</v>
      </c>
      <c r="S2094" s="3"/>
    </row>
    <row r="2095" spans="2:19" x14ac:dyDescent="0.5">
      <c r="B2095" s="5" t="str">
        <f t="shared" si="2216"/>
        <v>SPS1</v>
      </c>
      <c r="C2095" s="5" t="str">
        <f t="shared" si="2213"/>
        <v>CH</v>
      </c>
      <c r="D2095" t="s">
        <v>2224</v>
      </c>
      <c r="E2095" t="str">
        <f t="shared" si="2225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4.4925250391578297E-2</v>
      </c>
      <c r="I2095" s="1">
        <f>'[1]Electricity and CHPs_NCAP'!E$34</f>
        <v>0.20819245066221406</v>
      </c>
      <c r="J2095" s="1">
        <f>'[1]Electricity and CHPs_NCAP'!F$34</f>
        <v>0.17058730137598779</v>
      </c>
      <c r="K2095" s="1">
        <f>'[1]Electricity and CHPs_NCAP'!G$34</f>
        <v>0.38465929432302437</v>
      </c>
      <c r="L2095" s="1">
        <f>'[1]Electricity and CHPs_NCAP'!H$34</f>
        <v>1.0835373179419237</v>
      </c>
      <c r="M2095" s="1">
        <f>'[1]Electricity and CHPs_NCAP'!I$34</f>
        <v>0.66495940564206601</v>
      </c>
      <c r="N2095" s="1">
        <f>'[1]Electricity and CHPs_NCAP'!J$34</f>
        <v>0.14137674009003415</v>
      </c>
      <c r="O2095" s="1">
        <f>'[1]Electricity and CHPs_NCAP'!K$34</f>
        <v>0.19972042882487478</v>
      </c>
      <c r="P2095" s="1">
        <f>'[1]Electricity and CHPs_NCAP'!L$34</f>
        <v>0.68529042484543268</v>
      </c>
      <c r="Q2095" s="1">
        <f>'[1]Electricity and CHPs_NCAP'!M$34</f>
        <v>0.66508808720014034</v>
      </c>
      <c r="S2095" s="3"/>
    </row>
    <row r="2096" spans="2:19" x14ac:dyDescent="0.5">
      <c r="B2096" s="5" t="str">
        <f t="shared" si="2216"/>
        <v>SPS1</v>
      </c>
      <c r="C2096" s="5" t="str">
        <f t="shared" si="2213"/>
        <v>CH</v>
      </c>
      <c r="D2096" t="s">
        <v>2225</v>
      </c>
      <c r="E2096" t="str">
        <f t="shared" si="2225"/>
        <v>GWe/yr.</v>
      </c>
      <c r="F2096" s="1">
        <f>'[1]Electricity and CHPs_NCAP'!B$35</f>
        <v>0</v>
      </c>
      <c r="G2096" s="1">
        <f>'[1]Electricity and CHPs_NCAP'!C$35</f>
        <v>0</v>
      </c>
      <c r="H2096" s="1">
        <f>'[1]Electricity and CHPs_NCAP'!D$35</f>
        <v>1.7679643397321501</v>
      </c>
      <c r="I2096" s="1">
        <f>'[1]Electricity and CHPs_NCAP'!E$35</f>
        <v>8.4719309368871592E-6</v>
      </c>
      <c r="J2096" s="1">
        <f>'[1]Electricity and CHPs_NCAP'!F$35</f>
        <v>1.9145901601714399</v>
      </c>
      <c r="K2096" s="1">
        <f>'[1]Electricity and CHPs_NCAP'!G$35</f>
        <v>0.86938949276820099</v>
      </c>
      <c r="L2096" s="1">
        <f>'[1]Electricity and CHPs_NCAP'!H$35</f>
        <v>2.3094260348182898</v>
      </c>
      <c r="M2096" s="1">
        <f>'[1]Electricity and CHPs_NCAP'!I$35</f>
        <v>0.58893986559242195</v>
      </c>
      <c r="N2096" s="1">
        <f>'[1]Electricity and CHPs_NCAP'!J$35</f>
        <v>1.73844318123396</v>
      </c>
      <c r="O2096" s="1">
        <f>'[1]Electricity and CHPs_NCAP'!K$35</f>
        <v>1.6400357376042101</v>
      </c>
      <c r="P2096" s="1">
        <f>'[1]Electricity and CHPs_NCAP'!L$35</f>
        <v>2.62960838568622</v>
      </c>
      <c r="Q2096" s="1">
        <f>'[1]Electricity and CHPs_NCAP'!M$35</f>
        <v>0.92545473428578695</v>
      </c>
      <c r="S2096" s="3"/>
    </row>
    <row r="2097" spans="2:19" x14ac:dyDescent="0.5">
      <c r="B2097" s="5" t="str">
        <f t="shared" si="2216"/>
        <v>SPS1</v>
      </c>
      <c r="C2097" s="5" t="str">
        <f t="shared" si="2213"/>
        <v>CH</v>
      </c>
      <c r="D2097" t="s">
        <v>2226</v>
      </c>
      <c r="E2097" t="str">
        <f t="shared" si="2225"/>
        <v>GWe/yr.</v>
      </c>
      <c r="F2097" s="1">
        <f>'[1]Electricity and CHPs_NCAP'!B$36</f>
        <v>0</v>
      </c>
      <c r="G2097" s="1">
        <f>'[1]Electricity and CHPs_NCAP'!C$36</f>
        <v>1.01481182410241E-6</v>
      </c>
      <c r="H2097" s="1">
        <f>'[1]Electricity and CHPs_NCAP'!D$36</f>
        <v>8.5689201365352343E-5</v>
      </c>
      <c r="I2097" s="1">
        <f>'[1]Electricity and CHPs_NCAP'!E$36</f>
        <v>3.4276394047729828</v>
      </c>
      <c r="J2097" s="1">
        <f>'[1]Electricity and CHPs_NCAP'!F$36</f>
        <v>0.46161085301303056</v>
      </c>
      <c r="K2097" s="1">
        <f>'[1]Electricity and CHPs_NCAP'!G$36</f>
        <v>0.7511790159783226</v>
      </c>
      <c r="L2097" s="1">
        <f>'[1]Electricity and CHPs_NCAP'!H$36</f>
        <v>1.8795008878597206</v>
      </c>
      <c r="M2097" s="1">
        <f>'[1]Electricity and CHPs_NCAP'!I$36</f>
        <v>2.6182017927434571</v>
      </c>
      <c r="N2097" s="1">
        <f>'[1]Electricity and CHPs_NCAP'!J$36</f>
        <v>0.71230489467906932</v>
      </c>
      <c r="O2097" s="1">
        <f>'[1]Electricity and CHPs_NCAP'!K$36</f>
        <v>1.0979313637891495</v>
      </c>
      <c r="P2097" s="1">
        <f>'[1]Electricity and CHPs_NCAP'!L$36</f>
        <v>2.2012707714191952</v>
      </c>
      <c r="Q2097" s="1">
        <f>'[1]Electricity and CHPs_NCAP'!M$36</f>
        <v>2.9564844575568299</v>
      </c>
      <c r="S2097" s="3"/>
    </row>
    <row r="2098" spans="2:19" x14ac:dyDescent="0.5">
      <c r="B2098" s="5" t="str">
        <f t="shared" si="2216"/>
        <v>SPS1</v>
      </c>
      <c r="C2098" s="5" t="str">
        <f t="shared" si="2213"/>
        <v>CH</v>
      </c>
      <c r="D2098" t="s">
        <v>2227</v>
      </c>
      <c r="E2098" t="str">
        <f t="shared" si="2225"/>
        <v>GWe/yr.</v>
      </c>
      <c r="F2098" s="1">
        <f>'[1]Electricity and CHPs_NCAP'!B$37</f>
        <v>0</v>
      </c>
      <c r="G2098" s="1">
        <f>'[1]Electricity and CHPs_NCAP'!C$37</f>
        <v>1.06920424186534E-6</v>
      </c>
      <c r="H2098" s="1">
        <f>'[1]Electricity and CHPs_NCAP'!D$37</f>
        <v>1.2516417054218441</v>
      </c>
      <c r="I2098" s="1">
        <f>'[1]Electricity and CHPs_NCAP'!E$37</f>
        <v>1.6069343012741011</v>
      </c>
      <c r="J2098" s="1">
        <f>'[1]Electricity and CHPs_NCAP'!F$37</f>
        <v>0.25831302930686961</v>
      </c>
      <c r="K2098" s="1">
        <f>'[1]Electricity and CHPs_NCAP'!G$37</f>
        <v>0.37419392770833831</v>
      </c>
      <c r="L2098" s="1">
        <f>'[1]Electricity and CHPs_NCAP'!H$37</f>
        <v>1.914316009942266</v>
      </c>
      <c r="M2098" s="1">
        <f>'[1]Electricity and CHPs_NCAP'!I$37</f>
        <v>1.516414233520909</v>
      </c>
      <c r="N2098" s="1">
        <f>'[1]Electricity and CHPs_NCAP'!J$37</f>
        <v>0.43674470815564903</v>
      </c>
      <c r="O2098" s="1">
        <f>'[1]Electricity and CHPs_NCAP'!K$37</f>
        <v>0.62086791989658896</v>
      </c>
      <c r="P2098" s="1">
        <f>'[1]Electricity and CHPs_NCAP'!L$37</f>
        <v>2.1432675753108028</v>
      </c>
      <c r="Q2098" s="1">
        <f>'[1]Electricity and CHPs_NCAP'!M$37</f>
        <v>1.757048670317868</v>
      </c>
      <c r="S2098" s="3"/>
    </row>
    <row r="2099" spans="2:19" x14ac:dyDescent="0.5">
      <c r="B2099" s="5" t="str">
        <f t="shared" si="2216"/>
        <v>SPS1</v>
      </c>
      <c r="C2099" s="5" t="str">
        <f t="shared" si="2213"/>
        <v>CH</v>
      </c>
      <c r="D2099" t="s">
        <v>2228</v>
      </c>
      <c r="E2099" t="str">
        <f t="shared" si="2225"/>
        <v>GWe/yr.</v>
      </c>
      <c r="F2099" s="1">
        <f>'[1]Electricity and CHPs_NCAP'!B$38</f>
        <v>0</v>
      </c>
      <c r="G2099" s="1">
        <f>'[1]Electricity and CHPs_NCAP'!C$38</f>
        <v>0</v>
      </c>
      <c r="H2099" s="1">
        <f>'[1]Electricity and CHPs_NCAP'!D$38</f>
        <v>0.79202337109102094</v>
      </c>
      <c r="I2099" s="1">
        <f>'[1]Electricity and CHPs_NCAP'!E$38</f>
        <v>1.6984342848569599E-6</v>
      </c>
      <c r="J2099" s="1">
        <f>'[1]Electricity and CHPs_NCAP'!F$38</f>
        <v>4.8162074429416402</v>
      </c>
      <c r="K2099" s="1">
        <f>'[1]Electricity and CHPs_NCAP'!G$38</f>
        <v>0.99450941902998002</v>
      </c>
      <c r="L2099" s="1">
        <f>'[1]Electricity and CHPs_NCAP'!H$38</f>
        <v>1.2581755349021699</v>
      </c>
      <c r="M2099" s="1">
        <f>'[1]Electricity and CHPs_NCAP'!I$38</f>
        <v>0.50802679347216795</v>
      </c>
      <c r="N2099" s="1">
        <f>'[1]Electricity and CHPs_NCAP'!J$38</f>
        <v>3.8724643883654202</v>
      </c>
      <c r="O2099" s="1">
        <f>'[1]Electricity and CHPs_NCAP'!K$38</f>
        <v>2.73096649524954</v>
      </c>
      <c r="P2099" s="1">
        <f>'[1]Electricity and CHPs_NCAP'!L$38</f>
        <v>1.68511130001976</v>
      </c>
      <c r="Q2099" s="1">
        <f>'[1]Electricity and CHPs_NCAP'!M$38</f>
        <v>0.95674085038128098</v>
      </c>
      <c r="S2099" s="3"/>
    </row>
    <row r="2100" spans="2:19" x14ac:dyDescent="0.5">
      <c r="B2100" s="5" t="str">
        <f t="shared" si="2216"/>
        <v>SPS1</v>
      </c>
      <c r="C2100" s="5" t="str">
        <f t="shared" si="2213"/>
        <v>CH</v>
      </c>
      <c r="D2100" t="s">
        <v>2229</v>
      </c>
      <c r="E2100" t="str">
        <f t="shared" si="2225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'[1]Electricity and CHPs_NCAP'!F$32</f>
        <v>0</v>
      </c>
      <c r="K2100" s="1">
        <f>'[1]Electricity and CHPs_NCAP'!G$32</f>
        <v>3.3041907364950499E-4</v>
      </c>
      <c r="L2100" s="1">
        <f>'[1]Electricity and CHPs_NCAP'!H$32</f>
        <v>2.51949756815018E-6</v>
      </c>
      <c r="M2100" s="1">
        <f>'[1]Electricity and CHPs_NCAP'!I$32</f>
        <v>1.2852460537004301E-7</v>
      </c>
      <c r="N2100" s="1">
        <f>'[1]Electricity and CHPs_NCAP'!J$32</f>
        <v>3.0873286254823503E-7</v>
      </c>
      <c r="O2100" s="1">
        <f>'[1]Electricity and CHPs_NCAP'!K$32</f>
        <v>1.83573080733805E-7</v>
      </c>
      <c r="P2100" s="1">
        <f>'[1]Electricity and CHPs_NCAP'!L$32</f>
        <v>7.2634912483394904E-6</v>
      </c>
      <c r="Q2100" s="1">
        <f>'[1]Electricity and CHPs_NCAP'!M$32</f>
        <v>0</v>
      </c>
      <c r="S2100" s="3"/>
    </row>
    <row r="2101" spans="2:19" x14ac:dyDescent="0.5">
      <c r="B2101" s="5" t="str">
        <f t="shared" si="2216"/>
        <v>SPS1</v>
      </c>
      <c r="C2101" s="5" t="str">
        <f t="shared" si="2213"/>
        <v>CH</v>
      </c>
      <c r="D2101" t="s">
        <v>2230</v>
      </c>
      <c r="E2101" t="str">
        <f t="shared" si="2225"/>
        <v>GWe/yr.</v>
      </c>
      <c r="F2101" s="1">
        <f t="shared" ref="F2101:K2101" si="2231">F2100</f>
        <v>0</v>
      </c>
      <c r="G2101" s="1">
        <f t="shared" si="2231"/>
        <v>0</v>
      </c>
      <c r="H2101" s="1">
        <f t="shared" si="2231"/>
        <v>0</v>
      </c>
      <c r="I2101" s="1">
        <f t="shared" si="2231"/>
        <v>0</v>
      </c>
      <c r="J2101" s="1">
        <f t="shared" si="2231"/>
        <v>0</v>
      </c>
      <c r="K2101" s="1">
        <f t="shared" si="2231"/>
        <v>3.3041907364950499E-4</v>
      </c>
      <c r="L2101" s="1">
        <f t="shared" ref="L2101:O2101" si="2232">L2100</f>
        <v>2.51949756815018E-6</v>
      </c>
      <c r="M2101" s="1">
        <f t="shared" si="2232"/>
        <v>1.2852460537004301E-7</v>
      </c>
      <c r="N2101" s="1">
        <f t="shared" si="2232"/>
        <v>3.0873286254823503E-7</v>
      </c>
      <c r="O2101" s="1">
        <f t="shared" si="2232"/>
        <v>1.83573080733805E-7</v>
      </c>
      <c r="P2101" s="1">
        <f>P2100</f>
        <v>7.2634912483394904E-6</v>
      </c>
      <c r="Q2101" s="1">
        <f>Q2100</f>
        <v>0</v>
      </c>
      <c r="S2101" s="3"/>
    </row>
    <row r="2102" spans="2:19" x14ac:dyDescent="0.5">
      <c r="B2102" s="5" t="str">
        <f t="shared" si="2216"/>
        <v>SPS1</v>
      </c>
      <c r="C2102" s="5" t="str">
        <f t="shared" si="2213"/>
        <v>CH</v>
      </c>
      <c r="D2102" t="s">
        <v>2231</v>
      </c>
      <c r="E2102" t="str">
        <f t="shared" si="2225"/>
        <v>GWe/yr.</v>
      </c>
      <c r="F2102" s="1">
        <f t="shared" ref="F2102:K2102" si="2233">SUM(F2103:F2105)</f>
        <v>0</v>
      </c>
      <c r="G2102" s="1">
        <f t="shared" si="2233"/>
        <v>0</v>
      </c>
      <c r="H2102" s="1">
        <f t="shared" si="2233"/>
        <v>0</v>
      </c>
      <c r="I2102" s="1">
        <f t="shared" si="2233"/>
        <v>1.258432942687891E-4</v>
      </c>
      <c r="J2102" s="1">
        <f t="shared" si="2233"/>
        <v>3.8258783510620446E-2</v>
      </c>
      <c r="K2102" s="1">
        <f t="shared" si="2233"/>
        <v>0.10474841405844998</v>
      </c>
      <c r="L2102" s="1">
        <f t="shared" ref="L2102:O2102" si="2234">SUM(L2103:L2105)</f>
        <v>8.1362650760336469E-2</v>
      </c>
      <c r="M2102" s="1">
        <f t="shared" si="2234"/>
        <v>8.168008241870181E-2</v>
      </c>
      <c r="N2102" s="1">
        <f t="shared" si="2234"/>
        <v>7.3965677963046039E-2</v>
      </c>
      <c r="O2102" s="1">
        <f t="shared" si="2234"/>
        <v>7.3927620527187723E-2</v>
      </c>
      <c r="P2102" s="1">
        <f>SUM(P2103:P2105)</f>
        <v>0.10904555004689884</v>
      </c>
      <c r="Q2102" s="1">
        <f>SUM(Q2103:Q2105)</f>
        <v>7.4762785954507596E-2</v>
      </c>
      <c r="S2102" s="3"/>
    </row>
    <row r="2103" spans="2:19" x14ac:dyDescent="0.5">
      <c r="B2103" s="5" t="str">
        <f t="shared" si="2216"/>
        <v>SPS1</v>
      </c>
      <c r="C2103" s="5" t="str">
        <f t="shared" si="2213"/>
        <v>CH</v>
      </c>
      <c r="D2103" t="s">
        <v>2232</v>
      </c>
      <c r="E2103" t="str">
        <f t="shared" si="2225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'[1]Electricity and CHPs_NCAP'!F$30</f>
        <v>0</v>
      </c>
      <c r="K2103" s="1">
        <f>'[1]Electricity and CHPs_NCAP'!G$30</f>
        <v>1.73594505085089E-2</v>
      </c>
      <c r="L2103" s="1">
        <f>'[1]Electricity and CHPs_NCAP'!H$30</f>
        <v>4.2146675248880099E-2</v>
      </c>
      <c r="M2103" s="1">
        <f>'[1]Electricity and CHPs_NCAP'!I$30</f>
        <v>1.2807865436736799E-2</v>
      </c>
      <c r="N2103" s="1">
        <f>'[1]Electricity and CHPs_NCAP'!J$30</f>
        <v>2.6380575902786102E-6</v>
      </c>
      <c r="O2103" s="1">
        <f>'[1]Electricity and CHPs_NCAP'!K$30</f>
        <v>2.79160486562623E-2</v>
      </c>
      <c r="P2103" s="1">
        <f>'[1]Electricity and CHPs_NCAP'!L$30</f>
        <v>3.6181183971273498E-2</v>
      </c>
      <c r="Q2103" s="1">
        <f>'[1]Electricity and CHPs_NCAP'!M$30</f>
        <v>7.8599743421976804E-3</v>
      </c>
      <c r="S2103" s="3"/>
    </row>
    <row r="2104" spans="2:19" x14ac:dyDescent="0.5">
      <c r="B2104" s="5" t="str">
        <f t="shared" si="2216"/>
        <v>SPS1</v>
      </c>
      <c r="C2104" s="5" t="str">
        <f t="shared" si="2213"/>
        <v>CH</v>
      </c>
      <c r="D2104" t="s">
        <v>2233</v>
      </c>
      <c r="E2104" t="str">
        <f t="shared" si="2225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9.8984846551847597E-5</v>
      </c>
      <c r="J2104" s="1">
        <f>'[1]Electricity and CHPs_NCAP'!F$46</f>
        <v>3.8187105325923398E-2</v>
      </c>
      <c r="K2104" s="1">
        <f>'[1]Electricity and CHPs_NCAP'!G$46</f>
        <v>8.7330411213094594E-2</v>
      </c>
      <c r="L2104" s="1">
        <f>'[1]Electricity and CHPs_NCAP'!H$46</f>
        <v>3.9164185557985301E-2</v>
      </c>
      <c r="M2104" s="1">
        <f>'[1]Electricity and CHPs_NCAP'!I$46</f>
        <v>6.7780725196368005E-2</v>
      </c>
      <c r="N2104" s="1">
        <f>'[1]Electricity and CHPs_NCAP'!J$46</f>
        <v>7.3012944642177696E-2</v>
      </c>
      <c r="O2104" s="1">
        <f>'[1]Electricity and CHPs_NCAP'!K$46</f>
        <v>4.6010536665313698E-2</v>
      </c>
      <c r="P2104" s="1">
        <f>'[1]Electricity and CHPs_NCAP'!L$46</f>
        <v>7.2861104698560095E-2</v>
      </c>
      <c r="Q2104" s="1">
        <f>'[1]Electricity and CHPs_NCAP'!M$46</f>
        <v>6.1900577291454102E-2</v>
      </c>
      <c r="S2104" s="3"/>
    </row>
    <row r="2105" spans="2:19" x14ac:dyDescent="0.5">
      <c r="B2105" s="5" t="str">
        <f t="shared" si="2216"/>
        <v>SPS1</v>
      </c>
      <c r="C2105" s="5" t="str">
        <f t="shared" si="2213"/>
        <v>CH</v>
      </c>
      <c r="D2105" t="s">
        <v>2234</v>
      </c>
      <c r="E2105" t="str">
        <f t="shared" si="2225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2.6858447716941499E-5</v>
      </c>
      <c r="J2105" s="1">
        <f>'[1]Electricity and CHPs_NCAP'!F$57</f>
        <v>7.1678184697049403E-5</v>
      </c>
      <c r="K2105" s="1">
        <f>'[1]Electricity and CHPs_NCAP'!G$57</f>
        <v>5.8552336846485802E-5</v>
      </c>
      <c r="L2105" s="1">
        <f>'[1]Electricity and CHPs_NCAP'!H$57</f>
        <v>5.1789953471072598E-5</v>
      </c>
      <c r="M2105" s="1">
        <f>'[1]Electricity and CHPs_NCAP'!I$57</f>
        <v>1.09149178559701E-3</v>
      </c>
      <c r="N2105" s="1">
        <f>'[1]Electricity and CHPs_NCAP'!J$57</f>
        <v>9.5009526327807098E-4</v>
      </c>
      <c r="O2105" s="1">
        <f>'[1]Electricity and CHPs_NCAP'!K$57</f>
        <v>1.0352056117182901E-6</v>
      </c>
      <c r="P2105" s="1">
        <f>'[1]Electricity and CHPs_NCAP'!L$57</f>
        <v>3.26137706523959E-6</v>
      </c>
      <c r="Q2105" s="1">
        <f>'[1]Electricity and CHPs_NCAP'!M$57</f>
        <v>5.0022343208558102E-3</v>
      </c>
      <c r="S2105" s="3"/>
    </row>
    <row r="2106" spans="2:19" x14ac:dyDescent="0.5">
      <c r="B2106" s="5" t="str">
        <f t="shared" si="2216"/>
        <v>SPS1</v>
      </c>
      <c r="C2106" s="5" t="str">
        <f t="shared" si="2213"/>
        <v>CH</v>
      </c>
      <c r="D2106" t="s">
        <v>2235</v>
      </c>
      <c r="E2106" t="str">
        <f t="shared" si="2225"/>
        <v>GWe/yr.</v>
      </c>
      <c r="F2106" s="1">
        <f t="shared" ref="F2106:K2106" si="2235">SUM(F2107:F2113)</f>
        <v>1.0369008290807371E-3</v>
      </c>
      <c r="G2106" s="1">
        <f t="shared" si="2235"/>
        <v>1.8564051814775629E-6</v>
      </c>
      <c r="H2106" s="1">
        <f t="shared" si="2235"/>
        <v>5.0399593021795617E-6</v>
      </c>
      <c r="I2106" s="1">
        <f t="shared" si="2235"/>
        <v>0.14344352427429363</v>
      </c>
      <c r="J2106" s="1">
        <f t="shared" si="2235"/>
        <v>0.3766228305781365</v>
      </c>
      <c r="K2106" s="1">
        <f t="shared" si="2235"/>
        <v>0.39085880835255316</v>
      </c>
      <c r="L2106" s="1">
        <f t="shared" ref="L2106:O2106" si="2236">SUM(L2107:L2113)</f>
        <v>0.56097211707744332</v>
      </c>
      <c r="M2106" s="1">
        <f t="shared" si="2236"/>
        <v>0.68260990625577722</v>
      </c>
      <c r="N2106" s="1">
        <f t="shared" si="2236"/>
        <v>0.52032705980372729</v>
      </c>
      <c r="O2106" s="1">
        <f t="shared" si="2236"/>
        <v>0.6461775885322566</v>
      </c>
      <c r="P2106" s="1">
        <f>SUM(P2107:P2113)</f>
        <v>0.86872167790553589</v>
      </c>
      <c r="Q2106" s="1">
        <f>SUM(Q2107:Q2113)</f>
        <v>0.35987366738015464</v>
      </c>
      <c r="S2106" s="3"/>
    </row>
    <row r="2107" spans="2:19" x14ac:dyDescent="0.5">
      <c r="B2107" s="5" t="str">
        <f t="shared" si="2216"/>
        <v>SPS1</v>
      </c>
      <c r="C2107" s="5" t="str">
        <f t="shared" si="2213"/>
        <v>CH</v>
      </c>
      <c r="D2107" t="s">
        <v>2236</v>
      </c>
      <c r="E2107" t="str">
        <f t="shared" si="2225"/>
        <v>GWe/yr.</v>
      </c>
      <c r="F2107" s="1">
        <f>'[1]Electricity and CHPs_NCAP'!B$63</f>
        <v>0</v>
      </c>
      <c r="G2107" s="1">
        <f>'[1]Electricity and CHPs_NCAP'!C$63</f>
        <v>2.0767258709946199E-7</v>
      </c>
      <c r="H2107" s="1">
        <f>'[1]Electricity and CHPs_NCAP'!D$63</f>
        <v>2.25092241920424E-7</v>
      </c>
      <c r="I2107" s="1">
        <f>'[1]Electricity and CHPs_NCAP'!E$63</f>
        <v>2.45521687724288E-7</v>
      </c>
      <c r="J2107" s="1">
        <f>'[1]Electricity and CHPs_NCAP'!F$63</f>
        <v>3.8216637114506303E-7</v>
      </c>
      <c r="K2107" s="1">
        <f>'[1]Electricity and CHPs_NCAP'!G$63</f>
        <v>3.5250391479183501E-7</v>
      </c>
      <c r="L2107" s="1">
        <f>'[1]Electricity and CHPs_NCAP'!H$63</f>
        <v>3.3131303478190502E-7</v>
      </c>
      <c r="M2107" s="1">
        <f>'[1]Electricity and CHPs_NCAP'!I$63</f>
        <v>2.97681843570699E-7</v>
      </c>
      <c r="N2107" s="1">
        <f>'[1]Electricity and CHPs_NCAP'!J$63</f>
        <v>2.85525155029684E-7</v>
      </c>
      <c r="O2107" s="1">
        <f>'[1]Electricity and CHPs_NCAP'!K$63</f>
        <v>3.4633231209497698E-7</v>
      </c>
      <c r="P2107" s="1">
        <f>'[1]Electricity and CHPs_NCAP'!L$63</f>
        <v>4.28342949235848E-7</v>
      </c>
      <c r="Q2107" s="1">
        <f>'[1]Electricity and CHPs_NCAP'!M$63</f>
        <v>5.3235640052469901E-7</v>
      </c>
      <c r="S2107" s="3"/>
    </row>
    <row r="2108" spans="2:19" x14ac:dyDescent="0.5">
      <c r="B2108" s="5" t="str">
        <f t="shared" si="2216"/>
        <v>SPS1</v>
      </c>
      <c r="C2108" s="5" t="str">
        <f t="shared" si="2213"/>
        <v>CH</v>
      </c>
      <c r="D2108" t="s">
        <v>2237</v>
      </c>
      <c r="E2108" t="str">
        <f t="shared" si="2225"/>
        <v>GWe/yr.</v>
      </c>
      <c r="F2108" s="1">
        <f>'[1]Electricity and CHPs_NCAP'!B$64</f>
        <v>1.7671841677395901E-4</v>
      </c>
      <c r="G2108" s="1">
        <f>'[1]Electricity and CHPs_NCAP'!C$64</f>
        <v>2.6907388735077702E-7</v>
      </c>
      <c r="H2108" s="1">
        <f>'[1]Electricity and CHPs_NCAP'!D$64</f>
        <v>9.1199364437633201E-7</v>
      </c>
      <c r="I2108" s="1">
        <f>'[1]Electricity and CHPs_NCAP'!E$64</f>
        <v>4.58053324316391E-5</v>
      </c>
      <c r="J2108" s="1">
        <f>'[1]Electricity and CHPs_NCAP'!F$64</f>
        <v>0.30256009914114601</v>
      </c>
      <c r="K2108" s="1">
        <f>'[1]Electricity and CHPs_NCAP'!G$64</f>
        <v>0.254976104855903</v>
      </c>
      <c r="L2108" s="1">
        <f>'[1]Electricity and CHPs_NCAP'!H$64</f>
        <v>0.14570603241595001</v>
      </c>
      <c r="M2108" s="1">
        <f>'[1]Electricity and CHPs_NCAP'!I$64</f>
        <v>0.32476141714277001</v>
      </c>
      <c r="N2108" s="1">
        <f>'[1]Electricity and CHPs_NCAP'!J$64</f>
        <v>0.167267015315786</v>
      </c>
      <c r="O2108" s="1">
        <f>'[1]Electricity and CHPs_NCAP'!K$64</f>
        <v>0.22391858786979199</v>
      </c>
      <c r="P2108" s="1">
        <f>'[1]Electricity and CHPs_NCAP'!L$64</f>
        <v>0.30403669613318801</v>
      </c>
      <c r="Q2108" s="1">
        <f>'[1]Electricity and CHPs_NCAP'!M$64</f>
        <v>0.102466710887615</v>
      </c>
      <c r="S2108" s="3"/>
    </row>
    <row r="2109" spans="2:19" x14ac:dyDescent="0.5">
      <c r="B2109" s="5" t="str">
        <f t="shared" si="2216"/>
        <v>SPS1</v>
      </c>
      <c r="C2109" s="5" t="str">
        <f t="shared" si="2213"/>
        <v>CH</v>
      </c>
      <c r="D2109" t="s">
        <v>2238</v>
      </c>
      <c r="E2109" t="str">
        <f t="shared" si="2225"/>
        <v>GWe/yr.</v>
      </c>
      <c r="F2109" s="1">
        <f>'[1]Electricity and CHPs_NCAP'!B$65</f>
        <v>1.3007250809375301E-4</v>
      </c>
      <c r="G2109" s="1">
        <f>'[1]Electricity and CHPs_NCAP'!C$65</f>
        <v>2.0353938537334499E-7</v>
      </c>
      <c r="H2109" s="1">
        <f>'[1]Electricity and CHPs_NCAP'!D$65</f>
        <v>7.1344489579753005E-7</v>
      </c>
      <c r="I2109" s="1">
        <f>'[1]Electricity and CHPs_NCAP'!E$65</f>
        <v>3.7836275260155999E-5</v>
      </c>
      <c r="J2109" s="1">
        <f>'[1]Electricity and CHPs_NCAP'!F$65</f>
        <v>2.0495295469007101E-3</v>
      </c>
      <c r="K2109" s="1">
        <f>'[1]Electricity and CHPs_NCAP'!G$65</f>
        <v>2.61735742779425E-3</v>
      </c>
      <c r="L2109" s="1">
        <f>'[1]Electricity and CHPs_NCAP'!H$65</f>
        <v>0.33258768997876098</v>
      </c>
      <c r="M2109" s="1">
        <f>'[1]Electricity and CHPs_NCAP'!I$65</f>
        <v>0.21361270250501899</v>
      </c>
      <c r="N2109" s="1">
        <f>'[1]Electricity and CHPs_NCAP'!J$65</f>
        <v>0.248209205256091</v>
      </c>
      <c r="O2109" s="1">
        <f>'[1]Electricity and CHPs_NCAP'!K$65</f>
        <v>0.29997367211613402</v>
      </c>
      <c r="P2109" s="1">
        <f>'[1]Electricity and CHPs_NCAP'!L$65</f>
        <v>0.38928101257936998</v>
      </c>
      <c r="Q2109" s="1">
        <f>'[1]Electricity and CHPs_NCAP'!M$65</f>
        <v>0.18277574897532101</v>
      </c>
      <c r="S2109" s="3"/>
    </row>
    <row r="2110" spans="2:19" x14ac:dyDescent="0.5">
      <c r="B2110" s="5" t="str">
        <f t="shared" si="2216"/>
        <v>SPS1</v>
      </c>
      <c r="C2110" s="5" t="str">
        <f t="shared" si="2213"/>
        <v>CH</v>
      </c>
      <c r="D2110" t="s">
        <v>2239</v>
      </c>
      <c r="E2110" t="str">
        <f t="shared" si="2225"/>
        <v>GWe/yr.</v>
      </c>
      <c r="F2110" s="1">
        <f>'[1]Electricity and CHPs_NCAP'!B$66</f>
        <v>1.21761892172486E-4</v>
      </c>
      <c r="G2110" s="1">
        <f>'[1]Electricity and CHPs_NCAP'!C$66</f>
        <v>1.9581393886383299E-7</v>
      </c>
      <c r="H2110" s="1">
        <f>'[1]Electricity and CHPs_NCAP'!D$66</f>
        <v>5.2954277746016402E-7</v>
      </c>
      <c r="I2110" s="1">
        <f>'[1]Electricity and CHPs_NCAP'!E$66</f>
        <v>7.2231586084656504E-2</v>
      </c>
      <c r="J2110" s="1">
        <f>'[1]Electricity and CHPs_NCAP'!F$66</f>
        <v>5.1921008766830201E-2</v>
      </c>
      <c r="K2110" s="1">
        <f>'[1]Electricity and CHPs_NCAP'!G$66</f>
        <v>0.104771857739292</v>
      </c>
      <c r="L2110" s="1">
        <f>'[1]Electricity and CHPs_NCAP'!H$66</f>
        <v>7.0130770364948705E-2</v>
      </c>
      <c r="M2110" s="1">
        <f>'[1]Electricity and CHPs_NCAP'!I$66</f>
        <v>4.0952250799417299E-2</v>
      </c>
      <c r="N2110" s="1">
        <f>'[1]Electricity and CHPs_NCAP'!J$66</f>
        <v>0.100882214688876</v>
      </c>
      <c r="O2110" s="1">
        <f>'[1]Electricity and CHPs_NCAP'!K$66</f>
        <v>7.3963721981418803E-2</v>
      </c>
      <c r="P2110" s="1">
        <f>'[1]Electricity and CHPs_NCAP'!L$66</f>
        <v>0.108060710978315</v>
      </c>
      <c r="Q2110" s="1">
        <f>'[1]Electricity and CHPs_NCAP'!M$66</f>
        <v>7.0801655638267798E-3</v>
      </c>
      <c r="S2110" s="3"/>
    </row>
    <row r="2111" spans="2:19" x14ac:dyDescent="0.5">
      <c r="B2111" s="5" t="str">
        <f t="shared" si="2216"/>
        <v>SPS1</v>
      </c>
      <c r="C2111" s="5" t="str">
        <f t="shared" si="2213"/>
        <v>CH</v>
      </c>
      <c r="D2111" t="s">
        <v>2240</v>
      </c>
      <c r="E2111" t="str">
        <f t="shared" si="2225"/>
        <v>GWe/yr.</v>
      </c>
      <c r="F2111" s="1">
        <f>'[1]Electricity and CHPs_NCAP'!B$67</f>
        <v>2.43236350358707E-4</v>
      </c>
      <c r="G2111" s="1">
        <f>'[1]Electricity and CHPs_NCAP'!C$67</f>
        <v>3.9225076981545796E-7</v>
      </c>
      <c r="H2111" s="1">
        <f>'[1]Electricity and CHPs_NCAP'!D$67</f>
        <v>1.06594622156117E-6</v>
      </c>
      <c r="I2111" s="1">
        <f>'[1]Electricity and CHPs_NCAP'!E$67</f>
        <v>1.8315994336616702E-2</v>
      </c>
      <c r="J2111" s="1">
        <f>'[1]Electricity and CHPs_NCAP'!F$67</f>
        <v>6.1694942798009808E-4</v>
      </c>
      <c r="K2111" s="1">
        <f>'[1]Electricity and CHPs_NCAP'!G$67</f>
        <v>7.4369699161611902E-3</v>
      </c>
      <c r="L2111" s="1">
        <f>'[1]Electricity and CHPs_NCAP'!H$67</f>
        <v>9.5473886755477709E-3</v>
      </c>
      <c r="M2111" s="1">
        <f>'[1]Electricity and CHPs_NCAP'!I$67</f>
        <v>7.0270305768970198E-3</v>
      </c>
      <c r="N2111" s="1">
        <f>'[1]Electricity and CHPs_NCAP'!J$67</f>
        <v>9.6044952822681498E-4</v>
      </c>
      <c r="O2111" s="1">
        <f>'[1]Electricity and CHPs_NCAP'!K$67</f>
        <v>1.5868034437661591E-2</v>
      </c>
      <c r="P2111" s="1">
        <f>'[1]Electricity and CHPs_NCAP'!L$67</f>
        <v>3.3124200572919298E-3</v>
      </c>
      <c r="Q2111" s="1">
        <f>'[1]Electricity and CHPs_NCAP'!M$67</f>
        <v>1.738898062628165E-2</v>
      </c>
      <c r="S2111" s="3"/>
    </row>
    <row r="2112" spans="2:19" x14ac:dyDescent="0.5">
      <c r="B2112" s="5" t="str">
        <f t="shared" si="2216"/>
        <v>SPS1</v>
      </c>
      <c r="C2112" s="5" t="str">
        <f t="shared" si="2213"/>
        <v>CH</v>
      </c>
      <c r="D2112" t="s">
        <v>2241</v>
      </c>
      <c r="E2112" t="str">
        <f t="shared" si="2225"/>
        <v>GWe/yr.</v>
      </c>
      <c r="F2112" s="1">
        <f>'[1]Electricity and CHPs_NCAP'!B$68</f>
        <v>2.43137287534334E-4</v>
      </c>
      <c r="G2112" s="1">
        <f>'[1]Electricity and CHPs_NCAP'!C$68</f>
        <v>3.9190985099477101E-7</v>
      </c>
      <c r="H2112" s="1">
        <f>'[1]Electricity and CHPs_NCAP'!D$68</f>
        <v>1.0635276707373221E-6</v>
      </c>
      <c r="I2112" s="1">
        <f>'[1]Electricity and CHPs_NCAP'!E$68</f>
        <v>3.29760653521265E-2</v>
      </c>
      <c r="J2112" s="1">
        <f>'[1]Electricity and CHPs_NCAP'!F$68</f>
        <v>3.5937701312882802E-3</v>
      </c>
      <c r="K2112" s="1">
        <f>'[1]Electricity and CHPs_NCAP'!G$68</f>
        <v>1.65871829186508E-2</v>
      </c>
      <c r="L2112" s="1">
        <f>'[1]Electricity and CHPs_NCAP'!H$68</f>
        <v>2.1425855734495004E-3</v>
      </c>
      <c r="M2112" s="1">
        <f>'[1]Electricity and CHPs_NCAP'!I$68</f>
        <v>4.3465844238642595E-2</v>
      </c>
      <c r="N2112" s="1">
        <f>'[1]Electricity and CHPs_NCAP'!J$68</f>
        <v>1.769346389630241E-3</v>
      </c>
      <c r="O2112" s="1">
        <f>'[1]Electricity and CHPs_NCAP'!K$68</f>
        <v>2.1401519162591198E-2</v>
      </c>
      <c r="P2112" s="1">
        <f>'[1]Electricity and CHPs_NCAP'!L$68</f>
        <v>2.7892275650244297E-2</v>
      </c>
      <c r="Q2112" s="1">
        <f>'[1]Electricity and CHPs_NCAP'!M$68</f>
        <v>3.3284910363687803E-2</v>
      </c>
      <c r="S2112" s="3"/>
    </row>
    <row r="2113" spans="2:19" x14ac:dyDescent="0.5">
      <c r="B2113" s="5" t="str">
        <f t="shared" si="2216"/>
        <v>SPS1</v>
      </c>
      <c r="C2113" s="5" t="str">
        <f t="shared" si="2213"/>
        <v>CH</v>
      </c>
      <c r="D2113" t="s">
        <v>2242</v>
      </c>
      <c r="E2113" t="str">
        <f t="shared" si="2225"/>
        <v>GWe/yr.</v>
      </c>
      <c r="F2113" s="1">
        <f>'[1]Electricity and CHPs_NCAP'!B$69</f>
        <v>1.21974374147498E-4</v>
      </c>
      <c r="G2113" s="1">
        <f>'[1]Electricity and CHPs_NCAP'!C$69</f>
        <v>1.96144761979917E-7</v>
      </c>
      <c r="H2113" s="1">
        <f>'[1]Electricity and CHPs_NCAP'!D$69</f>
        <v>5.3041185032661901E-7</v>
      </c>
      <c r="I2113" s="1">
        <f>'[1]Electricity and CHPs_NCAP'!E$69</f>
        <v>1.98359913715144E-2</v>
      </c>
      <c r="J2113" s="1">
        <f>'[1]Electricity and CHPs_NCAP'!F$69</f>
        <v>1.58810913976201E-2</v>
      </c>
      <c r="K2113" s="1">
        <f>'[1]Electricity and CHPs_NCAP'!G$69</f>
        <v>4.4689829908372098E-3</v>
      </c>
      <c r="L2113" s="1">
        <f>'[1]Electricity and CHPs_NCAP'!H$69</f>
        <v>8.5731875575156997E-4</v>
      </c>
      <c r="M2113" s="1">
        <f>'[1]Electricity and CHPs_NCAP'!I$69</f>
        <v>5.27903633111877E-2</v>
      </c>
      <c r="N2113" s="1">
        <f>'[1]Electricity and CHPs_NCAP'!J$69</f>
        <v>1.23854309996217E-3</v>
      </c>
      <c r="O2113" s="1">
        <f>'[1]Electricity and CHPs_NCAP'!K$69</f>
        <v>1.10517066323469E-2</v>
      </c>
      <c r="P2113" s="1">
        <f>'[1]Electricity and CHPs_NCAP'!L$69</f>
        <v>3.6138134164177299E-2</v>
      </c>
      <c r="Q2113" s="1">
        <f>'[1]Electricity and CHPs_NCAP'!M$69</f>
        <v>1.6876618607021901E-2</v>
      </c>
      <c r="S2113" s="3"/>
    </row>
    <row r="2114" spans="2:19" x14ac:dyDescent="0.5">
      <c r="B2114" s="5" t="str">
        <f>'SPS1'!B1902</f>
        <v>SPS1</v>
      </c>
      <c r="C2114" s="5" t="str">
        <f>'SPS1'!C1902</f>
        <v>CH</v>
      </c>
      <c r="D2114" s="2" t="s">
        <v>2243</v>
      </c>
      <c r="E2114" s="2" t="s">
        <v>1972</v>
      </c>
      <c r="F2114" s="3">
        <f t="shared" ref="F2114:K2114" si="2237">SUM(F2115:F2164)</f>
        <v>2.6921999705453302E-4</v>
      </c>
      <c r="G2114" s="3">
        <f t="shared" si="2237"/>
        <v>0.4292109184398909</v>
      </c>
      <c r="H2114" s="3">
        <f t="shared" si="2237"/>
        <v>0.91477430115360114</v>
      </c>
      <c r="I2114" s="3">
        <f t="shared" si="2237"/>
        <v>2.0666477830070318</v>
      </c>
      <c r="J2114" s="3">
        <f t="shared" si="2237"/>
        <v>3.1098671310095707</v>
      </c>
      <c r="K2114" s="3">
        <f t="shared" si="2237"/>
        <v>1.8693515114642354</v>
      </c>
      <c r="L2114" s="3">
        <f t="shared" ref="L2114:O2114" si="2238">SUM(L2115:L2164)</f>
        <v>2.3004809512399591</v>
      </c>
      <c r="M2114" s="3">
        <f t="shared" si="2238"/>
        <v>2.7675056015326214</v>
      </c>
      <c r="N2114" s="3">
        <f t="shared" si="2238"/>
        <v>2.2835544078182086</v>
      </c>
      <c r="O2114" s="3">
        <f t="shared" si="2238"/>
        <v>2.1942442114935434</v>
      </c>
      <c r="P2114" s="3">
        <f>SUM(P2115:P2164)</f>
        <v>2.3492037801547783</v>
      </c>
      <c r="Q2114" s="3">
        <f>SUM(Q2115:Q2164)</f>
        <v>1.9572135662447803</v>
      </c>
      <c r="S2114" s="3"/>
    </row>
    <row r="2115" spans="2:19" x14ac:dyDescent="0.5">
      <c r="B2115" s="5" t="str">
        <f t="shared" ref="B2115:B2146" si="2239">B2114</f>
        <v>SPS1</v>
      </c>
      <c r="C2115" s="5" t="str">
        <f t="shared" ref="C2115:C2146" si="2240">C2114</f>
        <v>CH</v>
      </c>
      <c r="D2115" t="s">
        <v>2244</v>
      </c>
      <c r="E2115" t="str">
        <f t="shared" ref="E2115:E2146" si="2241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SUMPRODUCT(("var_ncap"=[1]OUT_TransportEnergyCons!$B$4:$B$10000)*1,("-"=[1]OUT_TransportEnergyCons!$C$4:$C$10000)*1,ISNUMBER(SEARCH("T_C*bat*ext",[1]OUT_TransportEnergyCons!$A$4:$A$10000))*1,[1]OUT_TransportEnergyCons!H$4:H$10000)</f>
        <v>0</v>
      </c>
      <c r="K2115" s="1" cm="1">
        <f t="array" ref="K2115">SUMPRODUCT(("var_ncap"=[1]OUT_TransportEnergyCons!$B$4:$B$10000)*1,("-"=[1]OUT_TransportEnergyCons!$C$4:$C$10000)*1,ISNUMBER(SEARCH("T_C*bat*ext",[1]OUT_TransportEnergyCons!$A$4:$A$10000))*1,[1]OUT_TransportEnergyCons!I$4:I$10000)</f>
        <v>0</v>
      </c>
      <c r="L2115" s="1" cm="1">
        <f t="array" ref="L2115">SUMPRODUCT(("var_ncap"=[1]OUT_TransportEnergyCons!$B$4:$B$10000)*1,("-"=[1]OUT_TransportEnergyCons!$C$4:$C$10000)*1,ISNUMBER(SEARCH("T_C*bat*ext",[1]OUT_TransportEnergyCons!$A$4:$A$10000))*1,[1]OUT_TransportEnergyCons!J$4:J$10000)</f>
        <v>0</v>
      </c>
      <c r="M2115" s="1" cm="1">
        <f t="array" ref="M2115">SUMPRODUCT(("var_ncap"=[1]OUT_TransportEnergyCons!$B$4:$B$10000)*1,("-"=[1]OUT_TransportEnergyCons!$C$4:$C$10000)*1,ISNUMBER(SEARCH("T_C*bat*ext",[1]OUT_TransportEnergyCons!$A$4:$A$10000))*1,[1]OUT_TransportEnergyCons!K$4:K$10000)</f>
        <v>0</v>
      </c>
      <c r="N2115" s="1" cm="1">
        <f t="array" ref="N2115">SUMPRODUCT(("var_ncap"=[1]OUT_TransportEnergyCons!$B$4:$B$10000)*1,("-"=[1]OUT_TransportEnergyCons!$C$4:$C$10000)*1,ISNUMBER(SEARCH("T_C*bat*ext",[1]OUT_TransportEnergyCons!$A$4:$A$10000))*1,[1]OUT_TransportEnergyCons!L$4:L$10000)</f>
        <v>0</v>
      </c>
      <c r="O2115" s="1" cm="1">
        <f t="array" ref="O2115">SUMPRODUCT(("var_ncap"=[1]OUT_TransportEnergyCons!$B$4:$B$10000)*1,("-"=[1]OUT_TransportEnergyCons!$C$4:$C$10000)*1,ISNUMBER(SEARCH("T_C*bat*ext",[1]OUT_TransportEnergyCons!$A$4:$A$10000))*1,[1]OUT_TransportEnergyCons!M$4:M$10000)</f>
        <v>0</v>
      </c>
      <c r="P2115" s="1" cm="1">
        <f t="array" ref="P2115">SUMPRODUCT(("var_ncap"=[1]OUT_TransportEnergyCons!$B$4:$B$10000)*1,("-"=[1]OUT_TransportEnergyCons!$C$4:$C$10000)*1,ISNUMBER(SEARCH("T_C*bat*ext",[1]OUT_TransportEnergyCons!$A$4:$A$10000))*1,[1]OUT_TransportEnergyCons!N$4:N$10000)</f>
        <v>0</v>
      </c>
      <c r="Q2115" s="1" cm="1">
        <f t="array" ref="Q2115">SUMPRODUCT(("var_ncap"=[1]OUT_TransportEnergyCons!$B$4:$B$10000)*1,("-"=[1]OUT_TransportEnergyCons!$C$4:$C$10000)*1,ISNUMBER(SEARCH("T_C*bat*ext",[1]OUT_TransportEnergyCons!$A$4:$A$10000))*1,[1]OUT_TransportEnergyCons!O$4:O$10000)</f>
        <v>0</v>
      </c>
      <c r="S2115" s="3"/>
    </row>
    <row r="2116" spans="2:19" x14ac:dyDescent="0.5">
      <c r="B2116" s="5" t="str">
        <f t="shared" si="2239"/>
        <v>SPS1</v>
      </c>
      <c r="C2116" s="5" t="str">
        <f t="shared" si="2240"/>
        <v>CH</v>
      </c>
      <c r="D2116" t="s">
        <v>2245</v>
      </c>
      <c r="E2116" t="str">
        <f t="shared" si="2241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2.1812351195602599E-5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5.7960975689820495E-4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4.6515739458972998E-4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0.150176960106636</v>
      </c>
      <c r="J2116" s="1" cm="1">
        <f t="array" ref="J2116">SUMPRODUCT(("var_ncap"=[1]OUT_TransportEnergyCons!$B$4:$B$10000)*1,("-"=[1]OUT_TransportEnergyCons!$C$4:$C$10000)*1,ISNUMBER(SEARCH("T_C*bat*s1",[1]OUT_TransportEnergyCons!$A$4:$A$10000))*1,[1]OUT_TransportEnergyCons!H$4:H$10000)</f>
        <v>0.17337260711423999</v>
      </c>
      <c r="K2116" s="1" cm="1">
        <f t="array" ref="K2116">SUMPRODUCT(("var_ncap"=[1]OUT_TransportEnergyCons!$B$4:$B$10000)*1,("-"=[1]OUT_TransportEnergyCons!$C$4:$C$10000)*1,ISNUMBER(SEARCH("T_C*bat*s1",[1]OUT_TransportEnergyCons!$A$4:$A$10000))*1,[1]OUT_TransportEnergyCons!I$4:I$10000)</f>
        <v>0.13604517331117899</v>
      </c>
      <c r="L2116" s="1" cm="1">
        <f t="array" ref="L2116">SUMPRODUCT(("var_ncap"=[1]OUT_TransportEnergyCons!$B$4:$B$10000)*1,("-"=[1]OUT_TransportEnergyCons!$C$4:$C$10000)*1,ISNUMBER(SEARCH("T_C*bat*s1",[1]OUT_TransportEnergyCons!$A$4:$A$10000))*1,[1]OUT_TransportEnergyCons!J$4:J$10000)</f>
        <v>0.15438950310039101</v>
      </c>
      <c r="M2116" s="1" cm="1">
        <f t="array" ref="M2116">SUMPRODUCT(("var_ncap"=[1]OUT_TransportEnergyCons!$B$4:$B$10000)*1,("-"=[1]OUT_TransportEnergyCons!$C$4:$C$10000)*1,ISNUMBER(SEARCH("T_C*bat*s1",[1]OUT_TransportEnergyCons!$A$4:$A$10000))*1,[1]OUT_TransportEnergyCons!K$4:K$10000)</f>
        <v>0.16472281437564501</v>
      </c>
      <c r="N2116" s="1" cm="1">
        <f t="array" ref="N2116">SUMPRODUCT(("var_ncap"=[1]OUT_TransportEnergyCons!$B$4:$B$10000)*1,("-"=[1]OUT_TransportEnergyCons!$C$4:$C$10000)*1,ISNUMBER(SEARCH("T_C*bat*s1",[1]OUT_TransportEnergyCons!$A$4:$A$10000))*1,[1]OUT_TransportEnergyCons!L$4:L$10000)</f>
        <v>0.13473255969587999</v>
      </c>
      <c r="O2116" s="1" cm="1">
        <f t="array" ref="O2116">SUMPRODUCT(("var_ncap"=[1]OUT_TransportEnergyCons!$B$4:$B$10000)*1,("-"=[1]OUT_TransportEnergyCons!$C$4:$C$10000)*1,ISNUMBER(SEARCH("T_C*bat*s1",[1]OUT_TransportEnergyCons!$A$4:$A$10000))*1,[1]OUT_TransportEnergyCons!M$4:M$10000)</f>
        <v>0.13283344949907699</v>
      </c>
      <c r="P2116" s="1" cm="1">
        <f t="array" ref="P2116">SUMPRODUCT(("var_ncap"=[1]OUT_TransportEnergyCons!$B$4:$B$10000)*1,("-"=[1]OUT_TransportEnergyCons!$C$4:$C$10000)*1,ISNUMBER(SEARCH("T_C*bat*s1",[1]OUT_TransportEnergyCons!$A$4:$A$10000))*1,[1]OUT_TransportEnergyCons!N$4:N$10000)</f>
        <v>0.129740317796574</v>
      </c>
      <c r="Q2116" s="1" cm="1">
        <f t="array" ref="Q2116">SUMPRODUCT(("var_ncap"=[1]OUT_TransportEnergyCons!$B$4:$B$10000)*1,("-"=[1]OUT_TransportEnergyCons!$C$4:$C$10000)*1,ISNUMBER(SEARCH("T_C*bat*s1",[1]OUT_TransportEnergyCons!$A$4:$A$10000))*1,[1]OUT_TransportEnergyCons!O$4:O$10000)</f>
        <v>0.10548801462238901</v>
      </c>
      <c r="S2116" s="3"/>
    </row>
    <row r="2117" spans="2:19" x14ac:dyDescent="0.5">
      <c r="B2117" s="5" t="str">
        <f t="shared" si="2239"/>
        <v>SPS1</v>
      </c>
      <c r="C2117" s="5" t="str">
        <f t="shared" si="2240"/>
        <v>CH</v>
      </c>
      <c r="D2117" t="s">
        <v>2246</v>
      </c>
      <c r="E2117" t="str">
        <f t="shared" si="2241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6.5282448844817599E-5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1.2427633439840899E-4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0.106650271489867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0.572111264042373</v>
      </c>
      <c r="J2117" s="1" cm="1">
        <f t="array" ref="J2117">SUMPRODUCT(("var_ncap"=[1]OUT_TransportEnergyCons!$B$4:$B$10000)*1,("-"=[1]OUT_TransportEnergyCons!$C$4:$C$10000)*1,ISNUMBER(SEARCH("T_C*bat*s2",[1]OUT_TransportEnergyCons!$A$4:$A$10000))*1,[1]OUT_TransportEnergyCons!H$4:H$10000)</f>
        <v>1.2842178112042399</v>
      </c>
      <c r="K2117" s="1" cm="1">
        <f t="array" ref="K2117">SUMPRODUCT(("var_ncap"=[1]OUT_TransportEnergyCons!$B$4:$B$10000)*1,("-"=[1]OUT_TransportEnergyCons!$C$4:$C$10000)*1,ISNUMBER(SEARCH("T_C*bat*s2",[1]OUT_TransportEnergyCons!$A$4:$A$10000))*1,[1]OUT_TransportEnergyCons!I$4:I$10000)</f>
        <v>0.55134868715171903</v>
      </c>
      <c r="L2117" s="1" cm="1">
        <f t="array" ref="L2117">SUMPRODUCT(("var_ncap"=[1]OUT_TransportEnergyCons!$B$4:$B$10000)*1,("-"=[1]OUT_TransportEnergyCons!$C$4:$C$10000)*1,ISNUMBER(SEARCH("T_C*bat*s2",[1]OUT_TransportEnergyCons!$A$4:$A$10000))*1,[1]OUT_TransportEnergyCons!J$4:J$10000)</f>
        <v>0.70732499939890703</v>
      </c>
      <c r="M2117" s="1" cm="1">
        <f t="array" ref="M2117">SUMPRODUCT(("var_ncap"=[1]OUT_TransportEnergyCons!$B$4:$B$10000)*1,("-"=[1]OUT_TransportEnergyCons!$C$4:$C$10000)*1,ISNUMBER(SEARCH("T_C*bat*s2",[1]OUT_TransportEnergyCons!$A$4:$A$10000))*1,[1]OUT_TransportEnergyCons!K$4:K$10000)</f>
        <v>0.99980836526340799</v>
      </c>
      <c r="N2117" s="1" cm="1">
        <f t="array" ref="N2117">SUMPRODUCT(("var_ncap"=[1]OUT_TransportEnergyCons!$B$4:$B$10000)*1,("-"=[1]OUT_TransportEnergyCons!$C$4:$C$10000)*1,ISNUMBER(SEARCH("T_C*bat*s2",[1]OUT_TransportEnergyCons!$A$4:$A$10000))*1,[1]OUT_TransportEnergyCons!L$4:L$10000)</f>
        <v>0.61028372426965205</v>
      </c>
      <c r="O2117" s="1" cm="1">
        <f t="array" ref="O2117">SUMPRODUCT(("var_ncap"=[1]OUT_TransportEnergyCons!$B$4:$B$10000)*1,("-"=[1]OUT_TransportEnergyCons!$C$4:$C$10000)*1,ISNUMBER(SEARCH("T_C*bat*s2",[1]OUT_TransportEnergyCons!$A$4:$A$10000))*1,[1]OUT_TransportEnergyCons!M$4:M$10000)</f>
        <v>0.66272876056391505</v>
      </c>
      <c r="P2117" s="1" cm="1">
        <f t="array" ref="P2117">SUMPRODUCT(("var_ncap"=[1]OUT_TransportEnergyCons!$B$4:$B$10000)*1,("-"=[1]OUT_TransportEnergyCons!$C$4:$C$10000)*1,ISNUMBER(SEARCH("T_C*bat*s2",[1]OUT_TransportEnergyCons!$A$4:$A$10000))*1,[1]OUT_TransportEnergyCons!N$4:N$10000)</f>
        <v>0.72291551480030702</v>
      </c>
      <c r="Q2117" s="1" cm="1">
        <f t="array" ref="Q2117">SUMPRODUCT(("var_ncap"=[1]OUT_TransportEnergyCons!$B$4:$B$10000)*1,("-"=[1]OUT_TransportEnergyCons!$C$4:$C$10000)*1,ISNUMBER(SEARCH("T_C*bat*s2",[1]OUT_TransportEnergyCons!$A$4:$A$10000))*1,[1]OUT_TransportEnergyCons!O$4:O$10000)</f>
        <v>0.49925658732170097</v>
      </c>
      <c r="S2117" s="3"/>
    </row>
    <row r="2118" spans="2:19" x14ac:dyDescent="0.5">
      <c r="B2118" s="5" t="str">
        <f t="shared" si="2239"/>
        <v>SPS1</v>
      </c>
      <c r="C2118" s="5" t="str">
        <f t="shared" si="2240"/>
        <v>CH</v>
      </c>
      <c r="D2118" t="s">
        <v>2247</v>
      </c>
      <c r="E2118" t="str">
        <f t="shared" si="2241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4.4313882400467799E-5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2.5581375002575002E-3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6.3588903021440199E-4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9.0795436843622704E-5</v>
      </c>
      <c r="J2118" s="1" cm="1">
        <f t="array" ref="J2118">SUMPRODUCT(("var_ncap"=[1]OUT_TransportEnergyCons!$B$4:$B$10000)*1,("-"=[1]OUT_TransportEnergyCons!$C$4:$C$10000)*1,ISNUMBER(SEARCH("T_C*bat*s3",[1]OUT_TransportEnergyCons!$A$4:$A$10000))*1,[1]OUT_TransportEnergyCons!H$4:H$10000)</f>
        <v>5.7833116553525701E-2</v>
      </c>
      <c r="K2118" s="1" cm="1">
        <f t="array" ref="K2118">SUMPRODUCT(("var_ncap"=[1]OUT_TransportEnergyCons!$B$4:$B$10000)*1,("-"=[1]OUT_TransportEnergyCons!$C$4:$C$10000)*1,ISNUMBER(SEARCH("T_C*bat*s3",[1]OUT_TransportEnergyCons!$A$4:$A$10000))*1,[1]OUT_TransportEnergyCons!I$4:I$10000)</f>
        <v>0.37059073436264101</v>
      </c>
      <c r="L2118" s="1" cm="1">
        <f t="array" ref="L2118">SUMPRODUCT(("var_ncap"=[1]OUT_TransportEnergyCons!$B$4:$B$10000)*1,("-"=[1]OUT_TransportEnergyCons!$C$4:$C$10000)*1,ISNUMBER(SEARCH("T_C*bat*s3",[1]OUT_TransportEnergyCons!$A$4:$A$10000))*1,[1]OUT_TransportEnergyCons!J$4:J$10000)</f>
        <v>2.8474518614206901E-2</v>
      </c>
      <c r="M2118" s="1" cm="1">
        <f t="array" ref="M2118">SUMPRODUCT(("var_ncap"=[1]OUT_TransportEnergyCons!$B$4:$B$10000)*1,("-"=[1]OUT_TransportEnergyCons!$C$4:$C$10000)*1,ISNUMBER(SEARCH("T_C*bat*s3",[1]OUT_TransportEnergyCons!$A$4:$A$10000))*1,[1]OUT_TransportEnergyCons!K$4:K$10000)</f>
        <v>0.62303173598682904</v>
      </c>
      <c r="N2118" s="1" cm="1">
        <f t="array" ref="N2118">SUMPRODUCT(("var_ncap"=[1]OUT_TransportEnergyCons!$B$4:$B$10000)*1,("-"=[1]OUT_TransportEnergyCons!$C$4:$C$10000)*1,ISNUMBER(SEARCH("T_C*bat*s3",[1]OUT_TransportEnergyCons!$A$4:$A$10000))*1,[1]OUT_TransportEnergyCons!L$4:L$10000)</f>
        <v>0.386553104665745</v>
      </c>
      <c r="O2118" s="1" cm="1">
        <f t="array" ref="O2118">SUMPRODUCT(("var_ncap"=[1]OUT_TransportEnergyCons!$B$4:$B$10000)*1,("-"=[1]OUT_TransportEnergyCons!$C$4:$C$10000)*1,ISNUMBER(SEARCH("T_C*bat*s3",[1]OUT_TransportEnergyCons!$A$4:$A$10000))*1,[1]OUT_TransportEnergyCons!M$4:M$10000)</f>
        <v>0.54437699401060202</v>
      </c>
      <c r="P2118" s="1" cm="1">
        <f t="array" ref="P2118">SUMPRODUCT(("var_ncap"=[1]OUT_TransportEnergyCons!$B$4:$B$10000)*1,("-"=[1]OUT_TransportEnergyCons!$C$4:$C$10000)*1,ISNUMBER(SEARCH("T_C*bat*s3",[1]OUT_TransportEnergyCons!$A$4:$A$10000))*1,[1]OUT_TransportEnergyCons!N$4:N$10000)</f>
        <v>1.3905242645698499</v>
      </c>
      <c r="Q2118" s="1" cm="1">
        <f t="array" ref="Q2118">SUMPRODUCT(("var_ncap"=[1]OUT_TransportEnergyCons!$B$4:$B$10000)*1,("-"=[1]OUT_TransportEnergyCons!$C$4:$C$10000)*1,ISNUMBER(SEARCH("T_C*bat*s3",[1]OUT_TransportEnergyCons!$A$4:$A$10000))*1,[1]OUT_TransportEnergyCons!O$4:O$10000)</f>
        <v>1.39623117443948E-4</v>
      </c>
      <c r="S2118" s="3"/>
    </row>
    <row r="2119" spans="2:19" x14ac:dyDescent="0.5">
      <c r="B2119" s="5" t="str">
        <f t="shared" si="2239"/>
        <v>SPS1</v>
      </c>
      <c r="C2119" s="5" t="str">
        <f t="shared" si="2240"/>
        <v>CH</v>
      </c>
      <c r="D2119" t="s">
        <v>2248</v>
      </c>
      <c r="E2119" t="str">
        <f t="shared" si="2241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1.37811314613645E-4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7.26390351848831E-2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0.17269522855085601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0.81745006363809902</v>
      </c>
      <c r="J2119" s="1" cm="1">
        <f t="array" ref="J2119">SUMPRODUCT(("var_ncap"=[1]OUT_TransportEnergyCons!$B$4:$B$10000)*1,("-"=[1]OUT_TransportEnergyCons!$C$4:$C$10000)*1,ISNUMBER(SEARCH("T_C*bat*s4",[1]OUT_TransportEnergyCons!$A$4:$A$10000))*1,[1]OUT_TransportEnergyCons!H$4:H$10000)</f>
        <v>0.87650466454385401</v>
      </c>
      <c r="K2119" s="1" cm="1">
        <f t="array" ref="K2119">SUMPRODUCT(("var_ncap"=[1]OUT_TransportEnergyCons!$B$4:$B$10000)*1,("-"=[1]OUT_TransportEnergyCons!$C$4:$C$10000)*1,ISNUMBER(SEARCH("T_C*bat*s4",[1]OUT_TransportEnergyCons!$A$4:$A$10000))*1,[1]OUT_TransportEnergyCons!I$4:I$10000)</f>
        <v>0.81136642808404702</v>
      </c>
      <c r="L2119" s="1" cm="1">
        <f t="array" ref="L2119">SUMPRODUCT(("var_ncap"=[1]OUT_TransportEnergyCons!$B$4:$B$10000)*1,("-"=[1]OUT_TransportEnergyCons!$C$4:$C$10000)*1,ISNUMBER(SEARCH("T_C*bat*s4",[1]OUT_TransportEnergyCons!$A$4:$A$10000))*1,[1]OUT_TransportEnergyCons!J$4:J$10000)</f>
        <v>0.963097975444419</v>
      </c>
      <c r="M2119" s="1" cm="1">
        <f t="array" ref="M2119">SUMPRODUCT(("var_ncap"=[1]OUT_TransportEnergyCons!$B$4:$B$10000)*1,("-"=[1]OUT_TransportEnergyCons!$C$4:$C$10000)*1,ISNUMBER(SEARCH("T_C*bat*s4",[1]OUT_TransportEnergyCons!$A$4:$A$10000))*1,[1]OUT_TransportEnergyCons!K$4:K$10000)</f>
        <v>0.97994232243162704</v>
      </c>
      <c r="N2119" s="1" cm="1">
        <f t="array" ref="N2119">SUMPRODUCT(("var_ncap"=[1]OUT_TransportEnergyCons!$B$4:$B$10000)*1,("-"=[1]OUT_TransportEnergyCons!$C$4:$C$10000)*1,ISNUMBER(SEARCH("T_C*bat*s4",[1]OUT_TransportEnergyCons!$A$4:$A$10000))*1,[1]OUT_TransportEnergyCons!L$4:L$10000)</f>
        <v>0.984032434656957</v>
      </c>
      <c r="O2119" s="1" cm="1">
        <f t="array" ref="O2119">SUMPRODUCT(("var_ncap"=[1]OUT_TransportEnergyCons!$B$4:$B$10000)*1,("-"=[1]OUT_TransportEnergyCons!$C$4:$C$10000)*1,ISNUMBER(SEARCH("T_C*bat*s4",[1]OUT_TransportEnergyCons!$A$4:$A$10000))*1,[1]OUT_TransportEnergyCons!M$4:M$10000)</f>
        <v>0.56901618938526399</v>
      </c>
      <c r="P2119" s="1" cm="1">
        <f t="array" ref="P2119">SUMPRODUCT(("var_ncap"=[1]OUT_TransportEnergyCons!$B$4:$B$10000)*1,("-"=[1]OUT_TransportEnergyCons!$C$4:$C$10000)*1,ISNUMBER(SEARCH("T_C*bat*s4",[1]OUT_TransportEnergyCons!$A$4:$A$10000))*1,[1]OUT_TransportEnergyCons!N$4:N$10000)</f>
        <v>7.0334967392519293E-2</v>
      </c>
      <c r="Q2119" s="1" cm="1">
        <f t="array" ref="Q2119">SUMPRODUCT(("var_ncap"=[1]OUT_TransportEnergyCons!$B$4:$B$10000)*1,("-"=[1]OUT_TransportEnergyCons!$C$4:$C$10000)*1,ISNUMBER(SEARCH("T_C*bat*s4",[1]OUT_TransportEnergyCons!$A$4:$A$10000))*1,[1]OUT_TransportEnergyCons!O$4:O$10000)</f>
        <v>1.2841922147411999</v>
      </c>
      <c r="S2119" s="3"/>
    </row>
    <row r="2120" spans="2:19" x14ac:dyDescent="0.5">
      <c r="B2120" s="5" t="str">
        <f t="shared" si="2239"/>
        <v>SPS1</v>
      </c>
      <c r="C2120" s="5" t="str">
        <f t="shared" si="2240"/>
        <v>CH</v>
      </c>
      <c r="D2120" t="s">
        <v>2249</v>
      </c>
      <c r="E2120" t="str">
        <f t="shared" si="2241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1.4805376831979899E-5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1.6549599125862901E-5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1.7029238252842401E-5</v>
      </c>
      <c r="J2120" s="1" cm="1">
        <f t="array" ref="J2120">SUMPRODUCT(("var_ncap"=[1]OUT_TransportEnergyCons!$B$4:$B$10000)*1,("-"=[1]OUT_TransportEnergyCons!$C$4:$C$10000)*1,ISNUMBER(SEARCH("T_C*pev*GSL*s1",[1]OUT_TransportEnergyCons!$A$4:$A$10000))*1,[1]OUT_TransportEnergyCons!H$4:H$10000)</f>
        <v>2.07867128637804E-5</v>
      </c>
      <c r="K2120" s="1" cm="1">
        <f t="array" ref="K2120">SUMPRODUCT(("var_ncap"=[1]OUT_TransportEnergyCons!$B$4:$B$10000)*1,("-"=[1]OUT_TransportEnergyCons!$C$4:$C$10000)*1,ISNUMBER(SEARCH("T_C*pev*GSL*s1",[1]OUT_TransportEnergyCons!$A$4:$A$10000))*1,[1]OUT_TransportEnergyCons!I$4:I$10000)</f>
        <v>0</v>
      </c>
      <c r="L2120" s="1" cm="1">
        <f t="array" ref="L2120">SUMPRODUCT(("var_ncap"=[1]OUT_TransportEnergyCons!$B$4:$B$10000)*1,("-"=[1]OUT_TransportEnergyCons!$C$4:$C$10000)*1,ISNUMBER(SEARCH("T_C*pev*GSL*s1",[1]OUT_TransportEnergyCons!$A$4:$A$10000))*1,[1]OUT_TransportEnergyCons!J$4:J$10000)</f>
        <v>1.41352846027734E-5</v>
      </c>
      <c r="M2120" s="1" cm="1">
        <f t="array" ref="M2120">SUMPRODUCT(("var_ncap"=[1]OUT_TransportEnergyCons!$B$4:$B$10000)*1,("-"=[1]OUT_TransportEnergyCons!$C$4:$C$10000)*1,ISNUMBER(SEARCH("T_C*pev*GSL*s1",[1]OUT_TransportEnergyCons!$A$4:$A$10000))*1,[1]OUT_TransportEnergyCons!K$4:K$10000)</f>
        <v>0</v>
      </c>
      <c r="N2120" s="1" cm="1">
        <f t="array" ref="N2120">SUMPRODUCT(("var_ncap"=[1]OUT_TransportEnergyCons!$B$4:$B$10000)*1,("-"=[1]OUT_TransportEnergyCons!$C$4:$C$10000)*1,ISNUMBER(SEARCH("T_C*pev*GSL*s1",[1]OUT_TransportEnergyCons!$A$4:$A$10000))*1,[1]OUT_TransportEnergyCons!L$4:L$10000)</f>
        <v>9.2165720063992694E-5</v>
      </c>
      <c r="O2120" s="1" cm="1">
        <f t="array" ref="O2120">SUMPRODUCT(("var_ncap"=[1]OUT_TransportEnergyCons!$B$4:$B$10000)*1,("-"=[1]OUT_TransportEnergyCons!$C$4:$C$10000)*1,ISNUMBER(SEARCH("T_C*pev*GSL*s1",[1]OUT_TransportEnergyCons!$A$4:$A$10000))*1,[1]OUT_TransportEnergyCons!M$4:M$10000)</f>
        <v>8.3669201095237198E-5</v>
      </c>
      <c r="P2120" s="1" cm="1">
        <f t="array" ref="P2120">SUMPRODUCT(("var_ncap"=[1]OUT_TransportEnergyCons!$B$4:$B$10000)*1,("-"=[1]OUT_TransportEnergyCons!$C$4:$C$10000)*1,ISNUMBER(SEARCH("T_C*pev*GSL*s1",[1]OUT_TransportEnergyCons!$A$4:$A$10000))*1,[1]OUT_TransportEnergyCons!N$4:N$10000)</f>
        <v>7.2477827305543195E-5</v>
      </c>
      <c r="Q2120" s="1" cm="1">
        <f t="array" ref="Q2120">SUMPRODUCT(("var_ncap"=[1]OUT_TransportEnergyCons!$B$4:$B$10000)*1,("-"=[1]OUT_TransportEnergyCons!$C$4:$C$10000)*1,ISNUMBER(SEARCH("T_C*pev*GSL*s1",[1]OUT_TransportEnergyCons!$A$4:$A$10000))*1,[1]OUT_TransportEnergyCons!O$4:O$10000)</f>
        <v>1.2352081247154901E-4</v>
      </c>
      <c r="S2120" s="3"/>
    </row>
    <row r="2121" spans="2:19" x14ac:dyDescent="0.5">
      <c r="B2121" s="5" t="str">
        <f t="shared" si="2239"/>
        <v>SPS1</v>
      </c>
      <c r="C2121" s="5" t="str">
        <f t="shared" si="2240"/>
        <v>CH</v>
      </c>
      <c r="D2121" t="s">
        <v>2250</v>
      </c>
      <c r="E2121" t="str">
        <f t="shared" si="2241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8.8748108942577403E-6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2.7957381500107401E-5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6.1170295606765397E-5</v>
      </c>
      <c r="J2121" s="1" cm="1">
        <f t="array" ref="J2121">SUMPRODUCT(("var_ncap"=[1]OUT_TransportEnergyCons!$B$4:$B$10000)*1,("-"=[1]OUT_TransportEnergyCons!$C$4:$C$10000)*1,ISNUMBER(SEARCH("T_C*pev*GSL*s2",[1]OUT_TransportEnergyCons!$A$4:$A$10000))*1,[1]OUT_TransportEnergyCons!H$4:H$10000)</f>
        <v>3.37854985502235E-5</v>
      </c>
      <c r="K2121" s="1" cm="1">
        <f t="array" ref="K2121">SUMPRODUCT(("var_ncap"=[1]OUT_TransportEnergyCons!$B$4:$B$10000)*1,("-"=[1]OUT_TransportEnergyCons!$C$4:$C$10000)*1,ISNUMBER(SEARCH("T_C*pev*GSL*s2",[1]OUT_TransportEnergyCons!$A$4:$A$10000))*1,[1]OUT_TransportEnergyCons!I$4:I$10000)</f>
        <v>0</v>
      </c>
      <c r="L2121" s="1" cm="1">
        <f t="array" ref="L2121">SUMPRODUCT(("var_ncap"=[1]OUT_TransportEnergyCons!$B$4:$B$10000)*1,("-"=[1]OUT_TransportEnergyCons!$C$4:$C$10000)*1,ISNUMBER(SEARCH("T_C*pev*GSL*s2",[1]OUT_TransportEnergyCons!$A$4:$A$10000))*1,[1]OUT_TransportEnergyCons!J$4:J$10000)</f>
        <v>3.81970459921255E-5</v>
      </c>
      <c r="M2121" s="1" cm="1">
        <f t="array" ref="M2121">SUMPRODUCT(("var_ncap"=[1]OUT_TransportEnergyCons!$B$4:$B$10000)*1,("-"=[1]OUT_TransportEnergyCons!$C$4:$C$10000)*1,ISNUMBER(SEARCH("T_C*pev*GSL*s2",[1]OUT_TransportEnergyCons!$A$4:$A$10000))*1,[1]OUT_TransportEnergyCons!K$4:K$10000)</f>
        <v>0</v>
      </c>
      <c r="N2121" s="1" cm="1">
        <f t="array" ref="N2121">SUMPRODUCT(("var_ncap"=[1]OUT_TransportEnergyCons!$B$4:$B$10000)*1,("-"=[1]OUT_TransportEnergyCons!$C$4:$C$10000)*1,ISNUMBER(SEARCH("T_C*pev*GSL*s2",[1]OUT_TransportEnergyCons!$A$4:$A$10000))*1,[1]OUT_TransportEnergyCons!L$4:L$10000)</f>
        <v>2.4166092151951601E-4</v>
      </c>
      <c r="O2121" s="1" cm="1">
        <f t="array" ref="O2121">SUMPRODUCT(("var_ncap"=[1]OUT_TransportEnergyCons!$B$4:$B$10000)*1,("-"=[1]OUT_TransportEnergyCons!$C$4:$C$10000)*1,ISNUMBER(SEARCH("T_C*pev*GSL*s2",[1]OUT_TransportEnergyCons!$A$4:$A$10000))*1,[1]OUT_TransportEnergyCons!M$4:M$10000)</f>
        <v>3.5499045238007703E-5</v>
      </c>
      <c r="P2121" s="1" cm="1">
        <f t="array" ref="P2121">SUMPRODUCT(("var_ncap"=[1]OUT_TransportEnergyCons!$B$4:$B$10000)*1,("-"=[1]OUT_TransportEnergyCons!$C$4:$C$10000)*1,ISNUMBER(SEARCH("T_C*pev*GSL*s2",[1]OUT_TransportEnergyCons!$A$4:$A$10000))*1,[1]OUT_TransportEnergyCons!N$4:N$10000)</f>
        <v>2.9855112549191E-5</v>
      </c>
      <c r="Q2121" s="1" cm="1">
        <f t="array" ref="Q2121">SUMPRODUCT(("var_ncap"=[1]OUT_TransportEnergyCons!$B$4:$B$10000)*1,("-"=[1]OUT_TransportEnergyCons!$C$4:$C$10000)*1,ISNUMBER(SEARCH("T_C*pev*GSL*s2",[1]OUT_TransportEnergyCons!$A$4:$A$10000))*1,[1]OUT_TransportEnergyCons!O$4:O$10000)</f>
        <v>5.2453234705028498E-5</v>
      </c>
      <c r="S2121" s="3"/>
    </row>
    <row r="2122" spans="2:19" x14ac:dyDescent="0.5">
      <c r="B2122" s="5" t="str">
        <f t="shared" si="2239"/>
        <v>SPS1</v>
      </c>
      <c r="C2122" s="5" t="str">
        <f t="shared" si="2240"/>
        <v>CH</v>
      </c>
      <c r="D2122" t="s">
        <v>2251</v>
      </c>
      <c r="E2122" t="str">
        <f t="shared" si="2241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9.5369721854708306E-5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7.3686126157095105E-2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0.18402797161423101</v>
      </c>
      <c r="J2122" s="1" cm="1">
        <f t="array" ref="J2122">SUMPRODUCT(("var_ncap"=[1]OUT_TransportEnergyCons!$B$4:$B$10000)*1,("-"=[1]OUT_TransportEnergyCons!$C$4:$C$10000)*1,ISNUMBER(SEARCH("T_C*pev*GSL*s3",[1]OUT_TransportEnergyCons!$A$4:$A$10000))*1,[1]OUT_TransportEnergyCons!H$4:H$10000)</f>
        <v>0.47841823909469</v>
      </c>
      <c r="K2122" s="1" cm="1">
        <f t="array" ref="K2122">SUMPRODUCT(("var_ncap"=[1]OUT_TransportEnergyCons!$B$4:$B$10000)*1,("-"=[1]OUT_TransportEnergyCons!$C$4:$C$10000)*1,ISNUMBER(SEARCH("T_C*pev*GSL*s3",[1]OUT_TransportEnergyCons!$A$4:$A$10000))*1,[1]OUT_TransportEnergyCons!I$4:I$10000)</f>
        <v>0</v>
      </c>
      <c r="L2122" s="1" cm="1">
        <f t="array" ref="L2122">SUMPRODUCT(("var_ncap"=[1]OUT_TransportEnergyCons!$B$4:$B$10000)*1,("-"=[1]OUT_TransportEnergyCons!$C$4:$C$10000)*1,ISNUMBER(SEARCH("T_C*pev*GSL*s3",[1]OUT_TransportEnergyCons!$A$4:$A$10000))*1,[1]OUT_TransportEnergyCons!J$4:J$10000)</f>
        <v>0.223755609987207</v>
      </c>
      <c r="M2122" s="1" cm="1">
        <f t="array" ref="M2122">SUMPRODUCT(("var_ncap"=[1]OUT_TransportEnergyCons!$B$4:$B$10000)*1,("-"=[1]OUT_TransportEnergyCons!$C$4:$C$10000)*1,ISNUMBER(SEARCH("T_C*pev*GSL*s3",[1]OUT_TransportEnergyCons!$A$4:$A$10000))*1,[1]OUT_TransportEnergyCons!K$4:K$10000)</f>
        <v>0</v>
      </c>
      <c r="N2122" s="1" cm="1">
        <f t="array" ref="N2122">SUMPRODUCT(("var_ncap"=[1]OUT_TransportEnergyCons!$B$4:$B$10000)*1,("-"=[1]OUT_TransportEnergyCons!$C$4:$C$10000)*1,ISNUMBER(SEARCH("T_C*pev*GSL*s3",[1]OUT_TransportEnergyCons!$A$4:$A$10000))*1,[1]OUT_TransportEnergyCons!L$4:L$10000)</f>
        <v>3.26483046228198E-4</v>
      </c>
      <c r="O2122" s="1" cm="1">
        <f t="array" ref="O2122">SUMPRODUCT(("var_ncap"=[1]OUT_TransportEnergyCons!$B$4:$B$10000)*1,("-"=[1]OUT_TransportEnergyCons!$C$4:$C$10000)*1,ISNUMBER(SEARCH("T_C*pev*GSL*s3",[1]OUT_TransportEnergyCons!$A$4:$A$10000))*1,[1]OUT_TransportEnergyCons!M$4:M$10000)</f>
        <v>7.8445666404619501E-5</v>
      </c>
      <c r="P2122" s="1" cm="1">
        <f t="array" ref="P2122">SUMPRODUCT(("var_ncap"=[1]OUT_TransportEnergyCons!$B$4:$B$10000)*1,("-"=[1]OUT_TransportEnergyCons!$C$4:$C$10000)*1,ISNUMBER(SEARCH("T_C*pev*GSL*s3",[1]OUT_TransportEnergyCons!$A$4:$A$10000))*1,[1]OUT_TransportEnergyCons!N$4:N$10000)</f>
        <v>6.5591132926545004E-5</v>
      </c>
      <c r="Q2122" s="1" cm="1">
        <f t="array" ref="Q2122">SUMPRODUCT(("var_ncap"=[1]OUT_TransportEnergyCons!$B$4:$B$10000)*1,("-"=[1]OUT_TransportEnergyCons!$C$4:$C$10000)*1,ISNUMBER(SEARCH("T_C*pev*GSL*s3",[1]OUT_TransportEnergyCons!$A$4:$A$10000))*1,[1]OUT_TransportEnergyCons!O$4:O$10000)</f>
        <v>5.9758842949059302E-5</v>
      </c>
      <c r="S2122" s="3"/>
    </row>
    <row r="2123" spans="2:19" x14ac:dyDescent="0.5">
      <c r="B2123" s="5" t="str">
        <f t="shared" si="2239"/>
        <v>SPS1</v>
      </c>
      <c r="C2123" s="5" t="str">
        <f t="shared" si="2240"/>
        <v>CH</v>
      </c>
      <c r="D2123" t="s">
        <v>2252</v>
      </c>
      <c r="E2123" t="str">
        <f t="shared" si="2241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3.1847363497536103E-5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4.7001170596477997E-5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1.5036346732276199E-4</v>
      </c>
      <c r="J2123" s="1" cm="1">
        <f t="array" ref="J2123">SUMPRODUCT(("var_ncap"=[1]OUT_TransportEnergyCons!$B$4:$B$10000)*1,("-"=[1]OUT_TransportEnergyCons!$C$4:$C$10000)*1,ISNUMBER(SEARCH("T_C*pev*GSL*s4",[1]OUT_TransportEnergyCons!$A$4:$A$10000))*1,[1]OUT_TransportEnergyCons!H$4:H$10000)</f>
        <v>5.7859143553880198E-5</v>
      </c>
      <c r="K2123" s="1" cm="1">
        <f t="array" ref="K2123">SUMPRODUCT(("var_ncap"=[1]OUT_TransportEnergyCons!$B$4:$B$10000)*1,("-"=[1]OUT_TransportEnergyCons!$C$4:$C$10000)*1,ISNUMBER(SEARCH("T_C*pev*GSL*s4",[1]OUT_TransportEnergyCons!$A$4:$A$10000))*1,[1]OUT_TransportEnergyCons!I$4:I$10000)</f>
        <v>0</v>
      </c>
      <c r="L2123" s="1" cm="1">
        <f t="array" ref="L2123">SUMPRODUCT(("var_ncap"=[1]OUT_TransportEnergyCons!$B$4:$B$10000)*1,("-"=[1]OUT_TransportEnergyCons!$C$4:$C$10000)*1,ISNUMBER(SEARCH("T_C*pev*GSL*s4",[1]OUT_TransportEnergyCons!$A$4:$A$10000))*1,[1]OUT_TransportEnergyCons!J$4:J$10000)</f>
        <v>5.0812500887052098E-5</v>
      </c>
      <c r="M2123" s="1" cm="1">
        <f t="array" ref="M2123">SUMPRODUCT(("var_ncap"=[1]OUT_TransportEnergyCons!$B$4:$B$10000)*1,("-"=[1]OUT_TransportEnergyCons!$C$4:$C$10000)*1,ISNUMBER(SEARCH("T_C*pev*GSL*s4",[1]OUT_TransportEnergyCons!$A$4:$A$10000))*1,[1]OUT_TransportEnergyCons!K$4:K$10000)</f>
        <v>0</v>
      </c>
      <c r="N2123" s="1" cm="1">
        <f t="array" ref="N2123">SUMPRODUCT(("var_ncap"=[1]OUT_TransportEnergyCons!$B$4:$B$10000)*1,("-"=[1]OUT_TransportEnergyCons!$C$4:$C$10000)*1,ISNUMBER(SEARCH("T_C*pev*GSL*s4",[1]OUT_TransportEnergyCons!$A$4:$A$10000))*1,[1]OUT_TransportEnergyCons!L$4:L$10000)</f>
        <v>0.107400276134041</v>
      </c>
      <c r="O2123" s="1" cm="1">
        <f t="array" ref="O2123">SUMPRODUCT(("var_ncap"=[1]OUT_TransportEnergyCons!$B$4:$B$10000)*1,("-"=[1]OUT_TransportEnergyCons!$C$4:$C$10000)*1,ISNUMBER(SEARCH("T_C*pev*GSL*s4",[1]OUT_TransportEnergyCons!$A$4:$A$10000))*1,[1]OUT_TransportEnergyCons!M$4:M$10000)</f>
        <v>0.17179738346783599</v>
      </c>
      <c r="P2123" s="1" cm="1">
        <f t="array" ref="P2123">SUMPRODUCT(("var_ncap"=[1]OUT_TransportEnergyCons!$B$4:$B$10000)*1,("-"=[1]OUT_TransportEnergyCons!$C$4:$C$10000)*1,ISNUMBER(SEARCH("T_C*pev*GSL*s4",[1]OUT_TransportEnergyCons!$A$4:$A$10000))*1,[1]OUT_TransportEnergyCons!N$4:N$10000)</f>
        <v>2.32302460452243E-2</v>
      </c>
      <c r="Q2123" s="1" cm="1">
        <f t="array" ref="Q2123">SUMPRODUCT(("var_ncap"=[1]OUT_TransportEnergyCons!$B$4:$B$10000)*1,("-"=[1]OUT_TransportEnergyCons!$C$4:$C$10000)*1,ISNUMBER(SEARCH("T_C*pev*GSL*s4",[1]OUT_TransportEnergyCons!$A$4:$A$10000))*1,[1]OUT_TransportEnergyCons!O$4:O$10000)</f>
        <v>3.3559326902669502E-2</v>
      </c>
      <c r="S2123" s="3"/>
    </row>
    <row r="2124" spans="2:19" x14ac:dyDescent="0.5">
      <c r="B2124" s="5" t="str">
        <f t="shared" si="2239"/>
        <v>SPS1</v>
      </c>
      <c r="C2124" s="5" t="str">
        <f t="shared" si="2240"/>
        <v>CH</v>
      </c>
      <c r="D2124" t="s">
        <v>2253</v>
      </c>
      <c r="E2124" t="str">
        <f t="shared" si="2241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1.8079829899994701E-5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1.8103854633362299E-5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2.5750461205710801E-5</v>
      </c>
      <c r="J2124" s="1" cm="1">
        <f t="array" ref="J2124">SUMPRODUCT(("var_ncap"=[1]OUT_TransportEnergyCons!$B$4:$B$10000)*1,("-"=[1]OUT_TransportEnergyCons!$C$4:$C$10000)*1,ISNUMBER(SEARCH("T_C*pev*dsl*s1",[1]OUT_TransportEnergyCons!$A$4:$A$10000))*1,[1]OUT_TransportEnergyCons!H$4:H$10000)</f>
        <v>1.98725237980364E-5</v>
      </c>
      <c r="K2124" s="1" cm="1">
        <f t="array" ref="K2124">SUMPRODUCT(("var_ncap"=[1]OUT_TransportEnergyCons!$B$4:$B$10000)*1,("-"=[1]OUT_TransportEnergyCons!$C$4:$C$10000)*1,ISNUMBER(SEARCH("T_C*pev*dsl*s1",[1]OUT_TransportEnergyCons!$A$4:$A$10000))*1,[1]OUT_TransportEnergyCons!I$4:I$10000)</f>
        <v>0</v>
      </c>
      <c r="L2124" s="1" cm="1">
        <f t="array" ref="L2124">SUMPRODUCT(("var_ncap"=[1]OUT_TransportEnergyCons!$B$4:$B$10000)*1,("-"=[1]OUT_TransportEnergyCons!$C$4:$C$10000)*1,ISNUMBER(SEARCH("T_C*pev*dsl*s1",[1]OUT_TransportEnergyCons!$A$4:$A$10000))*1,[1]OUT_TransportEnergyCons!J$4:J$10000)</f>
        <v>1.0829450013224199E-4</v>
      </c>
      <c r="M2124" s="1" cm="1">
        <f t="array" ref="M2124">SUMPRODUCT(("var_ncap"=[1]OUT_TransportEnergyCons!$B$4:$B$10000)*1,("-"=[1]OUT_TransportEnergyCons!$C$4:$C$10000)*1,ISNUMBER(SEARCH("T_C*pev*dsl*s1",[1]OUT_TransportEnergyCons!$A$4:$A$10000))*1,[1]OUT_TransportEnergyCons!K$4:K$10000)</f>
        <v>0</v>
      </c>
      <c r="N2124" s="1" cm="1">
        <f t="array" ref="N2124">SUMPRODUCT(("var_ncap"=[1]OUT_TransportEnergyCons!$B$4:$B$10000)*1,("-"=[1]OUT_TransportEnergyCons!$C$4:$C$10000)*1,ISNUMBER(SEARCH("T_C*pev*dsl*s1",[1]OUT_TransportEnergyCons!$A$4:$A$10000))*1,[1]OUT_TransportEnergyCons!L$4:L$10000)</f>
        <v>3.20012761007917E-4</v>
      </c>
      <c r="O2124" s="1" cm="1">
        <f t="array" ref="O2124">SUMPRODUCT(("var_ncap"=[1]OUT_TransportEnergyCons!$B$4:$B$10000)*1,("-"=[1]OUT_TransportEnergyCons!$C$4:$C$10000)*1,ISNUMBER(SEARCH("T_C*pev*dsl*s1",[1]OUT_TransportEnergyCons!$A$4:$A$10000))*1,[1]OUT_TransportEnergyCons!M$4:M$10000)</f>
        <v>3.5321045813524199E-6</v>
      </c>
      <c r="P2124" s="1" cm="1">
        <f t="array" ref="P2124">SUMPRODUCT(("var_ncap"=[1]OUT_TransportEnergyCons!$B$4:$B$10000)*1,("-"=[1]OUT_TransportEnergyCons!$C$4:$C$10000)*1,ISNUMBER(SEARCH("T_C*pev*dsl*s1",[1]OUT_TransportEnergyCons!$A$4:$A$10000))*1,[1]OUT_TransportEnergyCons!N$4:N$10000)</f>
        <v>3.1418067872327501E-6</v>
      </c>
      <c r="Q2124" s="1" cm="1">
        <f t="array" ref="Q2124">SUMPRODUCT(("var_ncap"=[1]OUT_TransportEnergyCons!$B$4:$B$10000)*1,("-"=[1]OUT_TransportEnergyCons!$C$4:$C$10000)*1,ISNUMBER(SEARCH("T_C*pev*dsl*s1",[1]OUT_TransportEnergyCons!$A$4:$A$10000))*1,[1]OUT_TransportEnergyCons!O$4:O$10000)</f>
        <v>4.4342624933174801E-6</v>
      </c>
      <c r="S2124" s="3"/>
    </row>
    <row r="2125" spans="2:19" x14ac:dyDescent="0.5">
      <c r="B2125" s="5" t="str">
        <f t="shared" si="2239"/>
        <v>SPS1</v>
      </c>
      <c r="C2125" s="5" t="str">
        <f t="shared" si="2240"/>
        <v>CH</v>
      </c>
      <c r="D2125" t="s">
        <v>2254</v>
      </c>
      <c r="E2125" t="str">
        <f t="shared" si="2241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1.2782308785193099E-5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3.4772446835077997E-5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1.17553081911916E-4</v>
      </c>
      <c r="J2125" s="1" cm="1">
        <f t="array" ref="J2125">SUMPRODUCT(("var_ncap"=[1]OUT_TransportEnergyCons!$B$4:$B$10000)*1,("-"=[1]OUT_TransportEnergyCons!$C$4:$C$10000)*1,ISNUMBER(SEARCH("T_C*pev*dsl*s2",[1]OUT_TransportEnergyCons!$A$4:$A$10000))*1,[1]OUT_TransportEnergyCons!H$4:H$10000)</f>
        <v>3.44805623139964E-5</v>
      </c>
      <c r="K2125" s="1" cm="1">
        <f t="array" ref="K2125">SUMPRODUCT(("var_ncap"=[1]OUT_TransportEnergyCons!$B$4:$B$10000)*1,("-"=[1]OUT_TransportEnergyCons!$C$4:$C$10000)*1,ISNUMBER(SEARCH("T_C*pev*dsl*s2",[1]OUT_TransportEnergyCons!$A$4:$A$10000))*1,[1]OUT_TransportEnergyCons!I$4:I$10000)</f>
        <v>0</v>
      </c>
      <c r="L2125" s="1" cm="1">
        <f t="array" ref="L2125">SUMPRODUCT(("var_ncap"=[1]OUT_TransportEnergyCons!$B$4:$B$10000)*1,("-"=[1]OUT_TransportEnergyCons!$C$4:$C$10000)*1,ISNUMBER(SEARCH("T_C*pev*dsl*s2",[1]OUT_TransportEnergyCons!$A$4:$A$10000))*1,[1]OUT_TransportEnergyCons!J$4:J$10000)</f>
        <v>3.92007060272488E-4</v>
      </c>
      <c r="M2125" s="1" cm="1">
        <f t="array" ref="M2125">SUMPRODUCT(("var_ncap"=[1]OUT_TransportEnergyCons!$B$4:$B$10000)*1,("-"=[1]OUT_TransportEnergyCons!$C$4:$C$10000)*1,ISNUMBER(SEARCH("T_C*pev*dsl*s2",[1]OUT_TransportEnergyCons!$A$4:$A$10000))*1,[1]OUT_TransportEnergyCons!K$4:K$10000)</f>
        <v>0</v>
      </c>
      <c r="N2125" s="1" cm="1">
        <f t="array" ref="N2125">SUMPRODUCT(("var_ncap"=[1]OUT_TransportEnergyCons!$B$4:$B$10000)*1,("-"=[1]OUT_TransportEnergyCons!$C$4:$C$10000)*1,ISNUMBER(SEARCH("T_C*pev*dsl*s2",[1]OUT_TransportEnergyCons!$A$4:$A$10000))*1,[1]OUT_TransportEnergyCons!L$4:L$10000)</f>
        <v>1.7321051228548099E-5</v>
      </c>
      <c r="O2125" s="1" cm="1">
        <f t="array" ref="O2125">SUMPRODUCT(("var_ncap"=[1]OUT_TransportEnergyCons!$B$4:$B$10000)*1,("-"=[1]OUT_TransportEnergyCons!$C$4:$C$10000)*1,ISNUMBER(SEARCH("T_C*pev*dsl*s2",[1]OUT_TransportEnergyCons!$A$4:$A$10000))*1,[1]OUT_TransportEnergyCons!M$4:M$10000)</f>
        <v>3.6317475386766198E-6</v>
      </c>
      <c r="P2125" s="1" cm="1">
        <f t="array" ref="P2125">SUMPRODUCT(("var_ncap"=[1]OUT_TransportEnergyCons!$B$4:$B$10000)*1,("-"=[1]OUT_TransportEnergyCons!$C$4:$C$10000)*1,ISNUMBER(SEARCH("T_C*pev*dsl*s2",[1]OUT_TransportEnergyCons!$A$4:$A$10000))*1,[1]OUT_TransportEnergyCons!N$4:N$10000)</f>
        <v>3.10196005686323E-6</v>
      </c>
      <c r="Q2125" s="1" cm="1">
        <f t="array" ref="Q2125">SUMPRODUCT(("var_ncap"=[1]OUT_TransportEnergyCons!$B$4:$B$10000)*1,("-"=[1]OUT_TransportEnergyCons!$C$4:$C$10000)*1,ISNUMBER(SEARCH("T_C*pev*dsl*s2",[1]OUT_TransportEnergyCons!$A$4:$A$10000))*1,[1]OUT_TransportEnergyCons!O$4:O$10000)</f>
        <v>4.7634125350337003E-6</v>
      </c>
      <c r="S2125" s="3"/>
    </row>
    <row r="2126" spans="2:19" x14ac:dyDescent="0.5">
      <c r="B2126" s="5" t="str">
        <f t="shared" si="2239"/>
        <v>SPS1</v>
      </c>
      <c r="C2126" s="5" t="str">
        <f t="shared" si="2240"/>
        <v>CH</v>
      </c>
      <c r="D2126" t="s">
        <v>2255</v>
      </c>
      <c r="E2126" t="str">
        <f t="shared" si="2241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3.3124176158744099E-2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3.74472809439058E-2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0.33990616349473601</v>
      </c>
      <c r="J2126" s="1" cm="1">
        <f t="array" ref="J2126">SUMPRODUCT(("var_ncap"=[1]OUT_TransportEnergyCons!$B$4:$B$10000)*1,("-"=[1]OUT_TransportEnergyCons!$C$4:$C$10000)*1,ISNUMBER(SEARCH("T_C*pev*dsl*s3",[1]OUT_TransportEnergyCons!$A$4:$A$10000))*1,[1]OUT_TransportEnergyCons!H$4:H$10000)</f>
        <v>0.23929731082458799</v>
      </c>
      <c r="K2126" s="1" cm="1">
        <f t="array" ref="K2126">SUMPRODUCT(("var_ncap"=[1]OUT_TransportEnergyCons!$B$4:$B$10000)*1,("-"=[1]OUT_TransportEnergyCons!$C$4:$C$10000)*1,ISNUMBER(SEARCH("T_C*pev*dsl*s3",[1]OUT_TransportEnergyCons!$A$4:$A$10000))*1,[1]OUT_TransportEnergyCons!I$4:I$10000)</f>
        <v>0</v>
      </c>
      <c r="L2126" s="1" cm="1">
        <f t="array" ref="L2126">SUMPRODUCT(("var_ncap"=[1]OUT_TransportEnergyCons!$B$4:$B$10000)*1,("-"=[1]OUT_TransportEnergyCons!$C$4:$C$10000)*1,ISNUMBER(SEARCH("T_C*pev*dsl*s3",[1]OUT_TransportEnergyCons!$A$4:$A$10000))*1,[1]OUT_TransportEnergyCons!J$4:J$10000)</f>
        <v>0.22205648252133001</v>
      </c>
      <c r="M2126" s="1" cm="1">
        <f t="array" ref="M2126">SUMPRODUCT(("var_ncap"=[1]OUT_TransportEnergyCons!$B$4:$B$10000)*1,("-"=[1]OUT_TransportEnergyCons!$C$4:$C$10000)*1,ISNUMBER(SEARCH("T_C*pev*dsl*s3",[1]OUT_TransportEnergyCons!$A$4:$A$10000))*1,[1]OUT_TransportEnergyCons!K$4:K$10000)</f>
        <v>0</v>
      </c>
      <c r="N2126" s="1" cm="1">
        <f t="array" ref="N2126">SUMPRODUCT(("var_ncap"=[1]OUT_TransportEnergyCons!$B$4:$B$10000)*1,("-"=[1]OUT_TransportEnergyCons!$C$4:$C$10000)*1,ISNUMBER(SEARCH("T_C*pev*dsl*s3",[1]OUT_TransportEnergyCons!$A$4:$A$10000))*1,[1]OUT_TransportEnergyCons!L$4:L$10000)</f>
        <v>2.1197202560059299E-5</v>
      </c>
      <c r="O2126" s="1" cm="1">
        <f t="array" ref="O2126">SUMPRODUCT(("var_ncap"=[1]OUT_TransportEnergyCons!$B$4:$B$10000)*1,("-"=[1]OUT_TransportEnergyCons!$C$4:$C$10000)*1,ISNUMBER(SEARCH("T_C*pev*dsl*s3",[1]OUT_TransportEnergyCons!$A$4:$A$10000))*1,[1]OUT_TransportEnergyCons!M$4:M$10000)</f>
        <v>4.0914393972669102E-6</v>
      </c>
      <c r="P2126" s="1" cm="1">
        <f t="array" ref="P2126">SUMPRODUCT(("var_ncap"=[1]OUT_TransportEnergyCons!$B$4:$B$10000)*1,("-"=[1]OUT_TransportEnergyCons!$C$4:$C$10000)*1,ISNUMBER(SEARCH("T_C*pev*dsl*s3",[1]OUT_TransportEnergyCons!$A$4:$A$10000))*1,[1]OUT_TransportEnergyCons!N$4:N$10000)</f>
        <v>3.5315550139443498E-6</v>
      </c>
      <c r="Q2126" s="1" cm="1">
        <f t="array" ref="Q2126">SUMPRODUCT(("var_ncap"=[1]OUT_TransportEnergyCons!$B$4:$B$10000)*1,("-"=[1]OUT_TransportEnergyCons!$C$4:$C$10000)*1,ISNUMBER(SEARCH("T_C*pev*dsl*s3",[1]OUT_TransportEnergyCons!$A$4:$A$10000))*1,[1]OUT_TransportEnergyCons!O$4:O$10000)</f>
        <v>5.1746730714870702E-6</v>
      </c>
      <c r="S2126" s="3"/>
    </row>
    <row r="2127" spans="2:19" x14ac:dyDescent="0.5">
      <c r="B2127" s="5" t="str">
        <f t="shared" si="2239"/>
        <v>SPS1</v>
      </c>
      <c r="C2127" s="5" t="str">
        <f t="shared" si="2240"/>
        <v>CH</v>
      </c>
      <c r="D2127" t="s">
        <v>2256</v>
      </c>
      <c r="E2127" t="str">
        <f t="shared" si="2241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5.30714853732804E-5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5.2030349548473799E-5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2.0663167759301299E-3</v>
      </c>
      <c r="J2127" s="1" cm="1">
        <f t="array" ref="J2127">SUMPRODUCT(("var_ncap"=[1]OUT_TransportEnergyCons!$B$4:$B$10000)*1,("-"=[1]OUT_TransportEnergyCons!$C$4:$C$10000)*1,ISNUMBER(SEARCH("T_C*pev*dsl*s4",[1]OUT_TransportEnergyCons!$A$4:$A$10000))*1,[1]OUT_TransportEnergyCons!H$4:H$10000)</f>
        <v>5.6262722992323803E-5</v>
      </c>
      <c r="K2127" s="1" cm="1">
        <f t="array" ref="K2127">SUMPRODUCT(("var_ncap"=[1]OUT_TransportEnergyCons!$B$4:$B$10000)*1,("-"=[1]OUT_TransportEnergyCons!$C$4:$C$10000)*1,ISNUMBER(SEARCH("T_C*pev*dsl*s4",[1]OUT_TransportEnergyCons!$A$4:$A$10000))*1,[1]OUT_TransportEnergyCons!I$4:I$10000)</f>
        <v>0</v>
      </c>
      <c r="L2127" s="1" cm="1">
        <f t="array" ref="L2127">SUMPRODUCT(("var_ncap"=[1]OUT_TransportEnergyCons!$B$4:$B$10000)*1,("-"=[1]OUT_TransportEnergyCons!$C$4:$C$10000)*1,ISNUMBER(SEARCH("T_C*pev*dsl*s4",[1]OUT_TransportEnergyCons!$A$4:$A$10000))*1,[1]OUT_TransportEnergyCons!J$4:J$10000)</f>
        <v>7.78012536947484E-4</v>
      </c>
      <c r="M2127" s="1" cm="1">
        <f t="array" ref="M2127">SUMPRODUCT(("var_ncap"=[1]OUT_TransportEnergyCons!$B$4:$B$10000)*1,("-"=[1]OUT_TransportEnergyCons!$C$4:$C$10000)*1,ISNUMBER(SEARCH("T_C*pev*dsl*s4",[1]OUT_TransportEnergyCons!$A$4:$A$10000))*1,[1]OUT_TransportEnergyCons!K$4:K$10000)</f>
        <v>0</v>
      </c>
      <c r="N2127" s="1" cm="1">
        <f t="array" ref="N2127">SUMPRODUCT(("var_ncap"=[1]OUT_TransportEnergyCons!$B$4:$B$10000)*1,("-"=[1]OUT_TransportEnergyCons!$C$4:$C$10000)*1,ISNUMBER(SEARCH("T_C*pev*dsl*s4",[1]OUT_TransportEnergyCons!$A$4:$A$10000))*1,[1]OUT_TransportEnergyCons!L$4:L$10000)</f>
        <v>5.9533152578059197E-2</v>
      </c>
      <c r="O2127" s="1" cm="1">
        <f t="array" ref="O2127">SUMPRODUCT(("var_ncap"=[1]OUT_TransportEnergyCons!$B$4:$B$10000)*1,("-"=[1]OUT_TransportEnergyCons!$C$4:$C$10000)*1,ISNUMBER(SEARCH("T_C*pev*dsl*s4",[1]OUT_TransportEnergyCons!$A$4:$A$10000))*1,[1]OUT_TransportEnergyCons!M$4:M$10000)</f>
        <v>0.113282211301219</v>
      </c>
      <c r="P2127" s="1" cm="1">
        <f t="array" ref="P2127">SUMPRODUCT(("var_ncap"=[1]OUT_TransportEnergyCons!$B$4:$B$10000)*1,("-"=[1]OUT_TransportEnergyCons!$C$4:$C$10000)*1,ISNUMBER(SEARCH("T_C*pev*dsl*s4",[1]OUT_TransportEnergyCons!$A$4:$A$10000))*1,[1]OUT_TransportEnergyCons!N$4:N$10000)</f>
        <v>1.22804566013924E-2</v>
      </c>
      <c r="Q2127" s="1" cm="1">
        <f t="array" ref="Q2127">SUMPRODUCT(("var_ncap"=[1]OUT_TransportEnergyCons!$B$4:$B$10000)*1,("-"=[1]OUT_TransportEnergyCons!$C$4:$C$10000)*1,ISNUMBER(SEARCH("T_C*pev*dsl*s4",[1]OUT_TransportEnergyCons!$A$4:$A$10000))*1,[1]OUT_TransportEnergyCons!O$4:O$10000)</f>
        <v>3.4326852124607697E-2</v>
      </c>
      <c r="S2127" s="3"/>
    </row>
    <row r="2128" spans="2:19" x14ac:dyDescent="0.5">
      <c r="B2128" s="5" t="str">
        <f t="shared" si="2239"/>
        <v>SPS1</v>
      </c>
      <c r="C2128" s="5" t="str">
        <f t="shared" si="2240"/>
        <v>CH</v>
      </c>
      <c r="D2128" t="s">
        <v>2257</v>
      </c>
      <c r="E2128" t="str">
        <f t="shared" si="2241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9.8245384011798297E-7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4.2984177764987701E-7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7.2658163047008301E-8</v>
      </c>
      <c r="J2128" s="1" cm="1">
        <f t="array" ref="J2128">SUMPRODUCT(("var_ncap"=[1]OUT_TransportEnergyCons!$B$4:$B$10000)*1,("-"=[1]OUT_TransportEnergyCons!$C$4:$C$10000)*1,ISNUMBER(SEARCH("T_C*h2o*s1",[1]OUT_TransportEnergyCons!$A$4:$A$10000))*1,[1]OUT_TransportEnergyCons!H$4:H$10000)</f>
        <v>1.0044449265443E-7</v>
      </c>
      <c r="K2128" s="1" cm="1">
        <f t="array" ref="K2128">SUMPRODUCT(("var_ncap"=[1]OUT_TransportEnergyCons!$B$4:$B$10000)*1,("-"=[1]OUT_TransportEnergyCons!$C$4:$C$10000)*1,ISNUMBER(SEARCH("T_C*h2o*s1",[1]OUT_TransportEnergyCons!$A$4:$A$10000))*1,[1]OUT_TransportEnergyCons!I$4:I$10000)</f>
        <v>1.65158403480778E-7</v>
      </c>
      <c r="L2128" s="1" cm="1">
        <f t="array" ref="L2128">SUMPRODUCT(("var_ncap"=[1]OUT_TransportEnergyCons!$B$4:$B$10000)*1,("-"=[1]OUT_TransportEnergyCons!$C$4:$C$10000)*1,ISNUMBER(SEARCH("T_C*h2o*s1",[1]OUT_TransportEnergyCons!$A$4:$A$10000))*1,[1]OUT_TransportEnergyCons!J$4:J$10000)</f>
        <v>1.1526840987158799E-7</v>
      </c>
      <c r="M2128" s="1" cm="1">
        <f t="array" ref="M2128">SUMPRODUCT(("var_ncap"=[1]OUT_TransportEnergyCons!$B$4:$B$10000)*1,("-"=[1]OUT_TransportEnergyCons!$C$4:$C$10000)*1,ISNUMBER(SEARCH("T_C*h2o*s1",[1]OUT_TransportEnergyCons!$A$4:$A$10000))*1,[1]OUT_TransportEnergyCons!K$4:K$10000)</f>
        <v>1.02277806348376E-7</v>
      </c>
      <c r="N2128" s="1" cm="1">
        <f t="array" ref="N2128">SUMPRODUCT(("var_ncap"=[1]OUT_TransportEnergyCons!$B$4:$B$10000)*1,("-"=[1]OUT_TransportEnergyCons!$C$4:$C$10000)*1,ISNUMBER(SEARCH("T_C*h2o*s1",[1]OUT_TransportEnergyCons!$A$4:$A$10000))*1,[1]OUT_TransportEnergyCons!L$4:L$10000)</f>
        <v>7.6566393275901006E-8</v>
      </c>
      <c r="O2128" s="1" cm="1">
        <f t="array" ref="O2128">SUMPRODUCT(("var_ncap"=[1]OUT_TransportEnergyCons!$B$4:$B$10000)*1,("-"=[1]OUT_TransportEnergyCons!$C$4:$C$10000)*1,ISNUMBER(SEARCH("T_C*h2o*s1",[1]OUT_TransportEnergyCons!$A$4:$A$10000))*1,[1]OUT_TransportEnergyCons!M$4:M$10000)</f>
        <v>7.8603853252477999E-8</v>
      </c>
      <c r="P2128" s="1" cm="1">
        <f t="array" ref="P2128">SUMPRODUCT(("var_ncap"=[1]OUT_TransportEnergyCons!$B$4:$B$10000)*1,("-"=[1]OUT_TransportEnergyCons!$C$4:$C$10000)*1,ISNUMBER(SEARCH("T_C*h2o*s1",[1]OUT_TransportEnergyCons!$A$4:$A$10000))*1,[1]OUT_TransportEnergyCons!N$4:N$10000)</f>
        <v>5.5629478228821598E-8</v>
      </c>
      <c r="Q2128" s="1" cm="1">
        <f t="array" ref="Q2128">SUMPRODUCT(("var_ncap"=[1]OUT_TransportEnergyCons!$B$4:$B$10000)*1,("-"=[1]OUT_TransportEnergyCons!$C$4:$C$10000)*1,ISNUMBER(SEARCH("T_C*h2o*s1",[1]OUT_TransportEnergyCons!$A$4:$A$10000))*1,[1]OUT_TransportEnergyCons!O$4:O$10000)</f>
        <v>2.2255875921113199E-7</v>
      </c>
      <c r="S2128" s="3"/>
    </row>
    <row r="2129" spans="2:19" x14ac:dyDescent="0.5">
      <c r="B2129" s="5" t="str">
        <f t="shared" si="2239"/>
        <v>SPS1</v>
      </c>
      <c r="C2129" s="5" t="str">
        <f t="shared" si="2240"/>
        <v>CH</v>
      </c>
      <c r="D2129" t="s">
        <v>2258</v>
      </c>
      <c r="E2129" t="str">
        <f t="shared" si="2241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4.8350639275542804E-7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2.2512386307344901E-7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6.5118780972259302E-8</v>
      </c>
      <c r="J2129" s="1" cm="1">
        <f t="array" ref="J2129">SUMPRODUCT(("var_ncap"=[1]OUT_TransportEnergyCons!$B$4:$B$10000)*1,("-"=[1]OUT_TransportEnergyCons!$C$4:$C$10000)*1,ISNUMBER(SEARCH("T_C*h2o*s2",[1]OUT_TransportEnergyCons!$A$4:$A$10000))*1,[1]OUT_TransportEnergyCons!H$4:H$10000)</f>
        <v>8.0788804619262294E-8</v>
      </c>
      <c r="K2129" s="1" cm="1">
        <f t="array" ref="K2129">SUMPRODUCT(("var_ncap"=[1]OUT_TransportEnergyCons!$B$4:$B$10000)*1,("-"=[1]OUT_TransportEnergyCons!$C$4:$C$10000)*1,ISNUMBER(SEARCH("T_C*h2o*s2",[1]OUT_TransportEnergyCons!$A$4:$A$10000))*1,[1]OUT_TransportEnergyCons!I$4:I$10000)</f>
        <v>1.12104648548114E-7</v>
      </c>
      <c r="L2129" s="1" cm="1">
        <f t="array" ref="L2129">SUMPRODUCT(("var_ncap"=[1]OUT_TransportEnergyCons!$B$4:$B$10000)*1,("-"=[1]OUT_TransportEnergyCons!$C$4:$C$10000)*1,ISNUMBER(SEARCH("T_C*h2o*s2",[1]OUT_TransportEnergyCons!$A$4:$A$10000))*1,[1]OUT_TransportEnergyCons!J$4:J$10000)</f>
        <v>9.9257466317854404E-8</v>
      </c>
      <c r="M2129" s="1" cm="1">
        <f t="array" ref="M2129">SUMPRODUCT(("var_ncap"=[1]OUT_TransportEnergyCons!$B$4:$B$10000)*1,("-"=[1]OUT_TransportEnergyCons!$C$4:$C$10000)*1,ISNUMBER(SEARCH("T_C*h2o*s2",[1]OUT_TransportEnergyCons!$A$4:$A$10000))*1,[1]OUT_TransportEnergyCons!K$4:K$10000)</f>
        <v>9.0662003861835701E-8</v>
      </c>
      <c r="N2129" s="1" cm="1">
        <f t="array" ref="N2129">SUMPRODUCT(("var_ncap"=[1]OUT_TransportEnergyCons!$B$4:$B$10000)*1,("-"=[1]OUT_TransportEnergyCons!$C$4:$C$10000)*1,ISNUMBER(SEARCH("T_C*h2o*s2",[1]OUT_TransportEnergyCons!$A$4:$A$10000))*1,[1]OUT_TransportEnergyCons!L$4:L$10000)</f>
        <v>7.9322886024159204E-8</v>
      </c>
      <c r="O2129" s="1" cm="1">
        <f t="array" ref="O2129">SUMPRODUCT(("var_ncap"=[1]OUT_TransportEnergyCons!$B$4:$B$10000)*1,("-"=[1]OUT_TransportEnergyCons!$C$4:$C$10000)*1,ISNUMBER(SEARCH("T_C*h2o*s2",[1]OUT_TransportEnergyCons!$A$4:$A$10000))*1,[1]OUT_TransportEnergyCons!M$4:M$10000)</f>
        <v>9.2894501953180802E-8</v>
      </c>
      <c r="P2129" s="1" cm="1">
        <f t="array" ref="P2129">SUMPRODUCT(("var_ncap"=[1]OUT_TransportEnergyCons!$B$4:$B$10000)*1,("-"=[1]OUT_TransportEnergyCons!$C$4:$C$10000)*1,ISNUMBER(SEARCH("T_C*h2o*s2",[1]OUT_TransportEnergyCons!$A$4:$A$10000))*1,[1]OUT_TransportEnergyCons!N$4:N$10000)</f>
        <v>8.1887601612035998E-8</v>
      </c>
      <c r="Q2129" s="1" cm="1">
        <f t="array" ref="Q2129">SUMPRODUCT(("var_ncap"=[1]OUT_TransportEnergyCons!$B$4:$B$10000)*1,("-"=[1]OUT_TransportEnergyCons!$C$4:$C$10000)*1,ISNUMBER(SEARCH("T_C*h2o*s2",[1]OUT_TransportEnergyCons!$A$4:$A$10000))*1,[1]OUT_TransportEnergyCons!O$4:O$10000)</f>
        <v>2.0450883868002501E-7</v>
      </c>
      <c r="S2129" s="3"/>
    </row>
    <row r="2130" spans="2:19" x14ac:dyDescent="0.5">
      <c r="B2130" s="5" t="str">
        <f t="shared" si="2239"/>
        <v>SPS1</v>
      </c>
      <c r="C2130" s="5" t="str">
        <f t="shared" si="2240"/>
        <v>CH</v>
      </c>
      <c r="D2130" t="s">
        <v>2259</v>
      </c>
      <c r="E2130" t="str">
        <f t="shared" si="2241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4.0669169266444303E-7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1.70493798163691E-7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5.3025539816173297E-8</v>
      </c>
      <c r="J2130" s="1" cm="1">
        <f t="array" ref="J2130">SUMPRODUCT(("var_ncap"=[1]OUT_TransportEnergyCons!$B$4:$B$10000)*1,("-"=[1]OUT_TransportEnergyCons!$C$4:$C$10000)*1,ISNUMBER(SEARCH("T_C*h2o*s3",[1]OUT_TransportEnergyCons!$A$4:$A$10000))*1,[1]OUT_TransportEnergyCons!H$4:H$10000)</f>
        <v>7.0695433565078901E-8</v>
      </c>
      <c r="K2130" s="1" cm="1">
        <f t="array" ref="K2130">SUMPRODUCT(("var_ncap"=[1]OUT_TransportEnergyCons!$B$4:$B$10000)*1,("-"=[1]OUT_TransportEnergyCons!$C$4:$C$10000)*1,ISNUMBER(SEARCH("T_C*h2o*s3",[1]OUT_TransportEnergyCons!$A$4:$A$10000))*1,[1]OUT_TransportEnergyCons!I$4:I$10000)</f>
        <v>9.5952494705787507E-8</v>
      </c>
      <c r="L2130" s="1" cm="1">
        <f t="array" ref="L2130">SUMPRODUCT(("var_ncap"=[1]OUT_TransportEnergyCons!$B$4:$B$10000)*1,("-"=[1]OUT_TransportEnergyCons!$C$4:$C$10000)*1,ISNUMBER(SEARCH("T_C*h2o*s3",[1]OUT_TransportEnergyCons!$A$4:$A$10000))*1,[1]OUT_TransportEnergyCons!J$4:J$10000)</f>
        <v>8.7963615741464398E-8</v>
      </c>
      <c r="M2130" s="1" cm="1">
        <f t="array" ref="M2130">SUMPRODUCT(("var_ncap"=[1]OUT_TransportEnergyCons!$B$4:$B$10000)*1,("-"=[1]OUT_TransportEnergyCons!$C$4:$C$10000)*1,ISNUMBER(SEARCH("T_C*h2o*s3",[1]OUT_TransportEnergyCons!$A$4:$A$10000))*1,[1]OUT_TransportEnergyCons!K$4:K$10000)</f>
        <v>8.1664020870518897E-8</v>
      </c>
      <c r="N2130" s="1" cm="1">
        <f t="array" ref="N2130">SUMPRODUCT(("var_ncap"=[1]OUT_TransportEnergyCons!$B$4:$B$10000)*1,("-"=[1]OUT_TransportEnergyCons!$C$4:$C$10000)*1,ISNUMBER(SEARCH("T_C*h2o*s3",[1]OUT_TransportEnergyCons!$A$4:$A$10000))*1,[1]OUT_TransportEnergyCons!L$4:L$10000)</f>
        <v>8.24488839783615E-8</v>
      </c>
      <c r="O2130" s="1" cm="1">
        <f t="array" ref="O2130">SUMPRODUCT(("var_ncap"=[1]OUT_TransportEnergyCons!$B$4:$B$10000)*1,("-"=[1]OUT_TransportEnergyCons!$C$4:$C$10000)*1,ISNUMBER(SEARCH("T_C*h2o*s3",[1]OUT_TransportEnergyCons!$A$4:$A$10000))*1,[1]OUT_TransportEnergyCons!M$4:M$10000)</f>
        <v>9.3083660928481305E-8</v>
      </c>
      <c r="P2130" s="1" cm="1">
        <f t="array" ref="P2130">SUMPRODUCT(("var_ncap"=[1]OUT_TransportEnergyCons!$B$4:$B$10000)*1,("-"=[1]OUT_TransportEnergyCons!$C$4:$C$10000)*1,ISNUMBER(SEARCH("T_C*h2o*s3",[1]OUT_TransportEnergyCons!$A$4:$A$10000))*1,[1]OUT_TransportEnergyCons!N$4:N$10000)</f>
        <v>9.9624006626823507E-8</v>
      </c>
      <c r="Q2130" s="1" cm="1">
        <f t="array" ref="Q2130">SUMPRODUCT(("var_ncap"=[1]OUT_TransportEnergyCons!$B$4:$B$10000)*1,("-"=[1]OUT_TransportEnergyCons!$C$4:$C$10000)*1,ISNUMBER(SEARCH("T_C*h2o*s3",[1]OUT_TransportEnergyCons!$A$4:$A$10000))*1,[1]OUT_TransportEnergyCons!O$4:O$10000)</f>
        <v>2.08594107197982E-7</v>
      </c>
      <c r="S2130" s="3"/>
    </row>
    <row r="2131" spans="2:19" x14ac:dyDescent="0.5">
      <c r="B2131" s="5" t="str">
        <f t="shared" si="2239"/>
        <v>SPS1</v>
      </c>
      <c r="C2131" s="5" t="str">
        <f t="shared" si="2240"/>
        <v>CH</v>
      </c>
      <c r="D2131" t="s">
        <v>2260</v>
      </c>
      <c r="E2131" t="str">
        <f t="shared" si="2241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5.3366452147813498E-7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2.1310242113372701E-7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6.1409780395605297E-8</v>
      </c>
      <c r="J2131" s="1" cm="1">
        <f t="array" ref="J2131">SUMPRODUCT(("var_ncap"=[1]OUT_TransportEnergyCons!$B$4:$B$10000)*1,("-"=[1]OUT_TransportEnergyCons!$C$4:$C$10000)*1,ISNUMBER(SEARCH("T_C*h2o*s4",[1]OUT_TransportEnergyCons!$A$4:$A$10000))*1,[1]OUT_TransportEnergyCons!H$4:H$10000)</f>
        <v>8.2581629436796596E-8</v>
      </c>
      <c r="K2131" s="1" cm="1">
        <f t="array" ref="K2131">SUMPRODUCT(("var_ncap"=[1]OUT_TransportEnergyCons!$B$4:$B$10000)*1,("-"=[1]OUT_TransportEnergyCons!$C$4:$C$10000)*1,ISNUMBER(SEARCH("T_C*h2o*s4",[1]OUT_TransportEnergyCons!$A$4:$A$10000))*1,[1]OUT_TransportEnergyCons!I$4:I$10000)</f>
        <v>1.15339103121989E-7</v>
      </c>
      <c r="L2131" s="1" cm="1">
        <f t="array" ref="L2131">SUMPRODUCT(("var_ncap"=[1]OUT_TransportEnergyCons!$B$4:$B$10000)*1,("-"=[1]OUT_TransportEnergyCons!$C$4:$C$10000)*1,ISNUMBER(SEARCH("T_C*h2o*s4",[1]OUT_TransportEnergyCons!$A$4:$A$10000))*1,[1]OUT_TransportEnergyCons!J$4:J$10000)</f>
        <v>1.00755172413382E-7</v>
      </c>
      <c r="M2131" s="1" cm="1">
        <f t="array" ref="M2131">SUMPRODUCT(("var_ncap"=[1]OUT_TransportEnergyCons!$B$4:$B$10000)*1,("-"=[1]OUT_TransportEnergyCons!$C$4:$C$10000)*1,ISNUMBER(SEARCH("T_C*h2o*s4",[1]OUT_TransportEnergyCons!$A$4:$A$10000))*1,[1]OUT_TransportEnergyCons!K$4:K$10000)</f>
        <v>8.8871281272828203E-8</v>
      </c>
      <c r="N2131" s="1" cm="1">
        <f t="array" ref="N2131">SUMPRODUCT(("var_ncap"=[1]OUT_TransportEnergyCons!$B$4:$B$10000)*1,("-"=[1]OUT_TransportEnergyCons!$C$4:$C$10000)*1,ISNUMBER(SEARCH("T_C*h2o*s4",[1]OUT_TransportEnergyCons!$A$4:$A$10000))*1,[1]OUT_TransportEnergyCons!L$4:L$10000)</f>
        <v>7.6777102376384304E-8</v>
      </c>
      <c r="O2131" s="1" cm="1">
        <f t="array" ref="O2131">SUMPRODUCT(("var_ncap"=[1]OUT_TransportEnergyCons!$B$4:$B$10000)*1,("-"=[1]OUT_TransportEnergyCons!$C$4:$C$10000)*1,ISNUMBER(SEARCH("T_C*h2o*s4",[1]OUT_TransportEnergyCons!$A$4:$A$10000))*1,[1]OUT_TransportEnergyCons!M$4:M$10000)</f>
        <v>8.9479359503201795E-8</v>
      </c>
      <c r="P2131" s="1" cm="1">
        <f t="array" ref="P2131">SUMPRODUCT(("var_ncap"=[1]OUT_TransportEnergyCons!$B$4:$B$10000)*1,("-"=[1]OUT_TransportEnergyCons!$C$4:$C$10000)*1,ISNUMBER(SEARCH("T_C*h2o*s4",[1]OUT_TransportEnergyCons!$A$4:$A$10000))*1,[1]OUT_TransportEnergyCons!N$4:N$10000)</f>
        <v>7.6413185376977195E-8</v>
      </c>
      <c r="Q2131" s="1" cm="1">
        <f t="array" ref="Q2131">SUMPRODUCT(("var_ncap"=[1]OUT_TransportEnergyCons!$B$4:$B$10000)*1,("-"=[1]OUT_TransportEnergyCons!$C$4:$C$10000)*1,ISNUMBER(SEARCH("T_C*h2o*s4",[1]OUT_TransportEnergyCons!$A$4:$A$10000))*1,[1]OUT_TransportEnergyCons!O$4:O$10000)</f>
        <v>2.0651483865951001E-7</v>
      </c>
      <c r="S2131" s="3"/>
    </row>
    <row r="2132" spans="2:19" x14ac:dyDescent="0.5">
      <c r="B2132" s="5" t="str">
        <f t="shared" si="2239"/>
        <v>SPS1</v>
      </c>
      <c r="C2132" s="5" t="str">
        <f t="shared" si="2240"/>
        <v>CH</v>
      </c>
      <c r="D2132" t="s">
        <v>2261</v>
      </c>
      <c r="E2132" t="str">
        <f t="shared" si="2241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SUMPRODUCT(("var_ncap"=[1]OUT_TransportEnergyCons!$B$4:$B$10000)*1,("-"=[1]OUT_TransportEnergyCons!$C$4:$C$10000)*1,ISNUMBER(SEARCH("T_C*hy*GSL*ext",[1]OUT_TransportEnergyCons!$A$4:$A$10000))*1,[1]OUT_TransportEnergyCons!H$4:H$10000)</f>
        <v>0</v>
      </c>
      <c r="K2132" s="1" cm="1">
        <f t="array" ref="K2132">SUMPRODUCT(("var_ncap"=[1]OUT_TransportEnergyCons!$B$4:$B$10000)*1,("-"=[1]OUT_TransportEnergyCons!$C$4:$C$10000)*1,ISNUMBER(SEARCH("T_C*hy*GSL*ext",[1]OUT_TransportEnergyCons!$A$4:$A$10000))*1,[1]OUT_TransportEnergyCons!I$4:I$10000)</f>
        <v>0</v>
      </c>
      <c r="L2132" s="1" cm="1">
        <f t="array" ref="L2132">SUMPRODUCT(("var_ncap"=[1]OUT_TransportEnergyCons!$B$4:$B$10000)*1,("-"=[1]OUT_TransportEnergyCons!$C$4:$C$10000)*1,ISNUMBER(SEARCH("T_C*hy*GSL*ext",[1]OUT_TransportEnergyCons!$A$4:$A$10000))*1,[1]OUT_TransportEnergyCons!J$4:J$10000)</f>
        <v>0</v>
      </c>
      <c r="M2132" s="1" cm="1">
        <f t="array" ref="M2132">SUMPRODUCT(("var_ncap"=[1]OUT_TransportEnergyCons!$B$4:$B$10000)*1,("-"=[1]OUT_TransportEnergyCons!$C$4:$C$10000)*1,ISNUMBER(SEARCH("T_C*hy*GSL*ext",[1]OUT_TransportEnergyCons!$A$4:$A$10000))*1,[1]OUT_TransportEnergyCons!K$4:K$10000)</f>
        <v>0</v>
      </c>
      <c r="N2132" s="1" cm="1">
        <f t="array" ref="N2132">SUMPRODUCT(("var_ncap"=[1]OUT_TransportEnergyCons!$B$4:$B$10000)*1,("-"=[1]OUT_TransportEnergyCons!$C$4:$C$10000)*1,ISNUMBER(SEARCH("T_C*hy*GSL*ext",[1]OUT_TransportEnergyCons!$A$4:$A$10000))*1,[1]OUT_TransportEnergyCons!L$4:L$10000)</f>
        <v>0</v>
      </c>
      <c r="O2132" s="1" cm="1">
        <f t="array" ref="O2132">SUMPRODUCT(("var_ncap"=[1]OUT_TransportEnergyCons!$B$4:$B$10000)*1,("-"=[1]OUT_TransportEnergyCons!$C$4:$C$10000)*1,ISNUMBER(SEARCH("T_C*hy*GSL*ext",[1]OUT_TransportEnergyCons!$A$4:$A$10000))*1,[1]OUT_TransportEnergyCons!M$4:M$10000)</f>
        <v>0</v>
      </c>
      <c r="P2132" s="1" cm="1">
        <f t="array" ref="P2132">SUMPRODUCT(("var_ncap"=[1]OUT_TransportEnergyCons!$B$4:$B$10000)*1,("-"=[1]OUT_TransportEnergyCons!$C$4:$C$10000)*1,ISNUMBER(SEARCH("T_C*hy*GSL*ext",[1]OUT_TransportEnergyCons!$A$4:$A$10000))*1,[1]OUT_TransportEnergyCons!N$4:N$10000)</f>
        <v>0</v>
      </c>
      <c r="Q2132" s="1" cm="1">
        <f t="array" ref="Q2132">SUMPRODUCT(("var_ncap"=[1]OUT_TransportEnergyCons!$B$4:$B$10000)*1,("-"=[1]OUT_TransportEnergyCons!$C$4:$C$10000)*1,ISNUMBER(SEARCH("T_C*hy*GSL*ext",[1]OUT_TransportEnergyCons!$A$4:$A$10000))*1,[1]OUT_TransportEnergyCons!O$4:O$10000)</f>
        <v>0</v>
      </c>
      <c r="S2132" s="3"/>
    </row>
    <row r="2133" spans="2:19" x14ac:dyDescent="0.5">
      <c r="B2133" s="5" t="str">
        <f t="shared" si="2239"/>
        <v>SPS1</v>
      </c>
      <c r="C2133" s="5" t="str">
        <f t="shared" si="2240"/>
        <v>CH</v>
      </c>
      <c r="D2133" t="s">
        <v>2262</v>
      </c>
      <c r="E2133" t="str">
        <f t="shared" si="2241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5.9557723540077542E-5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1.2967250283264561E-4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3.7202639086410298E-5</v>
      </c>
      <c r="J2133" s="1" cm="1">
        <f t="array" ref="J2133">SUMPRODUCT(("var_ncap"=[1]OUT_TransportEnergyCons!$B$4:$B$10000)*1,("-"=[1]OUT_TransportEnergyCons!$C$4:$C$10000)*1,ISNUMBER(SEARCH("T_C*hy*GSL*s1",[1]OUT_TransportEnergyCons!$A$4:$A$10000))*1,[1]OUT_TransportEnergyCons!H$4:H$10000)</f>
        <v>0</v>
      </c>
      <c r="K2133" s="1" cm="1">
        <f t="array" ref="K2133">SUMPRODUCT(("var_ncap"=[1]OUT_TransportEnergyCons!$B$4:$B$10000)*1,("-"=[1]OUT_TransportEnergyCons!$C$4:$C$10000)*1,ISNUMBER(SEARCH("T_C*hy*GSL*s1",[1]OUT_TransportEnergyCons!$A$4:$A$10000))*1,[1]OUT_TransportEnergyCons!I$4:I$10000)</f>
        <v>0</v>
      </c>
      <c r="L2133" s="1" cm="1">
        <f t="array" ref="L2133">SUMPRODUCT(("var_ncap"=[1]OUT_TransportEnergyCons!$B$4:$B$10000)*1,("-"=[1]OUT_TransportEnergyCons!$C$4:$C$10000)*1,ISNUMBER(SEARCH("T_C*hy*GSL*s1",[1]OUT_TransportEnergyCons!$A$4:$A$10000))*1,[1]OUT_TransportEnergyCons!J$4:J$10000)</f>
        <v>0</v>
      </c>
      <c r="M2133" s="1" cm="1">
        <f t="array" ref="M2133">SUMPRODUCT(("var_ncap"=[1]OUT_TransportEnergyCons!$B$4:$B$10000)*1,("-"=[1]OUT_TransportEnergyCons!$C$4:$C$10000)*1,ISNUMBER(SEARCH("T_C*hy*GSL*s1",[1]OUT_TransportEnergyCons!$A$4:$A$10000))*1,[1]OUT_TransportEnergyCons!K$4:K$10000)</f>
        <v>0</v>
      </c>
      <c r="N2133" s="1" cm="1">
        <f t="array" ref="N2133">SUMPRODUCT(("var_ncap"=[1]OUT_TransportEnergyCons!$B$4:$B$10000)*1,("-"=[1]OUT_TransportEnergyCons!$C$4:$C$10000)*1,ISNUMBER(SEARCH("T_C*hy*GSL*s1",[1]OUT_TransportEnergyCons!$A$4:$A$10000))*1,[1]OUT_TransportEnergyCons!L$4:L$10000)</f>
        <v>0</v>
      </c>
      <c r="O2133" s="1" cm="1">
        <f t="array" ref="O2133">SUMPRODUCT(("var_ncap"=[1]OUT_TransportEnergyCons!$B$4:$B$10000)*1,("-"=[1]OUT_TransportEnergyCons!$C$4:$C$10000)*1,ISNUMBER(SEARCH("T_C*hy*GSL*s1",[1]OUT_TransportEnergyCons!$A$4:$A$10000))*1,[1]OUT_TransportEnergyCons!M$4:M$10000)</f>
        <v>0</v>
      </c>
      <c r="P2133" s="1" cm="1">
        <f t="array" ref="P2133">SUMPRODUCT(("var_ncap"=[1]OUT_TransportEnergyCons!$B$4:$B$10000)*1,("-"=[1]OUT_TransportEnergyCons!$C$4:$C$10000)*1,ISNUMBER(SEARCH("T_C*hy*GSL*s1",[1]OUT_TransportEnergyCons!$A$4:$A$10000))*1,[1]OUT_TransportEnergyCons!N$4:N$10000)</f>
        <v>0</v>
      </c>
      <c r="Q2133" s="1" cm="1">
        <f t="array" ref="Q2133">SUMPRODUCT(("var_ncap"=[1]OUT_TransportEnergyCons!$B$4:$B$10000)*1,("-"=[1]OUT_TransportEnergyCons!$C$4:$C$10000)*1,ISNUMBER(SEARCH("T_C*hy*GSL*s1",[1]OUT_TransportEnergyCons!$A$4:$A$10000))*1,[1]OUT_TransportEnergyCons!O$4:O$10000)</f>
        <v>0</v>
      </c>
      <c r="S2133" s="3"/>
    </row>
    <row r="2134" spans="2:19" x14ac:dyDescent="0.5">
      <c r="B2134" s="5" t="str">
        <f t="shared" si="2239"/>
        <v>SPS1</v>
      </c>
      <c r="C2134" s="5" t="str">
        <f t="shared" si="2240"/>
        <v>CH</v>
      </c>
      <c r="D2134" t="s">
        <v>2263</v>
      </c>
      <c r="E2134" t="str">
        <f t="shared" si="2241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1.6934289537393415E-3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8.4371525283876911E-2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2.49488470259919E-5</v>
      </c>
      <c r="J2134" s="1" cm="1">
        <f t="array" ref="J2134">SUMPRODUCT(("var_ncap"=[1]OUT_TransportEnergyCons!$B$4:$B$10000)*1,("-"=[1]OUT_TransportEnergyCons!$C$4:$C$10000)*1,ISNUMBER(SEARCH("T_C*hy*GSL*s2",[1]OUT_TransportEnergyCons!$A$4:$A$10000))*1,[1]OUT_TransportEnergyCons!H$4:H$10000)</f>
        <v>0</v>
      </c>
      <c r="K2134" s="1" cm="1">
        <f t="array" ref="K2134">SUMPRODUCT(("var_ncap"=[1]OUT_TransportEnergyCons!$B$4:$B$10000)*1,("-"=[1]OUT_TransportEnergyCons!$C$4:$C$10000)*1,ISNUMBER(SEARCH("T_C*hy*GSL*s2",[1]OUT_TransportEnergyCons!$A$4:$A$10000))*1,[1]OUT_TransportEnergyCons!I$4:I$10000)</f>
        <v>0</v>
      </c>
      <c r="L2134" s="1" cm="1">
        <f t="array" ref="L2134">SUMPRODUCT(("var_ncap"=[1]OUT_TransportEnergyCons!$B$4:$B$10000)*1,("-"=[1]OUT_TransportEnergyCons!$C$4:$C$10000)*1,ISNUMBER(SEARCH("T_C*hy*GSL*s2",[1]OUT_TransportEnergyCons!$A$4:$A$10000))*1,[1]OUT_TransportEnergyCons!J$4:J$10000)</f>
        <v>0</v>
      </c>
      <c r="M2134" s="1" cm="1">
        <f t="array" ref="M2134">SUMPRODUCT(("var_ncap"=[1]OUT_TransportEnergyCons!$B$4:$B$10000)*1,("-"=[1]OUT_TransportEnergyCons!$C$4:$C$10000)*1,ISNUMBER(SEARCH("T_C*hy*GSL*s2",[1]OUT_TransportEnergyCons!$A$4:$A$10000))*1,[1]OUT_TransportEnergyCons!K$4:K$10000)</f>
        <v>0</v>
      </c>
      <c r="N2134" s="1" cm="1">
        <f t="array" ref="N2134">SUMPRODUCT(("var_ncap"=[1]OUT_TransportEnergyCons!$B$4:$B$10000)*1,("-"=[1]OUT_TransportEnergyCons!$C$4:$C$10000)*1,ISNUMBER(SEARCH("T_C*hy*GSL*s2",[1]OUT_TransportEnergyCons!$A$4:$A$10000))*1,[1]OUT_TransportEnergyCons!L$4:L$10000)</f>
        <v>0</v>
      </c>
      <c r="O2134" s="1" cm="1">
        <f t="array" ref="O2134">SUMPRODUCT(("var_ncap"=[1]OUT_TransportEnergyCons!$B$4:$B$10000)*1,("-"=[1]OUT_TransportEnergyCons!$C$4:$C$10000)*1,ISNUMBER(SEARCH("T_C*hy*GSL*s2",[1]OUT_TransportEnergyCons!$A$4:$A$10000))*1,[1]OUT_TransportEnergyCons!M$4:M$10000)</f>
        <v>0</v>
      </c>
      <c r="P2134" s="1" cm="1">
        <f t="array" ref="P2134">SUMPRODUCT(("var_ncap"=[1]OUT_TransportEnergyCons!$B$4:$B$10000)*1,("-"=[1]OUT_TransportEnergyCons!$C$4:$C$10000)*1,ISNUMBER(SEARCH("T_C*hy*GSL*s2",[1]OUT_TransportEnergyCons!$A$4:$A$10000))*1,[1]OUT_TransportEnergyCons!N$4:N$10000)</f>
        <v>0</v>
      </c>
      <c r="Q2134" s="1" cm="1">
        <f t="array" ref="Q2134">SUMPRODUCT(("var_ncap"=[1]OUT_TransportEnergyCons!$B$4:$B$10000)*1,("-"=[1]OUT_TransportEnergyCons!$C$4:$C$10000)*1,ISNUMBER(SEARCH("T_C*hy*GSL*s2",[1]OUT_TransportEnergyCons!$A$4:$A$10000))*1,[1]OUT_TransportEnergyCons!O$4:O$10000)</f>
        <v>0</v>
      </c>
      <c r="S2134" s="3"/>
    </row>
    <row r="2135" spans="2:19" x14ac:dyDescent="0.5">
      <c r="B2135" s="5" t="str">
        <f t="shared" si="2239"/>
        <v>SPS1</v>
      </c>
      <c r="C2135" s="5" t="str">
        <f t="shared" si="2240"/>
        <v>CH</v>
      </c>
      <c r="D2135" t="s">
        <v>2264</v>
      </c>
      <c r="E2135" t="str">
        <f t="shared" si="2241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0.16804019351714558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2.4102245670940602E-5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1.235937403336749E-5</v>
      </c>
      <c r="J2135" s="1" cm="1">
        <f t="array" ref="J2135">SUMPRODUCT(("var_ncap"=[1]OUT_TransportEnergyCons!$B$4:$B$10000)*1,("-"=[1]OUT_TransportEnergyCons!$C$4:$C$10000)*1,ISNUMBER(SEARCH("T_C*hy*GSL*s3",[1]OUT_TransportEnergyCons!$A$4:$A$10000))*1,[1]OUT_TransportEnergyCons!H$4:H$10000)</f>
        <v>0</v>
      </c>
      <c r="K2135" s="1" cm="1">
        <f t="array" ref="K2135">SUMPRODUCT(("var_ncap"=[1]OUT_TransportEnergyCons!$B$4:$B$10000)*1,("-"=[1]OUT_TransportEnergyCons!$C$4:$C$10000)*1,ISNUMBER(SEARCH("T_C*hy*GSL*s3",[1]OUT_TransportEnergyCons!$A$4:$A$10000))*1,[1]OUT_TransportEnergyCons!I$4:I$10000)</f>
        <v>0</v>
      </c>
      <c r="L2135" s="1" cm="1">
        <f t="array" ref="L2135">SUMPRODUCT(("var_ncap"=[1]OUT_TransportEnergyCons!$B$4:$B$10000)*1,("-"=[1]OUT_TransportEnergyCons!$C$4:$C$10000)*1,ISNUMBER(SEARCH("T_C*hy*GSL*s3",[1]OUT_TransportEnergyCons!$A$4:$A$10000))*1,[1]OUT_TransportEnergyCons!J$4:J$10000)</f>
        <v>0</v>
      </c>
      <c r="M2135" s="1" cm="1">
        <f t="array" ref="M2135">SUMPRODUCT(("var_ncap"=[1]OUT_TransportEnergyCons!$B$4:$B$10000)*1,("-"=[1]OUT_TransportEnergyCons!$C$4:$C$10000)*1,ISNUMBER(SEARCH("T_C*hy*GSL*s3",[1]OUT_TransportEnergyCons!$A$4:$A$10000))*1,[1]OUT_TransportEnergyCons!K$4:K$10000)</f>
        <v>0</v>
      </c>
      <c r="N2135" s="1" cm="1">
        <f t="array" ref="N2135">SUMPRODUCT(("var_ncap"=[1]OUT_TransportEnergyCons!$B$4:$B$10000)*1,("-"=[1]OUT_TransportEnergyCons!$C$4:$C$10000)*1,ISNUMBER(SEARCH("T_C*hy*GSL*s3",[1]OUT_TransportEnergyCons!$A$4:$A$10000))*1,[1]OUT_TransportEnergyCons!L$4:L$10000)</f>
        <v>0</v>
      </c>
      <c r="O2135" s="1" cm="1">
        <f t="array" ref="O2135">SUMPRODUCT(("var_ncap"=[1]OUT_TransportEnergyCons!$B$4:$B$10000)*1,("-"=[1]OUT_TransportEnergyCons!$C$4:$C$10000)*1,ISNUMBER(SEARCH("T_C*hy*GSL*s3",[1]OUT_TransportEnergyCons!$A$4:$A$10000))*1,[1]OUT_TransportEnergyCons!M$4:M$10000)</f>
        <v>0</v>
      </c>
      <c r="P2135" s="1" cm="1">
        <f t="array" ref="P2135">SUMPRODUCT(("var_ncap"=[1]OUT_TransportEnergyCons!$B$4:$B$10000)*1,("-"=[1]OUT_TransportEnergyCons!$C$4:$C$10000)*1,ISNUMBER(SEARCH("T_C*hy*GSL*s3",[1]OUT_TransportEnergyCons!$A$4:$A$10000))*1,[1]OUT_TransportEnergyCons!N$4:N$10000)</f>
        <v>0</v>
      </c>
      <c r="Q2135" s="1" cm="1">
        <f t="array" ref="Q2135">SUMPRODUCT(("var_ncap"=[1]OUT_TransportEnergyCons!$B$4:$B$10000)*1,("-"=[1]OUT_TransportEnergyCons!$C$4:$C$10000)*1,ISNUMBER(SEARCH("T_C*hy*GSL*s3",[1]OUT_TransportEnergyCons!$A$4:$A$10000))*1,[1]OUT_TransportEnergyCons!O$4:O$10000)</f>
        <v>0</v>
      </c>
      <c r="S2135" s="3"/>
    </row>
    <row r="2136" spans="2:19" x14ac:dyDescent="0.5">
      <c r="B2136" s="5" t="str">
        <f t="shared" si="2239"/>
        <v>SPS1</v>
      </c>
      <c r="C2136" s="5" t="str">
        <f t="shared" si="2240"/>
        <v>CH</v>
      </c>
      <c r="D2136" t="s">
        <v>2265</v>
      </c>
      <c r="E2136" t="str">
        <f t="shared" si="2241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3.322762712991229E-5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3.1667309929363701E-5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2.1441770165818009E-5</v>
      </c>
      <c r="J2136" s="1" cm="1">
        <f t="array" ref="J2136">SUMPRODUCT(("var_ncap"=[1]OUT_TransportEnergyCons!$B$4:$B$10000)*1,("-"=[1]OUT_TransportEnergyCons!$C$4:$C$10000)*1,ISNUMBER(SEARCH("T_C*hy*GSL*s4",[1]OUT_TransportEnergyCons!$A$4:$A$10000))*1,[1]OUT_TransportEnergyCons!H$4:H$10000)</f>
        <v>0</v>
      </c>
      <c r="K2136" s="1" cm="1">
        <f t="array" ref="K2136">SUMPRODUCT(("var_ncap"=[1]OUT_TransportEnergyCons!$B$4:$B$10000)*1,("-"=[1]OUT_TransportEnergyCons!$C$4:$C$10000)*1,ISNUMBER(SEARCH("T_C*hy*GSL*s4",[1]OUT_TransportEnergyCons!$A$4:$A$10000))*1,[1]OUT_TransportEnergyCons!I$4:I$10000)</f>
        <v>0</v>
      </c>
      <c r="L2136" s="1" cm="1">
        <f t="array" ref="L2136">SUMPRODUCT(("var_ncap"=[1]OUT_TransportEnergyCons!$B$4:$B$10000)*1,("-"=[1]OUT_TransportEnergyCons!$C$4:$C$10000)*1,ISNUMBER(SEARCH("T_C*hy*GSL*s4",[1]OUT_TransportEnergyCons!$A$4:$A$10000))*1,[1]OUT_TransportEnergyCons!J$4:J$10000)</f>
        <v>0</v>
      </c>
      <c r="M2136" s="1" cm="1">
        <f t="array" ref="M2136">SUMPRODUCT(("var_ncap"=[1]OUT_TransportEnergyCons!$B$4:$B$10000)*1,("-"=[1]OUT_TransportEnergyCons!$C$4:$C$10000)*1,ISNUMBER(SEARCH("T_C*hy*GSL*s4",[1]OUT_TransportEnergyCons!$A$4:$A$10000))*1,[1]OUT_TransportEnergyCons!K$4:K$10000)</f>
        <v>0</v>
      </c>
      <c r="N2136" s="1" cm="1">
        <f t="array" ref="N2136">SUMPRODUCT(("var_ncap"=[1]OUT_TransportEnergyCons!$B$4:$B$10000)*1,("-"=[1]OUT_TransportEnergyCons!$C$4:$C$10000)*1,ISNUMBER(SEARCH("T_C*hy*GSL*s4",[1]OUT_TransportEnergyCons!$A$4:$A$10000))*1,[1]OUT_TransportEnergyCons!L$4:L$10000)</f>
        <v>0</v>
      </c>
      <c r="O2136" s="1" cm="1">
        <f t="array" ref="O2136">SUMPRODUCT(("var_ncap"=[1]OUT_TransportEnergyCons!$B$4:$B$10000)*1,("-"=[1]OUT_TransportEnergyCons!$C$4:$C$10000)*1,ISNUMBER(SEARCH("T_C*hy*GSL*s4",[1]OUT_TransportEnergyCons!$A$4:$A$10000))*1,[1]OUT_TransportEnergyCons!M$4:M$10000)</f>
        <v>0</v>
      </c>
      <c r="P2136" s="1" cm="1">
        <f t="array" ref="P2136">SUMPRODUCT(("var_ncap"=[1]OUT_TransportEnergyCons!$B$4:$B$10000)*1,("-"=[1]OUT_TransportEnergyCons!$C$4:$C$10000)*1,ISNUMBER(SEARCH("T_C*hy*GSL*s4",[1]OUT_TransportEnergyCons!$A$4:$A$10000))*1,[1]OUT_TransportEnergyCons!N$4:N$10000)</f>
        <v>0</v>
      </c>
      <c r="Q2136" s="1" cm="1">
        <f t="array" ref="Q2136">SUMPRODUCT(("var_ncap"=[1]OUT_TransportEnergyCons!$B$4:$B$10000)*1,("-"=[1]OUT_TransportEnergyCons!$C$4:$C$10000)*1,ISNUMBER(SEARCH("T_C*hy*GSL*s4",[1]OUT_TransportEnergyCons!$A$4:$A$10000))*1,[1]OUT_TransportEnergyCons!O$4:O$10000)</f>
        <v>0</v>
      </c>
      <c r="S2136" s="3"/>
    </row>
    <row r="2137" spans="2:19" x14ac:dyDescent="0.5">
      <c r="B2137" s="5" t="str">
        <f t="shared" si="2239"/>
        <v>SPS1</v>
      </c>
      <c r="C2137" s="5" t="str">
        <f t="shared" si="2240"/>
        <v>CH</v>
      </c>
      <c r="D2137" t="s">
        <v>2266</v>
      </c>
      <c r="E2137" t="str">
        <f t="shared" si="2241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SUMPRODUCT(("var_ncap"=[1]OUT_TransportEnergyCons!$B$4:$B$10000)*1,("-"=[1]OUT_TransportEnergyCons!$C$4:$C$10000)*1,ISNUMBER(SEARCH("T_C*ICE*GSL*ext",[1]OUT_TransportEnergyCons!$A$4:$A$10000))*1,[1]OUT_TransportEnergyCons!H$4:H$10000)</f>
        <v>0</v>
      </c>
      <c r="K2137" s="1" cm="1">
        <f t="array" ref="K2137">SUMPRODUCT(("var_ncap"=[1]OUT_TransportEnergyCons!$B$4:$B$10000)*1,("-"=[1]OUT_TransportEnergyCons!$C$4:$C$10000)*1,ISNUMBER(SEARCH("T_C*ICE*GSL*ext",[1]OUT_TransportEnergyCons!$A$4:$A$10000))*1,[1]OUT_TransportEnergyCons!I$4:I$10000)</f>
        <v>0</v>
      </c>
      <c r="L2137" s="1" cm="1">
        <f t="array" ref="L2137">SUMPRODUCT(("var_ncap"=[1]OUT_TransportEnergyCons!$B$4:$B$10000)*1,("-"=[1]OUT_TransportEnergyCons!$C$4:$C$10000)*1,ISNUMBER(SEARCH("T_C*ICE*GSL*ext",[1]OUT_TransportEnergyCons!$A$4:$A$10000))*1,[1]OUT_TransportEnergyCons!J$4:J$10000)</f>
        <v>0</v>
      </c>
      <c r="M2137" s="1" cm="1">
        <f t="array" ref="M2137">SUMPRODUCT(("var_ncap"=[1]OUT_TransportEnergyCons!$B$4:$B$10000)*1,("-"=[1]OUT_TransportEnergyCons!$C$4:$C$10000)*1,ISNUMBER(SEARCH("T_C*ICE*GSL*ext",[1]OUT_TransportEnergyCons!$A$4:$A$10000))*1,[1]OUT_TransportEnergyCons!K$4:K$10000)</f>
        <v>0</v>
      </c>
      <c r="N2137" s="1" cm="1">
        <f t="array" ref="N2137">SUMPRODUCT(("var_ncap"=[1]OUT_TransportEnergyCons!$B$4:$B$10000)*1,("-"=[1]OUT_TransportEnergyCons!$C$4:$C$10000)*1,ISNUMBER(SEARCH("T_C*ICE*GSL*ext",[1]OUT_TransportEnergyCons!$A$4:$A$10000))*1,[1]OUT_TransportEnergyCons!L$4:L$10000)</f>
        <v>0</v>
      </c>
      <c r="O2137" s="1" cm="1">
        <f t="array" ref="O2137">SUMPRODUCT(("var_ncap"=[1]OUT_TransportEnergyCons!$B$4:$B$10000)*1,("-"=[1]OUT_TransportEnergyCons!$C$4:$C$10000)*1,ISNUMBER(SEARCH("T_C*ICE*GSL*ext",[1]OUT_TransportEnergyCons!$A$4:$A$10000))*1,[1]OUT_TransportEnergyCons!M$4:M$10000)</f>
        <v>0</v>
      </c>
      <c r="P2137" s="1" cm="1">
        <f t="array" ref="P2137">SUMPRODUCT(("var_ncap"=[1]OUT_TransportEnergyCons!$B$4:$B$10000)*1,("-"=[1]OUT_TransportEnergyCons!$C$4:$C$10000)*1,ISNUMBER(SEARCH("T_C*ICE*GSL*ext",[1]OUT_TransportEnergyCons!$A$4:$A$10000))*1,[1]OUT_TransportEnergyCons!N$4:N$10000)</f>
        <v>0</v>
      </c>
      <c r="Q2137" s="1" cm="1">
        <f t="array" ref="Q2137">SUMPRODUCT(("var_ncap"=[1]OUT_TransportEnergyCons!$B$4:$B$10000)*1,("-"=[1]OUT_TransportEnergyCons!$C$4:$C$10000)*1,ISNUMBER(SEARCH("T_C*ICE*GSL*ext",[1]OUT_TransportEnergyCons!$A$4:$A$10000))*1,[1]OUT_TransportEnergyCons!O$4:O$10000)</f>
        <v>0</v>
      </c>
      <c r="S2137" s="3"/>
    </row>
    <row r="2138" spans="2:19" x14ac:dyDescent="0.5">
      <c r="B2138" s="5" t="str">
        <f t="shared" si="2239"/>
        <v>SPS1</v>
      </c>
      <c r="C2138" s="5" t="str">
        <f t="shared" si="2240"/>
        <v>CH</v>
      </c>
      <c r="D2138" t="s">
        <v>2267</v>
      </c>
      <c r="E2138" t="str">
        <f t="shared" si="2241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1.4404669478480301E-5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9.10106484423161E-2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3.7188383189005703E-5</v>
      </c>
      <c r="J2138" s="1" cm="1">
        <f t="array" ref="J2138">SUMPRODUCT(("var_ncap"=[1]OUT_TransportEnergyCons!$B$4:$B$10000)*1,("-"=[1]OUT_TransportEnergyCons!$C$4:$C$10000)*1,ISNUMBER(SEARCH("T_C*ICE*GSL*s1",[1]OUT_TransportEnergyCons!$A$4:$A$10000))*1,[1]OUT_TransportEnergyCons!H$4:H$10000)</f>
        <v>0</v>
      </c>
      <c r="K2138" s="1" cm="1">
        <f t="array" ref="K2138">SUMPRODUCT(("var_ncap"=[1]OUT_TransportEnergyCons!$B$4:$B$10000)*1,("-"=[1]OUT_TransportEnergyCons!$C$4:$C$10000)*1,ISNUMBER(SEARCH("T_C*ICE*GSL*s1",[1]OUT_TransportEnergyCons!$A$4:$A$10000))*1,[1]OUT_TransportEnergyCons!I$4:I$10000)</f>
        <v>0</v>
      </c>
      <c r="L2138" s="1" cm="1">
        <f t="array" ref="L2138">SUMPRODUCT(("var_ncap"=[1]OUT_TransportEnergyCons!$B$4:$B$10000)*1,("-"=[1]OUT_TransportEnergyCons!$C$4:$C$10000)*1,ISNUMBER(SEARCH("T_C*ICE*GSL*s1",[1]OUT_TransportEnergyCons!$A$4:$A$10000))*1,[1]OUT_TransportEnergyCons!J$4:J$10000)</f>
        <v>0</v>
      </c>
      <c r="M2138" s="1" cm="1">
        <f t="array" ref="M2138">SUMPRODUCT(("var_ncap"=[1]OUT_TransportEnergyCons!$B$4:$B$10000)*1,("-"=[1]OUT_TransportEnergyCons!$C$4:$C$10000)*1,ISNUMBER(SEARCH("T_C*ICE*GSL*s1",[1]OUT_TransportEnergyCons!$A$4:$A$10000))*1,[1]OUT_TransportEnergyCons!K$4:K$10000)</f>
        <v>0</v>
      </c>
      <c r="N2138" s="1" cm="1">
        <f t="array" ref="N2138">SUMPRODUCT(("var_ncap"=[1]OUT_TransportEnergyCons!$B$4:$B$10000)*1,("-"=[1]OUT_TransportEnergyCons!$C$4:$C$10000)*1,ISNUMBER(SEARCH("T_C*ICE*GSL*s1",[1]OUT_TransportEnergyCons!$A$4:$A$10000))*1,[1]OUT_TransportEnergyCons!L$4:L$10000)</f>
        <v>0</v>
      </c>
      <c r="O2138" s="1" cm="1">
        <f t="array" ref="O2138">SUMPRODUCT(("var_ncap"=[1]OUT_TransportEnergyCons!$B$4:$B$10000)*1,("-"=[1]OUT_TransportEnergyCons!$C$4:$C$10000)*1,ISNUMBER(SEARCH("T_C*ICE*GSL*s1",[1]OUT_TransportEnergyCons!$A$4:$A$10000))*1,[1]OUT_TransportEnergyCons!M$4:M$10000)</f>
        <v>0</v>
      </c>
      <c r="P2138" s="1" cm="1">
        <f t="array" ref="P2138">SUMPRODUCT(("var_ncap"=[1]OUT_TransportEnergyCons!$B$4:$B$10000)*1,("-"=[1]OUT_TransportEnergyCons!$C$4:$C$10000)*1,ISNUMBER(SEARCH("T_C*ICE*GSL*s1",[1]OUT_TransportEnergyCons!$A$4:$A$10000))*1,[1]OUT_TransportEnergyCons!N$4:N$10000)</f>
        <v>0</v>
      </c>
      <c r="Q2138" s="1" cm="1">
        <f t="array" ref="Q2138">SUMPRODUCT(("var_ncap"=[1]OUT_TransportEnergyCons!$B$4:$B$10000)*1,("-"=[1]OUT_TransportEnergyCons!$C$4:$C$10000)*1,ISNUMBER(SEARCH("T_C*ICE*GSL*s1",[1]OUT_TransportEnergyCons!$A$4:$A$10000))*1,[1]OUT_TransportEnergyCons!O$4:O$10000)</f>
        <v>0</v>
      </c>
      <c r="S2138" s="3"/>
    </row>
    <row r="2139" spans="2:19" x14ac:dyDescent="0.5">
      <c r="B2139" s="5" t="str">
        <f t="shared" si="2239"/>
        <v>SPS1</v>
      </c>
      <c r="C2139" s="5" t="str">
        <f t="shared" si="2240"/>
        <v>CH</v>
      </c>
      <c r="D2139" t="s">
        <v>2268</v>
      </c>
      <c r="E2139" t="str">
        <f t="shared" si="2241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1.00446779425108E-5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2.5994513801159101E-4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2.1381605408761399E-5</v>
      </c>
      <c r="J2139" s="1" cm="1">
        <f t="array" ref="J2139">SUMPRODUCT(("var_ncap"=[1]OUT_TransportEnergyCons!$B$4:$B$10000)*1,("-"=[1]OUT_TransportEnergyCons!$C$4:$C$10000)*1,ISNUMBER(SEARCH("T_C*ICE*GSL*s2",[1]OUT_TransportEnergyCons!$A$4:$A$10000))*1,[1]OUT_TransportEnergyCons!H$4:H$10000)</f>
        <v>0</v>
      </c>
      <c r="K2139" s="1" cm="1">
        <f t="array" ref="K2139">SUMPRODUCT(("var_ncap"=[1]OUT_TransportEnergyCons!$B$4:$B$10000)*1,("-"=[1]OUT_TransportEnergyCons!$C$4:$C$10000)*1,ISNUMBER(SEARCH("T_C*ICE*GSL*s2",[1]OUT_TransportEnergyCons!$A$4:$A$10000))*1,[1]OUT_TransportEnergyCons!I$4:I$10000)</f>
        <v>0</v>
      </c>
      <c r="L2139" s="1" cm="1">
        <f t="array" ref="L2139">SUMPRODUCT(("var_ncap"=[1]OUT_TransportEnergyCons!$B$4:$B$10000)*1,("-"=[1]OUT_TransportEnergyCons!$C$4:$C$10000)*1,ISNUMBER(SEARCH("T_C*ICE*GSL*s2",[1]OUT_TransportEnergyCons!$A$4:$A$10000))*1,[1]OUT_TransportEnergyCons!J$4:J$10000)</f>
        <v>0</v>
      </c>
      <c r="M2139" s="1" cm="1">
        <f t="array" ref="M2139">SUMPRODUCT(("var_ncap"=[1]OUT_TransportEnergyCons!$B$4:$B$10000)*1,("-"=[1]OUT_TransportEnergyCons!$C$4:$C$10000)*1,ISNUMBER(SEARCH("T_C*ICE*GSL*s2",[1]OUT_TransportEnergyCons!$A$4:$A$10000))*1,[1]OUT_TransportEnergyCons!K$4:K$10000)</f>
        <v>0</v>
      </c>
      <c r="N2139" s="1" cm="1">
        <f t="array" ref="N2139">SUMPRODUCT(("var_ncap"=[1]OUT_TransportEnergyCons!$B$4:$B$10000)*1,("-"=[1]OUT_TransportEnergyCons!$C$4:$C$10000)*1,ISNUMBER(SEARCH("T_C*ICE*GSL*s2",[1]OUT_TransportEnergyCons!$A$4:$A$10000))*1,[1]OUT_TransportEnergyCons!L$4:L$10000)</f>
        <v>0</v>
      </c>
      <c r="O2139" s="1" cm="1">
        <f t="array" ref="O2139">SUMPRODUCT(("var_ncap"=[1]OUT_TransportEnergyCons!$B$4:$B$10000)*1,("-"=[1]OUT_TransportEnergyCons!$C$4:$C$10000)*1,ISNUMBER(SEARCH("T_C*ICE*GSL*s2",[1]OUT_TransportEnergyCons!$A$4:$A$10000))*1,[1]OUT_TransportEnergyCons!M$4:M$10000)</f>
        <v>0</v>
      </c>
      <c r="P2139" s="1" cm="1">
        <f t="array" ref="P2139">SUMPRODUCT(("var_ncap"=[1]OUT_TransportEnergyCons!$B$4:$B$10000)*1,("-"=[1]OUT_TransportEnergyCons!$C$4:$C$10000)*1,ISNUMBER(SEARCH("T_C*ICE*GSL*s2",[1]OUT_TransportEnergyCons!$A$4:$A$10000))*1,[1]OUT_TransportEnergyCons!N$4:N$10000)</f>
        <v>0</v>
      </c>
      <c r="Q2139" s="1" cm="1">
        <f t="array" ref="Q2139">SUMPRODUCT(("var_ncap"=[1]OUT_TransportEnergyCons!$B$4:$B$10000)*1,("-"=[1]OUT_TransportEnergyCons!$C$4:$C$10000)*1,ISNUMBER(SEARCH("T_C*ICE*GSL*s2",[1]OUT_TransportEnergyCons!$A$4:$A$10000))*1,[1]OUT_TransportEnergyCons!O$4:O$10000)</f>
        <v>0</v>
      </c>
      <c r="S2139" s="3"/>
    </row>
    <row r="2140" spans="2:19" x14ac:dyDescent="0.5">
      <c r="B2140" s="5" t="str">
        <f t="shared" si="2239"/>
        <v>SPS1</v>
      </c>
      <c r="C2140" s="5" t="str">
        <f t="shared" si="2240"/>
        <v>CH</v>
      </c>
      <c r="D2140" t="s">
        <v>2269</v>
      </c>
      <c r="E2140" t="str">
        <f t="shared" si="2241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1.8520904325025399E-5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4.8865644685900898E-2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1.39728544283423E-5</v>
      </c>
      <c r="J2140" s="1" cm="1">
        <f t="array" ref="J2140">SUMPRODUCT(("var_ncap"=[1]OUT_TransportEnergyCons!$B$4:$B$10000)*1,("-"=[1]OUT_TransportEnergyCons!$C$4:$C$10000)*1,ISNUMBER(SEARCH("T_C*ICE*GSL*s3",[1]OUT_TransportEnergyCons!$A$4:$A$10000))*1,[1]OUT_TransportEnergyCons!H$4:H$10000)</f>
        <v>0</v>
      </c>
      <c r="K2140" s="1" cm="1">
        <f t="array" ref="K2140">SUMPRODUCT(("var_ncap"=[1]OUT_TransportEnergyCons!$B$4:$B$10000)*1,("-"=[1]OUT_TransportEnergyCons!$C$4:$C$10000)*1,ISNUMBER(SEARCH("T_C*ICE*GSL*s3",[1]OUT_TransportEnergyCons!$A$4:$A$10000))*1,[1]OUT_TransportEnergyCons!I$4:I$10000)</f>
        <v>0</v>
      </c>
      <c r="L2140" s="1" cm="1">
        <f t="array" ref="L2140">SUMPRODUCT(("var_ncap"=[1]OUT_TransportEnergyCons!$B$4:$B$10000)*1,("-"=[1]OUT_TransportEnergyCons!$C$4:$C$10000)*1,ISNUMBER(SEARCH("T_C*ICE*GSL*s3",[1]OUT_TransportEnergyCons!$A$4:$A$10000))*1,[1]OUT_TransportEnergyCons!J$4:J$10000)</f>
        <v>0</v>
      </c>
      <c r="M2140" s="1" cm="1">
        <f t="array" ref="M2140">SUMPRODUCT(("var_ncap"=[1]OUT_TransportEnergyCons!$B$4:$B$10000)*1,("-"=[1]OUT_TransportEnergyCons!$C$4:$C$10000)*1,ISNUMBER(SEARCH("T_C*ICE*GSL*s3",[1]OUT_TransportEnergyCons!$A$4:$A$10000))*1,[1]OUT_TransportEnergyCons!K$4:K$10000)</f>
        <v>0</v>
      </c>
      <c r="N2140" s="1" cm="1">
        <f t="array" ref="N2140">SUMPRODUCT(("var_ncap"=[1]OUT_TransportEnergyCons!$B$4:$B$10000)*1,("-"=[1]OUT_TransportEnergyCons!$C$4:$C$10000)*1,ISNUMBER(SEARCH("T_C*ICE*GSL*s3",[1]OUT_TransportEnergyCons!$A$4:$A$10000))*1,[1]OUT_TransportEnergyCons!L$4:L$10000)</f>
        <v>0</v>
      </c>
      <c r="O2140" s="1" cm="1">
        <f t="array" ref="O2140">SUMPRODUCT(("var_ncap"=[1]OUT_TransportEnergyCons!$B$4:$B$10000)*1,("-"=[1]OUT_TransportEnergyCons!$C$4:$C$10000)*1,ISNUMBER(SEARCH("T_C*ICE*GSL*s3",[1]OUT_TransportEnergyCons!$A$4:$A$10000))*1,[1]OUT_TransportEnergyCons!M$4:M$10000)</f>
        <v>0</v>
      </c>
      <c r="P2140" s="1" cm="1">
        <f t="array" ref="P2140">SUMPRODUCT(("var_ncap"=[1]OUT_TransportEnergyCons!$B$4:$B$10000)*1,("-"=[1]OUT_TransportEnergyCons!$C$4:$C$10000)*1,ISNUMBER(SEARCH("T_C*ICE*GSL*s3",[1]OUT_TransportEnergyCons!$A$4:$A$10000))*1,[1]OUT_TransportEnergyCons!N$4:N$10000)</f>
        <v>0</v>
      </c>
      <c r="Q2140" s="1" cm="1">
        <f t="array" ref="Q2140">SUMPRODUCT(("var_ncap"=[1]OUT_TransportEnergyCons!$B$4:$B$10000)*1,("-"=[1]OUT_TransportEnergyCons!$C$4:$C$10000)*1,ISNUMBER(SEARCH("T_C*ICE*GSL*s3",[1]OUT_TransportEnergyCons!$A$4:$A$10000))*1,[1]OUT_TransportEnergyCons!O$4:O$10000)</f>
        <v>0</v>
      </c>
      <c r="S2140" s="3"/>
    </row>
    <row r="2141" spans="2:19" x14ac:dyDescent="0.5">
      <c r="B2141" s="5" t="str">
        <f t="shared" si="2239"/>
        <v>SPS1</v>
      </c>
      <c r="C2141" s="5" t="str">
        <f t="shared" si="2240"/>
        <v>CH</v>
      </c>
      <c r="D2141" t="s">
        <v>2270</v>
      </c>
      <c r="E2141" t="str">
        <f t="shared" si="2241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1.2980994111158001E-5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0.20507606492765201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5.52540803619256E-5</v>
      </c>
      <c r="J2141" s="1" cm="1">
        <f t="array" ref="J2141">SUMPRODUCT(("var_ncap"=[1]OUT_TransportEnergyCons!$B$4:$B$10000)*1,("-"=[1]OUT_TransportEnergyCons!$C$4:$C$10000)*1,ISNUMBER(SEARCH("T_C*ICE*GSL*s4",[1]OUT_TransportEnergyCons!$A$4:$A$10000))*1,[1]OUT_TransportEnergyCons!H$4:H$10000)</f>
        <v>0</v>
      </c>
      <c r="K2141" s="1" cm="1">
        <f t="array" ref="K2141">SUMPRODUCT(("var_ncap"=[1]OUT_TransportEnergyCons!$B$4:$B$10000)*1,("-"=[1]OUT_TransportEnergyCons!$C$4:$C$10000)*1,ISNUMBER(SEARCH("T_C*ICE*GSL*s4",[1]OUT_TransportEnergyCons!$A$4:$A$10000))*1,[1]OUT_TransportEnergyCons!I$4:I$10000)</f>
        <v>0</v>
      </c>
      <c r="L2141" s="1" cm="1">
        <f t="array" ref="L2141">SUMPRODUCT(("var_ncap"=[1]OUT_TransportEnergyCons!$B$4:$B$10000)*1,("-"=[1]OUT_TransportEnergyCons!$C$4:$C$10000)*1,ISNUMBER(SEARCH("T_C*ICE*GSL*s4",[1]OUT_TransportEnergyCons!$A$4:$A$10000))*1,[1]OUT_TransportEnergyCons!J$4:J$10000)</f>
        <v>0</v>
      </c>
      <c r="M2141" s="1" cm="1">
        <f t="array" ref="M2141">SUMPRODUCT(("var_ncap"=[1]OUT_TransportEnergyCons!$B$4:$B$10000)*1,("-"=[1]OUT_TransportEnergyCons!$C$4:$C$10000)*1,ISNUMBER(SEARCH("T_C*ICE*GSL*s4",[1]OUT_TransportEnergyCons!$A$4:$A$10000))*1,[1]OUT_TransportEnergyCons!K$4:K$10000)</f>
        <v>0</v>
      </c>
      <c r="N2141" s="1" cm="1">
        <f t="array" ref="N2141">SUMPRODUCT(("var_ncap"=[1]OUT_TransportEnergyCons!$B$4:$B$10000)*1,("-"=[1]OUT_TransportEnergyCons!$C$4:$C$10000)*1,ISNUMBER(SEARCH("T_C*ICE*GSL*s4",[1]OUT_TransportEnergyCons!$A$4:$A$10000))*1,[1]OUT_TransportEnergyCons!L$4:L$10000)</f>
        <v>0</v>
      </c>
      <c r="O2141" s="1" cm="1">
        <f t="array" ref="O2141">SUMPRODUCT(("var_ncap"=[1]OUT_TransportEnergyCons!$B$4:$B$10000)*1,("-"=[1]OUT_TransportEnergyCons!$C$4:$C$10000)*1,ISNUMBER(SEARCH("T_C*ICE*GSL*s4",[1]OUT_TransportEnergyCons!$A$4:$A$10000))*1,[1]OUT_TransportEnergyCons!M$4:M$10000)</f>
        <v>0</v>
      </c>
      <c r="P2141" s="1" cm="1">
        <f t="array" ref="P2141">SUMPRODUCT(("var_ncap"=[1]OUT_TransportEnergyCons!$B$4:$B$10000)*1,("-"=[1]OUT_TransportEnergyCons!$C$4:$C$10000)*1,ISNUMBER(SEARCH("T_C*ICE*GSL*s4",[1]OUT_TransportEnergyCons!$A$4:$A$10000))*1,[1]OUT_TransportEnergyCons!N$4:N$10000)</f>
        <v>0</v>
      </c>
      <c r="Q2141" s="1" cm="1">
        <f t="array" ref="Q2141">SUMPRODUCT(("var_ncap"=[1]OUT_TransportEnergyCons!$B$4:$B$10000)*1,("-"=[1]OUT_TransportEnergyCons!$C$4:$C$10000)*1,ISNUMBER(SEARCH("T_C*ICE*GSL*s4",[1]OUT_TransportEnergyCons!$A$4:$A$10000))*1,[1]OUT_TransportEnergyCons!O$4:O$10000)</f>
        <v>0</v>
      </c>
      <c r="S2141" s="3"/>
    </row>
    <row r="2142" spans="2:19" x14ac:dyDescent="0.5">
      <c r="B2142" s="5" t="str">
        <f t="shared" si="2239"/>
        <v>SPS1</v>
      </c>
      <c r="C2142" s="5" t="str">
        <f t="shared" si="2240"/>
        <v>CH</v>
      </c>
      <c r="D2142" t="s">
        <v>2271</v>
      </c>
      <c r="E2142" t="str">
        <f t="shared" si="2241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7.7218569997203406E-6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3.13422320184691E-5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1.6927269472460699E-5</v>
      </c>
      <c r="J2142" s="1" cm="1">
        <f t="array" ref="J2142">SUMPRODUCT(("var_ncap"=[1]OUT_TransportEnergyCons!$B$4:$B$10000)*1,("-"=[1]OUT_TransportEnergyCons!$C$4:$C$10000)*1,ISNUMBER(SEARCH("T_C*mhy*GSL*s1",[1]OUT_TransportEnergyCons!$A$4:$A$10000))*1,[1]OUT_TransportEnergyCons!H$4:H$10000)</f>
        <v>0</v>
      </c>
      <c r="K2142" s="1" cm="1">
        <f t="array" ref="K2142">SUMPRODUCT(("var_ncap"=[1]OUT_TransportEnergyCons!$B$4:$B$10000)*1,("-"=[1]OUT_TransportEnergyCons!$C$4:$C$10000)*1,ISNUMBER(SEARCH("T_C*mhy*GSL*s1",[1]OUT_TransportEnergyCons!$A$4:$A$10000))*1,[1]OUT_TransportEnergyCons!I$4:I$10000)</f>
        <v>0</v>
      </c>
      <c r="L2142" s="1" cm="1">
        <f t="array" ref="L2142">SUMPRODUCT(("var_ncap"=[1]OUT_TransportEnergyCons!$B$4:$B$10000)*1,("-"=[1]OUT_TransportEnergyCons!$C$4:$C$10000)*1,ISNUMBER(SEARCH("T_C*mhy*GSL*s1",[1]OUT_TransportEnergyCons!$A$4:$A$10000))*1,[1]OUT_TransportEnergyCons!J$4:J$10000)</f>
        <v>0</v>
      </c>
      <c r="M2142" s="1" cm="1">
        <f t="array" ref="M2142">SUMPRODUCT(("var_ncap"=[1]OUT_TransportEnergyCons!$B$4:$B$10000)*1,("-"=[1]OUT_TransportEnergyCons!$C$4:$C$10000)*1,ISNUMBER(SEARCH("T_C*mhy*GSL*s1",[1]OUT_TransportEnergyCons!$A$4:$A$10000))*1,[1]OUT_TransportEnergyCons!K$4:K$10000)</f>
        <v>0</v>
      </c>
      <c r="N2142" s="1" cm="1">
        <f t="array" ref="N2142">SUMPRODUCT(("var_ncap"=[1]OUT_TransportEnergyCons!$B$4:$B$10000)*1,("-"=[1]OUT_TransportEnergyCons!$C$4:$C$10000)*1,ISNUMBER(SEARCH("T_C*mhy*GSL*s1",[1]OUT_TransportEnergyCons!$A$4:$A$10000))*1,[1]OUT_TransportEnergyCons!L$4:L$10000)</f>
        <v>0</v>
      </c>
      <c r="O2142" s="1" cm="1">
        <f t="array" ref="O2142">SUMPRODUCT(("var_ncap"=[1]OUT_TransportEnergyCons!$B$4:$B$10000)*1,("-"=[1]OUT_TransportEnergyCons!$C$4:$C$10000)*1,ISNUMBER(SEARCH("T_C*mhy*GSL*s1",[1]OUT_TransportEnergyCons!$A$4:$A$10000))*1,[1]OUT_TransportEnergyCons!M$4:M$10000)</f>
        <v>0</v>
      </c>
      <c r="P2142" s="1" cm="1">
        <f t="array" ref="P2142">SUMPRODUCT(("var_ncap"=[1]OUT_TransportEnergyCons!$B$4:$B$10000)*1,("-"=[1]OUT_TransportEnergyCons!$C$4:$C$10000)*1,ISNUMBER(SEARCH("T_C*mhy*GSL*s1",[1]OUT_TransportEnergyCons!$A$4:$A$10000))*1,[1]OUT_TransportEnergyCons!N$4:N$10000)</f>
        <v>0</v>
      </c>
      <c r="Q2142" s="1" cm="1">
        <f t="array" ref="Q2142">SUMPRODUCT(("var_ncap"=[1]OUT_TransportEnergyCons!$B$4:$B$10000)*1,("-"=[1]OUT_TransportEnergyCons!$C$4:$C$10000)*1,ISNUMBER(SEARCH("T_C*mhy*GSL*s1",[1]OUT_TransportEnergyCons!$A$4:$A$10000))*1,[1]OUT_TransportEnergyCons!O$4:O$10000)</f>
        <v>0</v>
      </c>
      <c r="S2142" s="3"/>
    </row>
    <row r="2143" spans="2:19" x14ac:dyDescent="0.5">
      <c r="B2143" s="5" t="str">
        <f t="shared" si="2239"/>
        <v>SPS1</v>
      </c>
      <c r="C2143" s="5" t="str">
        <f t="shared" si="2240"/>
        <v>CH</v>
      </c>
      <c r="D2143" t="s">
        <v>2272</v>
      </c>
      <c r="E2143" t="str">
        <f t="shared" si="2241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4.0328748966314304E-6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1.5217155857714999E-5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1.09042453106547E-5</v>
      </c>
      <c r="J2143" s="1" cm="1">
        <f t="array" ref="J2143">SUMPRODUCT(("var_ncap"=[1]OUT_TransportEnergyCons!$B$4:$B$10000)*1,("-"=[1]OUT_TransportEnergyCons!$C$4:$C$10000)*1,ISNUMBER(SEARCH("T_C*mhy*GSL*s2",[1]OUT_TransportEnergyCons!$A$4:$A$10000))*1,[1]OUT_TransportEnergyCons!H$4:H$10000)</f>
        <v>0</v>
      </c>
      <c r="K2143" s="1" cm="1">
        <f t="array" ref="K2143">SUMPRODUCT(("var_ncap"=[1]OUT_TransportEnergyCons!$B$4:$B$10000)*1,("-"=[1]OUT_TransportEnergyCons!$C$4:$C$10000)*1,ISNUMBER(SEARCH("T_C*mhy*GSL*s2",[1]OUT_TransportEnergyCons!$A$4:$A$10000))*1,[1]OUT_TransportEnergyCons!I$4:I$10000)</f>
        <v>0</v>
      </c>
      <c r="L2143" s="1" cm="1">
        <f t="array" ref="L2143">SUMPRODUCT(("var_ncap"=[1]OUT_TransportEnergyCons!$B$4:$B$10000)*1,("-"=[1]OUT_TransportEnergyCons!$C$4:$C$10000)*1,ISNUMBER(SEARCH("T_C*mhy*GSL*s2",[1]OUT_TransportEnergyCons!$A$4:$A$10000))*1,[1]OUT_TransportEnergyCons!J$4:J$10000)</f>
        <v>0</v>
      </c>
      <c r="M2143" s="1" cm="1">
        <f t="array" ref="M2143">SUMPRODUCT(("var_ncap"=[1]OUT_TransportEnergyCons!$B$4:$B$10000)*1,("-"=[1]OUT_TransportEnergyCons!$C$4:$C$10000)*1,ISNUMBER(SEARCH("T_C*mhy*GSL*s2",[1]OUT_TransportEnergyCons!$A$4:$A$10000))*1,[1]OUT_TransportEnergyCons!K$4:K$10000)</f>
        <v>0</v>
      </c>
      <c r="N2143" s="1" cm="1">
        <f t="array" ref="N2143">SUMPRODUCT(("var_ncap"=[1]OUT_TransportEnergyCons!$B$4:$B$10000)*1,("-"=[1]OUT_TransportEnergyCons!$C$4:$C$10000)*1,ISNUMBER(SEARCH("T_C*mhy*GSL*s2",[1]OUT_TransportEnergyCons!$A$4:$A$10000))*1,[1]OUT_TransportEnergyCons!L$4:L$10000)</f>
        <v>0</v>
      </c>
      <c r="O2143" s="1" cm="1">
        <f t="array" ref="O2143">SUMPRODUCT(("var_ncap"=[1]OUT_TransportEnergyCons!$B$4:$B$10000)*1,("-"=[1]OUT_TransportEnergyCons!$C$4:$C$10000)*1,ISNUMBER(SEARCH("T_C*mhy*GSL*s2",[1]OUT_TransportEnergyCons!$A$4:$A$10000))*1,[1]OUT_TransportEnergyCons!M$4:M$10000)</f>
        <v>0</v>
      </c>
      <c r="P2143" s="1" cm="1">
        <f t="array" ref="P2143">SUMPRODUCT(("var_ncap"=[1]OUT_TransportEnergyCons!$B$4:$B$10000)*1,("-"=[1]OUT_TransportEnergyCons!$C$4:$C$10000)*1,ISNUMBER(SEARCH("T_C*mhy*GSL*s2",[1]OUT_TransportEnergyCons!$A$4:$A$10000))*1,[1]OUT_TransportEnergyCons!N$4:N$10000)</f>
        <v>0</v>
      </c>
      <c r="Q2143" s="1" cm="1">
        <f t="array" ref="Q2143">SUMPRODUCT(("var_ncap"=[1]OUT_TransportEnergyCons!$B$4:$B$10000)*1,("-"=[1]OUT_TransportEnergyCons!$C$4:$C$10000)*1,ISNUMBER(SEARCH("T_C*mhy*GSL*s2",[1]OUT_TransportEnergyCons!$A$4:$A$10000))*1,[1]OUT_TransportEnergyCons!O$4:O$10000)</f>
        <v>0</v>
      </c>
      <c r="S2143" s="3"/>
    </row>
    <row r="2144" spans="2:19" x14ac:dyDescent="0.5">
      <c r="B2144" s="5" t="str">
        <f t="shared" si="2239"/>
        <v>SPS1</v>
      </c>
      <c r="C2144" s="5" t="str">
        <f t="shared" si="2240"/>
        <v>CH</v>
      </c>
      <c r="D2144" t="s">
        <v>2273</v>
      </c>
      <c r="E2144" t="str">
        <f t="shared" si="2241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4.6529539395878604E-6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1.24560664954448E-5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7.78485798996862E-6</v>
      </c>
      <c r="J2144" s="1" cm="1">
        <f t="array" ref="J2144">SUMPRODUCT(("var_ncap"=[1]OUT_TransportEnergyCons!$B$4:$B$10000)*1,("-"=[1]OUT_TransportEnergyCons!$C$4:$C$10000)*1,ISNUMBER(SEARCH("T_C*mhy*GSL*s3",[1]OUT_TransportEnergyCons!$A$4:$A$10000))*1,[1]OUT_TransportEnergyCons!H$4:H$10000)</f>
        <v>0</v>
      </c>
      <c r="K2144" s="1" cm="1">
        <f t="array" ref="K2144">SUMPRODUCT(("var_ncap"=[1]OUT_TransportEnergyCons!$B$4:$B$10000)*1,("-"=[1]OUT_TransportEnergyCons!$C$4:$C$10000)*1,ISNUMBER(SEARCH("T_C*mhy*GSL*s3",[1]OUT_TransportEnergyCons!$A$4:$A$10000))*1,[1]OUT_TransportEnergyCons!I$4:I$10000)</f>
        <v>0</v>
      </c>
      <c r="L2144" s="1" cm="1">
        <f t="array" ref="L2144">SUMPRODUCT(("var_ncap"=[1]OUT_TransportEnergyCons!$B$4:$B$10000)*1,("-"=[1]OUT_TransportEnergyCons!$C$4:$C$10000)*1,ISNUMBER(SEARCH("T_C*mhy*GSL*s3",[1]OUT_TransportEnergyCons!$A$4:$A$10000))*1,[1]OUT_TransportEnergyCons!J$4:J$10000)</f>
        <v>0</v>
      </c>
      <c r="M2144" s="1" cm="1">
        <f t="array" ref="M2144">SUMPRODUCT(("var_ncap"=[1]OUT_TransportEnergyCons!$B$4:$B$10000)*1,("-"=[1]OUT_TransportEnergyCons!$C$4:$C$10000)*1,ISNUMBER(SEARCH("T_C*mhy*GSL*s3",[1]OUT_TransportEnergyCons!$A$4:$A$10000))*1,[1]OUT_TransportEnergyCons!K$4:K$10000)</f>
        <v>0</v>
      </c>
      <c r="N2144" s="1" cm="1">
        <f t="array" ref="N2144">SUMPRODUCT(("var_ncap"=[1]OUT_TransportEnergyCons!$B$4:$B$10000)*1,("-"=[1]OUT_TransportEnergyCons!$C$4:$C$10000)*1,ISNUMBER(SEARCH("T_C*mhy*GSL*s3",[1]OUT_TransportEnergyCons!$A$4:$A$10000))*1,[1]OUT_TransportEnergyCons!L$4:L$10000)</f>
        <v>0</v>
      </c>
      <c r="O2144" s="1" cm="1">
        <f t="array" ref="O2144">SUMPRODUCT(("var_ncap"=[1]OUT_TransportEnergyCons!$B$4:$B$10000)*1,("-"=[1]OUT_TransportEnergyCons!$C$4:$C$10000)*1,ISNUMBER(SEARCH("T_C*mhy*GSL*s3",[1]OUT_TransportEnergyCons!$A$4:$A$10000))*1,[1]OUT_TransportEnergyCons!M$4:M$10000)</f>
        <v>0</v>
      </c>
      <c r="P2144" s="1" cm="1">
        <f t="array" ref="P2144">SUMPRODUCT(("var_ncap"=[1]OUT_TransportEnergyCons!$B$4:$B$10000)*1,("-"=[1]OUT_TransportEnergyCons!$C$4:$C$10000)*1,ISNUMBER(SEARCH("T_C*mhy*GSL*s3",[1]OUT_TransportEnergyCons!$A$4:$A$10000))*1,[1]OUT_TransportEnergyCons!N$4:N$10000)</f>
        <v>0</v>
      </c>
      <c r="Q2144" s="1" cm="1">
        <f t="array" ref="Q2144">SUMPRODUCT(("var_ncap"=[1]OUT_TransportEnergyCons!$B$4:$B$10000)*1,("-"=[1]OUT_TransportEnergyCons!$C$4:$C$10000)*1,ISNUMBER(SEARCH("T_C*mhy*GSL*s3",[1]OUT_TransportEnergyCons!$A$4:$A$10000))*1,[1]OUT_TransportEnergyCons!O$4:O$10000)</f>
        <v>0</v>
      </c>
      <c r="S2144" s="3"/>
    </row>
    <row r="2145" spans="2:19" x14ac:dyDescent="0.5">
      <c r="B2145" s="5" t="str">
        <f t="shared" si="2239"/>
        <v>SPS1</v>
      </c>
      <c r="C2145" s="5" t="str">
        <f t="shared" si="2240"/>
        <v>CH</v>
      </c>
      <c r="D2145" t="s">
        <v>2274</v>
      </c>
      <c r="E2145" t="str">
        <f t="shared" si="2241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6.3793977808038896E-6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2.0643634240626E-5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1.5535594639411099E-5</v>
      </c>
      <c r="J2145" s="1" cm="1">
        <f t="array" ref="J2145">SUMPRODUCT(("var_ncap"=[1]OUT_TransportEnergyCons!$B$4:$B$10000)*1,("-"=[1]OUT_TransportEnergyCons!$C$4:$C$10000)*1,ISNUMBER(SEARCH("T_C*mhy*GSL*s4",[1]OUT_TransportEnergyCons!$A$4:$A$10000))*1,[1]OUT_TransportEnergyCons!H$4:H$10000)</f>
        <v>0</v>
      </c>
      <c r="K2145" s="1" cm="1">
        <f t="array" ref="K2145">SUMPRODUCT(("var_ncap"=[1]OUT_TransportEnergyCons!$B$4:$B$10000)*1,("-"=[1]OUT_TransportEnergyCons!$C$4:$C$10000)*1,ISNUMBER(SEARCH("T_C*mhy*GSL*s4",[1]OUT_TransportEnergyCons!$A$4:$A$10000))*1,[1]OUT_TransportEnergyCons!I$4:I$10000)</f>
        <v>0</v>
      </c>
      <c r="L2145" s="1" cm="1">
        <f t="array" ref="L2145">SUMPRODUCT(("var_ncap"=[1]OUT_TransportEnergyCons!$B$4:$B$10000)*1,("-"=[1]OUT_TransportEnergyCons!$C$4:$C$10000)*1,ISNUMBER(SEARCH("T_C*mhy*GSL*s4",[1]OUT_TransportEnergyCons!$A$4:$A$10000))*1,[1]OUT_TransportEnergyCons!J$4:J$10000)</f>
        <v>0</v>
      </c>
      <c r="M2145" s="1" cm="1">
        <f t="array" ref="M2145">SUMPRODUCT(("var_ncap"=[1]OUT_TransportEnergyCons!$B$4:$B$10000)*1,("-"=[1]OUT_TransportEnergyCons!$C$4:$C$10000)*1,ISNUMBER(SEARCH("T_C*mhy*GSL*s4",[1]OUT_TransportEnergyCons!$A$4:$A$10000))*1,[1]OUT_TransportEnergyCons!K$4:K$10000)</f>
        <v>0</v>
      </c>
      <c r="N2145" s="1" cm="1">
        <f t="array" ref="N2145">SUMPRODUCT(("var_ncap"=[1]OUT_TransportEnergyCons!$B$4:$B$10000)*1,("-"=[1]OUT_TransportEnergyCons!$C$4:$C$10000)*1,ISNUMBER(SEARCH("T_C*mhy*GSL*s4",[1]OUT_TransportEnergyCons!$A$4:$A$10000))*1,[1]OUT_TransportEnergyCons!L$4:L$10000)</f>
        <v>0</v>
      </c>
      <c r="O2145" s="1" cm="1">
        <f t="array" ref="O2145">SUMPRODUCT(("var_ncap"=[1]OUT_TransportEnergyCons!$B$4:$B$10000)*1,("-"=[1]OUT_TransportEnergyCons!$C$4:$C$10000)*1,ISNUMBER(SEARCH("T_C*mhy*GSL*s4",[1]OUT_TransportEnergyCons!$A$4:$A$10000))*1,[1]OUT_TransportEnergyCons!M$4:M$10000)</f>
        <v>0</v>
      </c>
      <c r="P2145" s="1" cm="1">
        <f t="array" ref="P2145">SUMPRODUCT(("var_ncap"=[1]OUT_TransportEnergyCons!$B$4:$B$10000)*1,("-"=[1]OUT_TransportEnergyCons!$C$4:$C$10000)*1,ISNUMBER(SEARCH("T_C*mhy*GSL*s4",[1]OUT_TransportEnergyCons!$A$4:$A$10000))*1,[1]OUT_TransportEnergyCons!N$4:N$10000)</f>
        <v>0</v>
      </c>
      <c r="Q2145" s="1" cm="1">
        <f t="array" ref="Q2145">SUMPRODUCT(("var_ncap"=[1]OUT_TransportEnergyCons!$B$4:$B$10000)*1,("-"=[1]OUT_TransportEnergyCons!$C$4:$C$10000)*1,ISNUMBER(SEARCH("T_C*mhy*GSL*s4",[1]OUT_TransportEnergyCons!$A$4:$A$10000))*1,[1]OUT_TransportEnergyCons!O$4:O$10000)</f>
        <v>0</v>
      </c>
      <c r="S2145" s="3"/>
    </row>
    <row r="2146" spans="2:19" x14ac:dyDescent="0.5">
      <c r="B2146" s="5" t="str">
        <f t="shared" si="2239"/>
        <v>SPS1</v>
      </c>
      <c r="C2146" s="5" t="str">
        <f t="shared" si="2240"/>
        <v>CH</v>
      </c>
      <c r="D2146" t="s">
        <v>2275</v>
      </c>
      <c r="E2146" t="str">
        <f t="shared" si="2241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SUMPRODUCT(("var_ncap"=[1]OUT_TransportEnergyCons!$B$4:$B$10000)*1,("-"=[1]OUT_TransportEnergyCons!$C$4:$C$10000)*1,ISNUMBER(SEARCH("T_C*hy*dsl*ext",[1]OUT_TransportEnergyCons!$A$4:$A$10000))*1,[1]OUT_TransportEnergyCons!H$4:H$10000)</f>
        <v>0</v>
      </c>
      <c r="K2146" s="1" cm="1">
        <f t="array" ref="K2146">SUMPRODUCT(("var_ncap"=[1]OUT_TransportEnergyCons!$B$4:$B$10000)*1,("-"=[1]OUT_TransportEnergyCons!$C$4:$C$10000)*1,ISNUMBER(SEARCH("T_C*hy*dsl*ext",[1]OUT_TransportEnergyCons!$A$4:$A$10000))*1,[1]OUT_TransportEnergyCons!I$4:I$10000)</f>
        <v>0</v>
      </c>
      <c r="L2146" s="1" cm="1">
        <f t="array" ref="L2146">SUMPRODUCT(("var_ncap"=[1]OUT_TransportEnergyCons!$B$4:$B$10000)*1,("-"=[1]OUT_TransportEnergyCons!$C$4:$C$10000)*1,ISNUMBER(SEARCH("T_C*hy*dsl*ext",[1]OUT_TransportEnergyCons!$A$4:$A$10000))*1,[1]OUT_TransportEnergyCons!J$4:J$10000)</f>
        <v>0</v>
      </c>
      <c r="M2146" s="1" cm="1">
        <f t="array" ref="M2146">SUMPRODUCT(("var_ncap"=[1]OUT_TransportEnergyCons!$B$4:$B$10000)*1,("-"=[1]OUT_TransportEnergyCons!$C$4:$C$10000)*1,ISNUMBER(SEARCH("T_C*hy*dsl*ext",[1]OUT_TransportEnergyCons!$A$4:$A$10000))*1,[1]OUT_TransportEnergyCons!K$4:K$10000)</f>
        <v>0</v>
      </c>
      <c r="N2146" s="1" cm="1">
        <f t="array" ref="N2146">SUMPRODUCT(("var_ncap"=[1]OUT_TransportEnergyCons!$B$4:$B$10000)*1,("-"=[1]OUT_TransportEnergyCons!$C$4:$C$10000)*1,ISNUMBER(SEARCH("T_C*hy*dsl*ext",[1]OUT_TransportEnergyCons!$A$4:$A$10000))*1,[1]OUT_TransportEnergyCons!L$4:L$10000)</f>
        <v>0</v>
      </c>
      <c r="O2146" s="1" cm="1">
        <f t="array" ref="O2146">SUMPRODUCT(("var_ncap"=[1]OUT_TransportEnergyCons!$B$4:$B$10000)*1,("-"=[1]OUT_TransportEnergyCons!$C$4:$C$10000)*1,ISNUMBER(SEARCH("T_C*hy*dsl*ext",[1]OUT_TransportEnergyCons!$A$4:$A$10000))*1,[1]OUT_TransportEnergyCons!M$4:M$10000)</f>
        <v>0</v>
      </c>
      <c r="P2146" s="1" cm="1">
        <f t="array" ref="P2146">SUMPRODUCT(("var_ncap"=[1]OUT_TransportEnergyCons!$B$4:$B$10000)*1,("-"=[1]OUT_TransportEnergyCons!$C$4:$C$10000)*1,ISNUMBER(SEARCH("T_C*hy*dsl*ext",[1]OUT_TransportEnergyCons!$A$4:$A$10000))*1,[1]OUT_TransportEnergyCons!N$4:N$10000)</f>
        <v>0</v>
      </c>
      <c r="Q2146" s="1" cm="1">
        <f t="array" ref="Q2146">SUMPRODUCT(("var_ncap"=[1]OUT_TransportEnergyCons!$B$4:$B$10000)*1,("-"=[1]OUT_TransportEnergyCons!$C$4:$C$10000)*1,ISNUMBER(SEARCH("T_C*hy*dsl*ext",[1]OUT_TransportEnergyCons!$A$4:$A$10000))*1,[1]OUT_TransportEnergyCons!O$4:O$10000)</f>
        <v>0</v>
      </c>
      <c r="S2146" s="3"/>
    </row>
    <row r="2147" spans="2:19" x14ac:dyDescent="0.5">
      <c r="B2147" s="5" t="str">
        <f t="shared" ref="B2147:B2164" si="2242">B2146</f>
        <v>SPS1</v>
      </c>
      <c r="C2147" s="5" t="str">
        <f t="shared" ref="C2147:C2164" si="2243">C2146</f>
        <v>CH</v>
      </c>
      <c r="D2147" t="s">
        <v>2276</v>
      </c>
      <c r="E2147" t="str">
        <f t="shared" ref="E2147:E2164" si="2244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3.046893482852045E-2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4.6063515872410735E-4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5.2450642441187096E-5</v>
      </c>
      <c r="J2147" s="1" cm="1">
        <f t="array" ref="J2147">SUMPRODUCT(("var_ncap"=[1]OUT_TransportEnergyCons!$B$4:$B$10000)*1,("-"=[1]OUT_TransportEnergyCons!$C$4:$C$10000)*1,ISNUMBER(SEARCH("T_C*hy*dsl*s1",[1]OUT_TransportEnergyCons!$A$4:$A$10000))*1,[1]OUT_TransportEnergyCons!H$4:H$10000)</f>
        <v>0</v>
      </c>
      <c r="K2147" s="1" cm="1">
        <f t="array" ref="K2147">SUMPRODUCT(("var_ncap"=[1]OUT_TransportEnergyCons!$B$4:$B$10000)*1,("-"=[1]OUT_TransportEnergyCons!$C$4:$C$10000)*1,ISNUMBER(SEARCH("T_C*hy*dsl*s1",[1]OUT_TransportEnergyCons!$A$4:$A$10000))*1,[1]OUT_TransportEnergyCons!I$4:I$10000)</f>
        <v>0</v>
      </c>
      <c r="L2147" s="1" cm="1">
        <f t="array" ref="L2147">SUMPRODUCT(("var_ncap"=[1]OUT_TransportEnergyCons!$B$4:$B$10000)*1,("-"=[1]OUT_TransportEnergyCons!$C$4:$C$10000)*1,ISNUMBER(SEARCH("T_C*hy*dsl*s1",[1]OUT_TransportEnergyCons!$A$4:$A$10000))*1,[1]OUT_TransportEnergyCons!J$4:J$10000)</f>
        <v>0</v>
      </c>
      <c r="M2147" s="1" cm="1">
        <f t="array" ref="M2147">SUMPRODUCT(("var_ncap"=[1]OUT_TransportEnergyCons!$B$4:$B$10000)*1,("-"=[1]OUT_TransportEnergyCons!$C$4:$C$10000)*1,ISNUMBER(SEARCH("T_C*hy*dsl*s1",[1]OUT_TransportEnergyCons!$A$4:$A$10000))*1,[1]OUT_TransportEnergyCons!K$4:K$10000)</f>
        <v>0</v>
      </c>
      <c r="N2147" s="1" cm="1">
        <f t="array" ref="N2147">SUMPRODUCT(("var_ncap"=[1]OUT_TransportEnergyCons!$B$4:$B$10000)*1,("-"=[1]OUT_TransportEnergyCons!$C$4:$C$10000)*1,ISNUMBER(SEARCH("T_C*hy*dsl*s1",[1]OUT_TransportEnergyCons!$A$4:$A$10000))*1,[1]OUT_TransportEnergyCons!L$4:L$10000)</f>
        <v>0</v>
      </c>
      <c r="O2147" s="1" cm="1">
        <f t="array" ref="O2147">SUMPRODUCT(("var_ncap"=[1]OUT_TransportEnergyCons!$B$4:$B$10000)*1,("-"=[1]OUT_TransportEnergyCons!$C$4:$C$10000)*1,ISNUMBER(SEARCH("T_C*hy*dsl*s1",[1]OUT_TransportEnergyCons!$A$4:$A$10000))*1,[1]OUT_TransportEnergyCons!M$4:M$10000)</f>
        <v>0</v>
      </c>
      <c r="P2147" s="1" cm="1">
        <f t="array" ref="P2147">SUMPRODUCT(("var_ncap"=[1]OUT_TransportEnergyCons!$B$4:$B$10000)*1,("-"=[1]OUT_TransportEnergyCons!$C$4:$C$10000)*1,ISNUMBER(SEARCH("T_C*hy*dsl*s1",[1]OUT_TransportEnergyCons!$A$4:$A$10000))*1,[1]OUT_TransportEnergyCons!N$4:N$10000)</f>
        <v>0</v>
      </c>
      <c r="Q2147" s="1" cm="1">
        <f t="array" ref="Q2147">SUMPRODUCT(("var_ncap"=[1]OUT_TransportEnergyCons!$B$4:$B$10000)*1,("-"=[1]OUT_TransportEnergyCons!$C$4:$C$10000)*1,ISNUMBER(SEARCH("T_C*hy*dsl*s1",[1]OUT_TransportEnergyCons!$A$4:$A$10000))*1,[1]OUT_TransportEnergyCons!O$4:O$10000)</f>
        <v>0</v>
      </c>
      <c r="S2147" s="3"/>
    </row>
    <row r="2148" spans="2:19" x14ac:dyDescent="0.5">
      <c r="B2148" s="5" t="str">
        <f t="shared" si="2242"/>
        <v>SPS1</v>
      </c>
      <c r="C2148" s="5" t="str">
        <f t="shared" si="2243"/>
        <v>CH</v>
      </c>
      <c r="D2148" t="s">
        <v>2277</v>
      </c>
      <c r="E2148" t="str">
        <f t="shared" si="2244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0.11945653245289163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9.2542209249107416E-2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2.357956851303162E-5</v>
      </c>
      <c r="J2148" s="1" cm="1">
        <f t="array" ref="J2148">SUMPRODUCT(("var_ncap"=[1]OUT_TransportEnergyCons!$B$4:$B$10000)*1,("-"=[1]OUT_TransportEnergyCons!$C$4:$C$10000)*1,ISNUMBER(SEARCH("T_C*hy*dsl*s2",[1]OUT_TransportEnergyCons!$A$4:$A$10000))*1,[1]OUT_TransportEnergyCons!H$4:H$10000)</f>
        <v>0</v>
      </c>
      <c r="K2148" s="1" cm="1">
        <f t="array" ref="K2148">SUMPRODUCT(("var_ncap"=[1]OUT_TransportEnergyCons!$B$4:$B$10000)*1,("-"=[1]OUT_TransportEnergyCons!$C$4:$C$10000)*1,ISNUMBER(SEARCH("T_C*hy*dsl*s2",[1]OUT_TransportEnergyCons!$A$4:$A$10000))*1,[1]OUT_TransportEnergyCons!I$4:I$10000)</f>
        <v>0</v>
      </c>
      <c r="L2148" s="1" cm="1">
        <f t="array" ref="L2148">SUMPRODUCT(("var_ncap"=[1]OUT_TransportEnergyCons!$B$4:$B$10000)*1,("-"=[1]OUT_TransportEnergyCons!$C$4:$C$10000)*1,ISNUMBER(SEARCH("T_C*hy*dsl*s2",[1]OUT_TransportEnergyCons!$A$4:$A$10000))*1,[1]OUT_TransportEnergyCons!J$4:J$10000)</f>
        <v>0</v>
      </c>
      <c r="M2148" s="1" cm="1">
        <f t="array" ref="M2148">SUMPRODUCT(("var_ncap"=[1]OUT_TransportEnergyCons!$B$4:$B$10000)*1,("-"=[1]OUT_TransportEnergyCons!$C$4:$C$10000)*1,ISNUMBER(SEARCH("T_C*hy*dsl*s2",[1]OUT_TransportEnergyCons!$A$4:$A$10000))*1,[1]OUT_TransportEnergyCons!K$4:K$10000)</f>
        <v>0</v>
      </c>
      <c r="N2148" s="1" cm="1">
        <f t="array" ref="N2148">SUMPRODUCT(("var_ncap"=[1]OUT_TransportEnergyCons!$B$4:$B$10000)*1,("-"=[1]OUT_TransportEnergyCons!$C$4:$C$10000)*1,ISNUMBER(SEARCH("T_C*hy*dsl*s2",[1]OUT_TransportEnergyCons!$A$4:$A$10000))*1,[1]OUT_TransportEnergyCons!L$4:L$10000)</f>
        <v>0</v>
      </c>
      <c r="O2148" s="1" cm="1">
        <f t="array" ref="O2148">SUMPRODUCT(("var_ncap"=[1]OUT_TransportEnergyCons!$B$4:$B$10000)*1,("-"=[1]OUT_TransportEnergyCons!$C$4:$C$10000)*1,ISNUMBER(SEARCH("T_C*hy*dsl*s2",[1]OUT_TransportEnergyCons!$A$4:$A$10000))*1,[1]OUT_TransportEnergyCons!M$4:M$10000)</f>
        <v>0</v>
      </c>
      <c r="P2148" s="1" cm="1">
        <f t="array" ref="P2148">SUMPRODUCT(("var_ncap"=[1]OUT_TransportEnergyCons!$B$4:$B$10000)*1,("-"=[1]OUT_TransportEnergyCons!$C$4:$C$10000)*1,ISNUMBER(SEARCH("T_C*hy*dsl*s2",[1]OUT_TransportEnergyCons!$A$4:$A$10000))*1,[1]OUT_TransportEnergyCons!N$4:N$10000)</f>
        <v>0</v>
      </c>
      <c r="Q2148" s="1" cm="1">
        <f t="array" ref="Q2148">SUMPRODUCT(("var_ncap"=[1]OUT_TransportEnergyCons!$B$4:$B$10000)*1,("-"=[1]OUT_TransportEnergyCons!$C$4:$C$10000)*1,ISNUMBER(SEARCH("T_C*hy*dsl*s2",[1]OUT_TransportEnergyCons!$A$4:$A$10000))*1,[1]OUT_TransportEnergyCons!O$4:O$10000)</f>
        <v>0</v>
      </c>
      <c r="S2148" s="3"/>
    </row>
    <row r="2149" spans="2:19" x14ac:dyDescent="0.5">
      <c r="B2149" s="5" t="str">
        <f t="shared" si="2242"/>
        <v>SPS1</v>
      </c>
      <c r="C2149" s="5" t="str">
        <f t="shared" si="2243"/>
        <v>CH</v>
      </c>
      <c r="D2149" t="s">
        <v>2278</v>
      </c>
      <c r="E2149" t="str">
        <f t="shared" si="2244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3.0066207613483412E-5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1.9548073777117201E-5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1.0883814297385859E-5</v>
      </c>
      <c r="J2149" s="1" cm="1">
        <f t="array" ref="J2149">SUMPRODUCT(("var_ncap"=[1]OUT_TransportEnergyCons!$B$4:$B$10000)*1,("-"=[1]OUT_TransportEnergyCons!$C$4:$C$10000)*1,ISNUMBER(SEARCH("T_C*hy*dsl*s3",[1]OUT_TransportEnergyCons!$A$4:$A$10000))*1,[1]OUT_TransportEnergyCons!H$4:H$10000)</f>
        <v>0</v>
      </c>
      <c r="K2149" s="1" cm="1">
        <f t="array" ref="K2149">SUMPRODUCT(("var_ncap"=[1]OUT_TransportEnergyCons!$B$4:$B$10000)*1,("-"=[1]OUT_TransportEnergyCons!$C$4:$C$10000)*1,ISNUMBER(SEARCH("T_C*hy*dsl*s3",[1]OUT_TransportEnergyCons!$A$4:$A$10000))*1,[1]OUT_TransportEnergyCons!I$4:I$10000)</f>
        <v>0</v>
      </c>
      <c r="L2149" s="1" cm="1">
        <f t="array" ref="L2149">SUMPRODUCT(("var_ncap"=[1]OUT_TransportEnergyCons!$B$4:$B$10000)*1,("-"=[1]OUT_TransportEnergyCons!$C$4:$C$10000)*1,ISNUMBER(SEARCH("T_C*hy*dsl*s3",[1]OUT_TransportEnergyCons!$A$4:$A$10000))*1,[1]OUT_TransportEnergyCons!J$4:J$10000)</f>
        <v>0</v>
      </c>
      <c r="M2149" s="1" cm="1">
        <f t="array" ref="M2149">SUMPRODUCT(("var_ncap"=[1]OUT_TransportEnergyCons!$B$4:$B$10000)*1,("-"=[1]OUT_TransportEnergyCons!$C$4:$C$10000)*1,ISNUMBER(SEARCH("T_C*hy*dsl*s3",[1]OUT_TransportEnergyCons!$A$4:$A$10000))*1,[1]OUT_TransportEnergyCons!K$4:K$10000)</f>
        <v>0</v>
      </c>
      <c r="N2149" s="1" cm="1">
        <f t="array" ref="N2149">SUMPRODUCT(("var_ncap"=[1]OUT_TransportEnergyCons!$B$4:$B$10000)*1,("-"=[1]OUT_TransportEnergyCons!$C$4:$C$10000)*1,ISNUMBER(SEARCH("T_C*hy*dsl*s3",[1]OUT_TransportEnergyCons!$A$4:$A$10000))*1,[1]OUT_TransportEnergyCons!L$4:L$10000)</f>
        <v>0</v>
      </c>
      <c r="O2149" s="1" cm="1">
        <f t="array" ref="O2149">SUMPRODUCT(("var_ncap"=[1]OUT_TransportEnergyCons!$B$4:$B$10000)*1,("-"=[1]OUT_TransportEnergyCons!$C$4:$C$10000)*1,ISNUMBER(SEARCH("T_C*hy*dsl*s3",[1]OUT_TransportEnergyCons!$A$4:$A$10000))*1,[1]OUT_TransportEnergyCons!M$4:M$10000)</f>
        <v>0</v>
      </c>
      <c r="P2149" s="1" cm="1">
        <f t="array" ref="P2149">SUMPRODUCT(("var_ncap"=[1]OUT_TransportEnergyCons!$B$4:$B$10000)*1,("-"=[1]OUT_TransportEnergyCons!$C$4:$C$10000)*1,ISNUMBER(SEARCH("T_C*hy*dsl*s3",[1]OUT_TransportEnergyCons!$A$4:$A$10000))*1,[1]OUT_TransportEnergyCons!N$4:N$10000)</f>
        <v>0</v>
      </c>
      <c r="Q2149" s="1" cm="1">
        <f t="array" ref="Q2149">SUMPRODUCT(("var_ncap"=[1]OUT_TransportEnergyCons!$B$4:$B$10000)*1,("-"=[1]OUT_TransportEnergyCons!$C$4:$C$10000)*1,ISNUMBER(SEARCH("T_C*hy*dsl*s3",[1]OUT_TransportEnergyCons!$A$4:$A$10000))*1,[1]OUT_TransportEnergyCons!O$4:O$10000)</f>
        <v>0</v>
      </c>
      <c r="S2149" s="3"/>
    </row>
    <row r="2150" spans="2:19" x14ac:dyDescent="0.5">
      <c r="B2150" s="5" t="str">
        <f t="shared" si="2242"/>
        <v>SPS1</v>
      </c>
      <c r="C2150" s="5" t="str">
        <f t="shared" si="2243"/>
        <v>CH</v>
      </c>
      <c r="D2150" t="s">
        <v>2279</v>
      </c>
      <c r="E2150" t="str">
        <f t="shared" si="2244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3.1188562603712458E-5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1.6698261209620331E-5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1.061978748828906E-5</v>
      </c>
      <c r="J2150" s="1" cm="1">
        <f t="array" ref="J2150">SUMPRODUCT(("var_ncap"=[1]OUT_TransportEnergyCons!$B$4:$B$10000)*1,("-"=[1]OUT_TransportEnergyCons!$C$4:$C$10000)*1,ISNUMBER(SEARCH("T_C*hy*dsl*s4",[1]OUT_TransportEnergyCons!$A$4:$A$10000))*1,[1]OUT_TransportEnergyCons!H$4:H$10000)</f>
        <v>0</v>
      </c>
      <c r="K2150" s="1" cm="1">
        <f t="array" ref="K2150">SUMPRODUCT(("var_ncap"=[1]OUT_TransportEnergyCons!$B$4:$B$10000)*1,("-"=[1]OUT_TransportEnergyCons!$C$4:$C$10000)*1,ISNUMBER(SEARCH("T_C*hy*dsl*s4",[1]OUT_TransportEnergyCons!$A$4:$A$10000))*1,[1]OUT_TransportEnergyCons!I$4:I$10000)</f>
        <v>0</v>
      </c>
      <c r="L2150" s="1" cm="1">
        <f t="array" ref="L2150">SUMPRODUCT(("var_ncap"=[1]OUT_TransportEnergyCons!$B$4:$B$10000)*1,("-"=[1]OUT_TransportEnergyCons!$C$4:$C$10000)*1,ISNUMBER(SEARCH("T_C*hy*dsl*s4",[1]OUT_TransportEnergyCons!$A$4:$A$10000))*1,[1]OUT_TransportEnergyCons!J$4:J$10000)</f>
        <v>0</v>
      </c>
      <c r="M2150" s="1" cm="1">
        <f t="array" ref="M2150">SUMPRODUCT(("var_ncap"=[1]OUT_TransportEnergyCons!$B$4:$B$10000)*1,("-"=[1]OUT_TransportEnergyCons!$C$4:$C$10000)*1,ISNUMBER(SEARCH("T_C*hy*dsl*s4",[1]OUT_TransportEnergyCons!$A$4:$A$10000))*1,[1]OUT_TransportEnergyCons!K$4:K$10000)</f>
        <v>0</v>
      </c>
      <c r="N2150" s="1" cm="1">
        <f t="array" ref="N2150">SUMPRODUCT(("var_ncap"=[1]OUT_TransportEnergyCons!$B$4:$B$10000)*1,("-"=[1]OUT_TransportEnergyCons!$C$4:$C$10000)*1,ISNUMBER(SEARCH("T_C*hy*dsl*s4",[1]OUT_TransportEnergyCons!$A$4:$A$10000))*1,[1]OUT_TransportEnergyCons!L$4:L$10000)</f>
        <v>0</v>
      </c>
      <c r="O2150" s="1" cm="1">
        <f t="array" ref="O2150">SUMPRODUCT(("var_ncap"=[1]OUT_TransportEnergyCons!$B$4:$B$10000)*1,("-"=[1]OUT_TransportEnergyCons!$C$4:$C$10000)*1,ISNUMBER(SEARCH("T_C*hy*dsl*s4",[1]OUT_TransportEnergyCons!$A$4:$A$10000))*1,[1]OUT_TransportEnergyCons!M$4:M$10000)</f>
        <v>0</v>
      </c>
      <c r="P2150" s="1" cm="1">
        <f t="array" ref="P2150">SUMPRODUCT(("var_ncap"=[1]OUT_TransportEnergyCons!$B$4:$B$10000)*1,("-"=[1]OUT_TransportEnergyCons!$C$4:$C$10000)*1,ISNUMBER(SEARCH("T_C*hy*dsl*s4",[1]OUT_TransportEnergyCons!$A$4:$A$10000))*1,[1]OUT_TransportEnergyCons!N$4:N$10000)</f>
        <v>0</v>
      </c>
      <c r="Q2150" s="1" cm="1">
        <f t="array" ref="Q2150">SUMPRODUCT(("var_ncap"=[1]OUT_TransportEnergyCons!$B$4:$B$10000)*1,("-"=[1]OUT_TransportEnergyCons!$C$4:$C$10000)*1,ISNUMBER(SEARCH("T_C*hy*dsl*s4",[1]OUT_TransportEnergyCons!$A$4:$A$10000))*1,[1]OUT_TransportEnergyCons!O$4:O$10000)</f>
        <v>0</v>
      </c>
      <c r="S2150" s="3"/>
    </row>
    <row r="2151" spans="2:19" x14ac:dyDescent="0.5">
      <c r="B2151" s="5" t="str">
        <f t="shared" si="2242"/>
        <v>SPS1</v>
      </c>
      <c r="C2151" s="5" t="str">
        <f t="shared" si="2243"/>
        <v>CH</v>
      </c>
      <c r="D2151" t="s">
        <v>2280</v>
      </c>
      <c r="E2151" t="str">
        <f t="shared" si="2244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SUMPRODUCT(("var_ncap"=[1]OUT_TransportEnergyCons!$B$4:$B$10000)*1,("-"=[1]OUT_TransportEnergyCons!$C$4:$C$10000)*1,ISNUMBER(SEARCH("T_C*ICE*dsl*ext",[1]OUT_TransportEnergyCons!$A$4:$A$10000))*1,[1]OUT_TransportEnergyCons!H$4:H$10000)</f>
        <v>0</v>
      </c>
      <c r="K2151" s="1" cm="1">
        <f t="array" ref="K2151">SUMPRODUCT(("var_ncap"=[1]OUT_TransportEnergyCons!$B$4:$B$10000)*1,("-"=[1]OUT_TransportEnergyCons!$C$4:$C$10000)*1,ISNUMBER(SEARCH("T_C*ICE*dsl*ext",[1]OUT_TransportEnergyCons!$A$4:$A$10000))*1,[1]OUT_TransportEnergyCons!I$4:I$10000)</f>
        <v>0</v>
      </c>
      <c r="L2151" s="1" cm="1">
        <f t="array" ref="L2151">SUMPRODUCT(("var_ncap"=[1]OUT_TransportEnergyCons!$B$4:$B$10000)*1,("-"=[1]OUT_TransportEnergyCons!$C$4:$C$10000)*1,ISNUMBER(SEARCH("T_C*ICE*dsl*ext",[1]OUT_TransportEnergyCons!$A$4:$A$10000))*1,[1]OUT_TransportEnergyCons!J$4:J$10000)</f>
        <v>0</v>
      </c>
      <c r="M2151" s="1" cm="1">
        <f t="array" ref="M2151">SUMPRODUCT(("var_ncap"=[1]OUT_TransportEnergyCons!$B$4:$B$10000)*1,("-"=[1]OUT_TransportEnergyCons!$C$4:$C$10000)*1,ISNUMBER(SEARCH("T_C*ICE*dsl*ext",[1]OUT_TransportEnergyCons!$A$4:$A$10000))*1,[1]OUT_TransportEnergyCons!K$4:K$10000)</f>
        <v>0</v>
      </c>
      <c r="N2151" s="1" cm="1">
        <f t="array" ref="N2151">SUMPRODUCT(("var_ncap"=[1]OUT_TransportEnergyCons!$B$4:$B$10000)*1,("-"=[1]OUT_TransportEnergyCons!$C$4:$C$10000)*1,ISNUMBER(SEARCH("T_C*ICE*dsl*ext",[1]OUT_TransportEnergyCons!$A$4:$A$10000))*1,[1]OUT_TransportEnergyCons!L$4:L$10000)</f>
        <v>0</v>
      </c>
      <c r="O2151" s="1" cm="1">
        <f t="array" ref="O2151">SUMPRODUCT(("var_ncap"=[1]OUT_TransportEnergyCons!$B$4:$B$10000)*1,("-"=[1]OUT_TransportEnergyCons!$C$4:$C$10000)*1,ISNUMBER(SEARCH("T_C*ICE*dsl*ext",[1]OUT_TransportEnergyCons!$A$4:$A$10000))*1,[1]OUT_TransportEnergyCons!M$4:M$10000)</f>
        <v>0</v>
      </c>
      <c r="P2151" s="1" cm="1">
        <f t="array" ref="P2151">SUMPRODUCT(("var_ncap"=[1]OUT_TransportEnergyCons!$B$4:$B$10000)*1,("-"=[1]OUT_TransportEnergyCons!$C$4:$C$10000)*1,ISNUMBER(SEARCH("T_C*ICE*dsl*ext",[1]OUT_TransportEnergyCons!$A$4:$A$10000))*1,[1]OUT_TransportEnergyCons!N$4:N$10000)</f>
        <v>0</v>
      </c>
      <c r="Q2151" s="1" cm="1">
        <f t="array" ref="Q2151">SUMPRODUCT(("var_ncap"=[1]OUT_TransportEnergyCons!$B$4:$B$10000)*1,("-"=[1]OUT_TransportEnergyCons!$C$4:$C$10000)*1,ISNUMBER(SEARCH("T_C*ICE*dsl*ext",[1]OUT_TransportEnergyCons!$A$4:$A$10000))*1,[1]OUT_TransportEnergyCons!O$4:O$10000)</f>
        <v>0</v>
      </c>
      <c r="S2151" s="3"/>
    </row>
    <row r="2152" spans="2:19" x14ac:dyDescent="0.5">
      <c r="B2152" s="5" t="str">
        <f t="shared" si="2242"/>
        <v>SPS1</v>
      </c>
      <c r="C2152" s="5" t="str">
        <f t="shared" si="2243"/>
        <v>CH</v>
      </c>
      <c r="D2152" t="s">
        <v>2281</v>
      </c>
      <c r="E2152" t="str">
        <f t="shared" si="2244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1.5653432175893299E-5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2.4839894946164299E-5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1.6091359376071401E-5</v>
      </c>
      <c r="J2152" s="1" cm="1">
        <f t="array" ref="J2152">SUMPRODUCT(("var_ncap"=[1]OUT_TransportEnergyCons!$B$4:$B$10000)*1,("-"=[1]OUT_TransportEnergyCons!$C$4:$C$10000)*1,ISNUMBER(SEARCH("T_C*ICE*dsl*s1",[1]OUT_TransportEnergyCons!$A$4:$A$10000))*1,[1]OUT_TransportEnergyCons!H$4:H$10000)</f>
        <v>0</v>
      </c>
      <c r="K2152" s="1" cm="1">
        <f t="array" ref="K2152">SUMPRODUCT(("var_ncap"=[1]OUT_TransportEnergyCons!$B$4:$B$10000)*1,("-"=[1]OUT_TransportEnergyCons!$C$4:$C$10000)*1,ISNUMBER(SEARCH("T_C*ICE*dsl*s1",[1]OUT_TransportEnergyCons!$A$4:$A$10000))*1,[1]OUT_TransportEnergyCons!I$4:I$10000)</f>
        <v>0</v>
      </c>
      <c r="L2152" s="1" cm="1">
        <f t="array" ref="L2152">SUMPRODUCT(("var_ncap"=[1]OUT_TransportEnergyCons!$B$4:$B$10000)*1,("-"=[1]OUT_TransportEnergyCons!$C$4:$C$10000)*1,ISNUMBER(SEARCH("T_C*ICE*dsl*s1",[1]OUT_TransportEnergyCons!$A$4:$A$10000))*1,[1]OUT_TransportEnergyCons!J$4:J$10000)</f>
        <v>0</v>
      </c>
      <c r="M2152" s="1" cm="1">
        <f t="array" ref="M2152">SUMPRODUCT(("var_ncap"=[1]OUT_TransportEnergyCons!$B$4:$B$10000)*1,("-"=[1]OUT_TransportEnergyCons!$C$4:$C$10000)*1,ISNUMBER(SEARCH("T_C*ICE*dsl*s1",[1]OUT_TransportEnergyCons!$A$4:$A$10000))*1,[1]OUT_TransportEnergyCons!K$4:K$10000)</f>
        <v>0</v>
      </c>
      <c r="N2152" s="1" cm="1">
        <f t="array" ref="N2152">SUMPRODUCT(("var_ncap"=[1]OUT_TransportEnergyCons!$B$4:$B$10000)*1,("-"=[1]OUT_TransportEnergyCons!$C$4:$C$10000)*1,ISNUMBER(SEARCH("T_C*ICE*dsl*s1",[1]OUT_TransportEnergyCons!$A$4:$A$10000))*1,[1]OUT_TransportEnergyCons!L$4:L$10000)</f>
        <v>0</v>
      </c>
      <c r="O2152" s="1" cm="1">
        <f t="array" ref="O2152">SUMPRODUCT(("var_ncap"=[1]OUT_TransportEnergyCons!$B$4:$B$10000)*1,("-"=[1]OUT_TransportEnergyCons!$C$4:$C$10000)*1,ISNUMBER(SEARCH("T_C*ICE*dsl*s1",[1]OUT_TransportEnergyCons!$A$4:$A$10000))*1,[1]OUT_TransportEnergyCons!M$4:M$10000)</f>
        <v>0</v>
      </c>
      <c r="P2152" s="1" cm="1">
        <f t="array" ref="P2152">SUMPRODUCT(("var_ncap"=[1]OUT_TransportEnergyCons!$B$4:$B$10000)*1,("-"=[1]OUT_TransportEnergyCons!$C$4:$C$10000)*1,ISNUMBER(SEARCH("T_C*ICE*dsl*s1",[1]OUT_TransportEnergyCons!$A$4:$A$10000))*1,[1]OUT_TransportEnergyCons!N$4:N$10000)</f>
        <v>0</v>
      </c>
      <c r="Q2152" s="1" cm="1">
        <f t="array" ref="Q2152">SUMPRODUCT(("var_ncap"=[1]OUT_TransportEnergyCons!$B$4:$B$10000)*1,("-"=[1]OUT_TransportEnergyCons!$C$4:$C$10000)*1,ISNUMBER(SEARCH("T_C*ICE*dsl*s1",[1]OUT_TransportEnergyCons!$A$4:$A$10000))*1,[1]OUT_TransportEnergyCons!O$4:O$10000)</f>
        <v>0</v>
      </c>
      <c r="S2152" s="3"/>
    </row>
    <row r="2153" spans="2:19" x14ac:dyDescent="0.5">
      <c r="B2153" s="5" t="str">
        <f t="shared" si="2242"/>
        <v>SPS1</v>
      </c>
      <c r="C2153" s="5" t="str">
        <f t="shared" si="2243"/>
        <v>CH</v>
      </c>
      <c r="D2153" t="s">
        <v>2282</v>
      </c>
      <c r="E2153" t="str">
        <f t="shared" si="2244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7.6042514058238903E-6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1.3966127379255699E-5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8.0909127390020605E-6</v>
      </c>
      <c r="J2153" s="1" cm="1">
        <f t="array" ref="J2153">SUMPRODUCT(("var_ncap"=[1]OUT_TransportEnergyCons!$B$4:$B$10000)*1,("-"=[1]OUT_TransportEnergyCons!$C$4:$C$10000)*1,ISNUMBER(SEARCH("T_C*ICE*dsl*s2",[1]OUT_TransportEnergyCons!$A$4:$A$10000))*1,[1]OUT_TransportEnergyCons!H$4:H$10000)</f>
        <v>0</v>
      </c>
      <c r="K2153" s="1" cm="1">
        <f t="array" ref="K2153">SUMPRODUCT(("var_ncap"=[1]OUT_TransportEnergyCons!$B$4:$B$10000)*1,("-"=[1]OUT_TransportEnergyCons!$C$4:$C$10000)*1,ISNUMBER(SEARCH("T_C*ICE*dsl*s2",[1]OUT_TransportEnergyCons!$A$4:$A$10000))*1,[1]OUT_TransportEnergyCons!I$4:I$10000)</f>
        <v>0</v>
      </c>
      <c r="L2153" s="1" cm="1">
        <f t="array" ref="L2153">SUMPRODUCT(("var_ncap"=[1]OUT_TransportEnergyCons!$B$4:$B$10000)*1,("-"=[1]OUT_TransportEnergyCons!$C$4:$C$10000)*1,ISNUMBER(SEARCH("T_C*ICE*dsl*s2",[1]OUT_TransportEnergyCons!$A$4:$A$10000))*1,[1]OUT_TransportEnergyCons!J$4:J$10000)</f>
        <v>0</v>
      </c>
      <c r="M2153" s="1" cm="1">
        <f t="array" ref="M2153">SUMPRODUCT(("var_ncap"=[1]OUT_TransportEnergyCons!$B$4:$B$10000)*1,("-"=[1]OUT_TransportEnergyCons!$C$4:$C$10000)*1,ISNUMBER(SEARCH("T_C*ICE*dsl*s2",[1]OUT_TransportEnergyCons!$A$4:$A$10000))*1,[1]OUT_TransportEnergyCons!K$4:K$10000)</f>
        <v>0</v>
      </c>
      <c r="N2153" s="1" cm="1">
        <f t="array" ref="N2153">SUMPRODUCT(("var_ncap"=[1]OUT_TransportEnergyCons!$B$4:$B$10000)*1,("-"=[1]OUT_TransportEnergyCons!$C$4:$C$10000)*1,ISNUMBER(SEARCH("T_C*ICE*dsl*s2",[1]OUT_TransportEnergyCons!$A$4:$A$10000))*1,[1]OUT_TransportEnergyCons!L$4:L$10000)</f>
        <v>0</v>
      </c>
      <c r="O2153" s="1" cm="1">
        <f t="array" ref="O2153">SUMPRODUCT(("var_ncap"=[1]OUT_TransportEnergyCons!$B$4:$B$10000)*1,("-"=[1]OUT_TransportEnergyCons!$C$4:$C$10000)*1,ISNUMBER(SEARCH("T_C*ICE*dsl*s2",[1]OUT_TransportEnergyCons!$A$4:$A$10000))*1,[1]OUT_TransportEnergyCons!M$4:M$10000)</f>
        <v>0</v>
      </c>
      <c r="P2153" s="1" cm="1">
        <f t="array" ref="P2153">SUMPRODUCT(("var_ncap"=[1]OUT_TransportEnergyCons!$B$4:$B$10000)*1,("-"=[1]OUT_TransportEnergyCons!$C$4:$C$10000)*1,ISNUMBER(SEARCH("T_C*ICE*dsl*s2",[1]OUT_TransportEnergyCons!$A$4:$A$10000))*1,[1]OUT_TransportEnergyCons!N$4:N$10000)</f>
        <v>0</v>
      </c>
      <c r="Q2153" s="1" cm="1">
        <f t="array" ref="Q2153">SUMPRODUCT(("var_ncap"=[1]OUT_TransportEnergyCons!$B$4:$B$10000)*1,("-"=[1]OUT_TransportEnergyCons!$C$4:$C$10000)*1,ISNUMBER(SEARCH("T_C*ICE*dsl*s2",[1]OUT_TransportEnergyCons!$A$4:$A$10000))*1,[1]OUT_TransportEnergyCons!O$4:O$10000)</f>
        <v>0</v>
      </c>
      <c r="S2153" s="3"/>
    </row>
    <row r="2154" spans="2:19" x14ac:dyDescent="0.5">
      <c r="B2154" s="5" t="str">
        <f t="shared" si="2242"/>
        <v>SPS1</v>
      </c>
      <c r="C2154" s="5" t="str">
        <f t="shared" si="2243"/>
        <v>CH</v>
      </c>
      <c r="D2154" t="s">
        <v>2283</v>
      </c>
      <c r="E2154" t="str">
        <f t="shared" si="2244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8.0769454508708592E-6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1.0101996846452499E-5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5.6304901604293496E-6</v>
      </c>
      <c r="J2154" s="1" cm="1">
        <f t="array" ref="J2154">SUMPRODUCT(("var_ncap"=[1]OUT_TransportEnergyCons!$B$4:$B$10000)*1,("-"=[1]OUT_TransportEnergyCons!$C$4:$C$10000)*1,ISNUMBER(SEARCH("T_C*ICE*dsl*s3",[1]OUT_TransportEnergyCons!$A$4:$A$10000))*1,[1]OUT_TransportEnergyCons!H$4:H$10000)</f>
        <v>0</v>
      </c>
      <c r="K2154" s="1" cm="1">
        <f t="array" ref="K2154">SUMPRODUCT(("var_ncap"=[1]OUT_TransportEnergyCons!$B$4:$B$10000)*1,("-"=[1]OUT_TransportEnergyCons!$C$4:$C$10000)*1,ISNUMBER(SEARCH("T_C*ICE*dsl*s3",[1]OUT_TransportEnergyCons!$A$4:$A$10000))*1,[1]OUT_TransportEnergyCons!I$4:I$10000)</f>
        <v>0</v>
      </c>
      <c r="L2154" s="1" cm="1">
        <f t="array" ref="L2154">SUMPRODUCT(("var_ncap"=[1]OUT_TransportEnergyCons!$B$4:$B$10000)*1,("-"=[1]OUT_TransportEnergyCons!$C$4:$C$10000)*1,ISNUMBER(SEARCH("T_C*ICE*dsl*s3",[1]OUT_TransportEnergyCons!$A$4:$A$10000))*1,[1]OUT_TransportEnergyCons!J$4:J$10000)</f>
        <v>0</v>
      </c>
      <c r="M2154" s="1" cm="1">
        <f t="array" ref="M2154">SUMPRODUCT(("var_ncap"=[1]OUT_TransportEnergyCons!$B$4:$B$10000)*1,("-"=[1]OUT_TransportEnergyCons!$C$4:$C$10000)*1,ISNUMBER(SEARCH("T_C*ICE*dsl*s3",[1]OUT_TransportEnergyCons!$A$4:$A$10000))*1,[1]OUT_TransportEnergyCons!K$4:K$10000)</f>
        <v>0</v>
      </c>
      <c r="N2154" s="1" cm="1">
        <f t="array" ref="N2154">SUMPRODUCT(("var_ncap"=[1]OUT_TransportEnergyCons!$B$4:$B$10000)*1,("-"=[1]OUT_TransportEnergyCons!$C$4:$C$10000)*1,ISNUMBER(SEARCH("T_C*ICE*dsl*s3",[1]OUT_TransportEnergyCons!$A$4:$A$10000))*1,[1]OUT_TransportEnergyCons!L$4:L$10000)</f>
        <v>0</v>
      </c>
      <c r="O2154" s="1" cm="1">
        <f t="array" ref="O2154">SUMPRODUCT(("var_ncap"=[1]OUT_TransportEnergyCons!$B$4:$B$10000)*1,("-"=[1]OUT_TransportEnergyCons!$C$4:$C$10000)*1,ISNUMBER(SEARCH("T_C*ICE*dsl*s3",[1]OUT_TransportEnergyCons!$A$4:$A$10000))*1,[1]OUT_TransportEnergyCons!M$4:M$10000)</f>
        <v>0</v>
      </c>
      <c r="P2154" s="1" cm="1">
        <f t="array" ref="P2154">SUMPRODUCT(("var_ncap"=[1]OUT_TransportEnergyCons!$B$4:$B$10000)*1,("-"=[1]OUT_TransportEnergyCons!$C$4:$C$10000)*1,ISNUMBER(SEARCH("T_C*ICE*dsl*s3",[1]OUT_TransportEnergyCons!$A$4:$A$10000))*1,[1]OUT_TransportEnergyCons!N$4:N$10000)</f>
        <v>0</v>
      </c>
      <c r="Q2154" s="1" cm="1">
        <f t="array" ref="Q2154">SUMPRODUCT(("var_ncap"=[1]OUT_TransportEnergyCons!$B$4:$B$10000)*1,("-"=[1]OUT_TransportEnergyCons!$C$4:$C$10000)*1,ISNUMBER(SEARCH("T_C*ICE*dsl*s3",[1]OUT_TransportEnergyCons!$A$4:$A$10000))*1,[1]OUT_TransportEnergyCons!O$4:O$10000)</f>
        <v>0</v>
      </c>
      <c r="S2154" s="3"/>
    </row>
    <row r="2155" spans="2:19" x14ac:dyDescent="0.5">
      <c r="B2155" s="5" t="str">
        <f t="shared" si="2242"/>
        <v>SPS1</v>
      </c>
      <c r="C2155" s="5" t="str">
        <f t="shared" si="2243"/>
        <v>CH</v>
      </c>
      <c r="D2155" t="s">
        <v>2284</v>
      </c>
      <c r="E2155" t="str">
        <f t="shared" si="2244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3.1926877077699499E-6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5.0780423364450698E-6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4.3124333464964503E-6</v>
      </c>
      <c r="J2155" s="1" cm="1">
        <f t="array" ref="J2155">SUMPRODUCT(("var_ncap"=[1]OUT_TransportEnergyCons!$B$4:$B$10000)*1,("-"=[1]OUT_TransportEnergyCons!$C$4:$C$10000)*1,ISNUMBER(SEARCH("T_C*ICE*dsl*s4",[1]OUT_TransportEnergyCons!$A$4:$A$10000))*1,[1]OUT_TransportEnergyCons!H$4:H$10000)</f>
        <v>0</v>
      </c>
      <c r="K2155" s="1" cm="1">
        <f t="array" ref="K2155">SUMPRODUCT(("var_ncap"=[1]OUT_TransportEnergyCons!$B$4:$B$10000)*1,("-"=[1]OUT_TransportEnergyCons!$C$4:$C$10000)*1,ISNUMBER(SEARCH("T_C*ICE*dsl*s4",[1]OUT_TransportEnergyCons!$A$4:$A$10000))*1,[1]OUT_TransportEnergyCons!I$4:I$10000)</f>
        <v>0</v>
      </c>
      <c r="L2155" s="1" cm="1">
        <f t="array" ref="L2155">SUMPRODUCT(("var_ncap"=[1]OUT_TransportEnergyCons!$B$4:$B$10000)*1,("-"=[1]OUT_TransportEnergyCons!$C$4:$C$10000)*1,ISNUMBER(SEARCH("T_C*ICE*dsl*s4",[1]OUT_TransportEnergyCons!$A$4:$A$10000))*1,[1]OUT_TransportEnergyCons!J$4:J$10000)</f>
        <v>0</v>
      </c>
      <c r="M2155" s="1" cm="1">
        <f t="array" ref="M2155">SUMPRODUCT(("var_ncap"=[1]OUT_TransportEnergyCons!$B$4:$B$10000)*1,("-"=[1]OUT_TransportEnergyCons!$C$4:$C$10000)*1,ISNUMBER(SEARCH("T_C*ICE*dsl*s4",[1]OUT_TransportEnergyCons!$A$4:$A$10000))*1,[1]OUT_TransportEnergyCons!K$4:K$10000)</f>
        <v>0</v>
      </c>
      <c r="N2155" s="1" cm="1">
        <f t="array" ref="N2155">SUMPRODUCT(("var_ncap"=[1]OUT_TransportEnergyCons!$B$4:$B$10000)*1,("-"=[1]OUT_TransportEnergyCons!$C$4:$C$10000)*1,ISNUMBER(SEARCH("T_C*ICE*dsl*s4",[1]OUT_TransportEnergyCons!$A$4:$A$10000))*1,[1]OUT_TransportEnergyCons!L$4:L$10000)</f>
        <v>0</v>
      </c>
      <c r="O2155" s="1" cm="1">
        <f t="array" ref="O2155">SUMPRODUCT(("var_ncap"=[1]OUT_TransportEnergyCons!$B$4:$B$10000)*1,("-"=[1]OUT_TransportEnergyCons!$C$4:$C$10000)*1,ISNUMBER(SEARCH("T_C*ICE*dsl*s4",[1]OUT_TransportEnergyCons!$A$4:$A$10000))*1,[1]OUT_TransportEnergyCons!M$4:M$10000)</f>
        <v>0</v>
      </c>
      <c r="P2155" s="1" cm="1">
        <f t="array" ref="P2155">SUMPRODUCT(("var_ncap"=[1]OUT_TransportEnergyCons!$B$4:$B$10000)*1,("-"=[1]OUT_TransportEnergyCons!$C$4:$C$10000)*1,ISNUMBER(SEARCH("T_C*ICE*dsl*s4",[1]OUT_TransportEnergyCons!$A$4:$A$10000))*1,[1]OUT_TransportEnergyCons!N$4:N$10000)</f>
        <v>0</v>
      </c>
      <c r="Q2155" s="1" cm="1">
        <f t="array" ref="Q2155">SUMPRODUCT(("var_ncap"=[1]OUT_TransportEnergyCons!$B$4:$B$10000)*1,("-"=[1]OUT_TransportEnergyCons!$C$4:$C$10000)*1,ISNUMBER(SEARCH("T_C*ICE*dsl*s4",[1]OUT_TransportEnergyCons!$A$4:$A$10000))*1,[1]OUT_TransportEnergyCons!O$4:O$10000)</f>
        <v>0</v>
      </c>
      <c r="S2155" s="3"/>
    </row>
    <row r="2156" spans="2:19" x14ac:dyDescent="0.5">
      <c r="B2156" s="5" t="str">
        <f t="shared" si="2242"/>
        <v>SPS1</v>
      </c>
      <c r="C2156" s="5" t="str">
        <f t="shared" si="2243"/>
        <v>CH</v>
      </c>
      <c r="D2156" t="s">
        <v>2285</v>
      </c>
      <c r="E2156" t="str">
        <f t="shared" si="2244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7.5902420504497097E-6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2.53768639190744E-5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1.9294279695704801E-5</v>
      </c>
      <c r="J2156" s="1" cm="1">
        <f t="array" ref="J2156">SUMPRODUCT(("var_ncap"=[1]OUT_TransportEnergyCons!$B$4:$B$10000)*1,("-"=[1]OUT_TransportEnergyCons!$C$4:$C$10000)*1,ISNUMBER(SEARCH("T_C*mhy*dsl*s1",[1]OUT_TransportEnergyCons!$A$4:$A$10000))*1,[1]OUT_TransportEnergyCons!H$4:H$10000)</f>
        <v>0</v>
      </c>
      <c r="K2156" s="1" cm="1">
        <f t="array" ref="K2156">SUMPRODUCT(("var_ncap"=[1]OUT_TransportEnergyCons!$B$4:$B$10000)*1,("-"=[1]OUT_TransportEnergyCons!$C$4:$C$10000)*1,ISNUMBER(SEARCH("T_C*mhy*dsl*s1",[1]OUT_TransportEnergyCons!$A$4:$A$10000))*1,[1]OUT_TransportEnergyCons!I$4:I$10000)</f>
        <v>0</v>
      </c>
      <c r="L2156" s="1" cm="1">
        <f t="array" ref="L2156">SUMPRODUCT(("var_ncap"=[1]OUT_TransportEnergyCons!$B$4:$B$10000)*1,("-"=[1]OUT_TransportEnergyCons!$C$4:$C$10000)*1,ISNUMBER(SEARCH("T_C*mhy*dsl*s1",[1]OUT_TransportEnergyCons!$A$4:$A$10000))*1,[1]OUT_TransportEnergyCons!J$4:J$10000)</f>
        <v>0</v>
      </c>
      <c r="M2156" s="1" cm="1">
        <f t="array" ref="M2156">SUMPRODUCT(("var_ncap"=[1]OUT_TransportEnergyCons!$B$4:$B$10000)*1,("-"=[1]OUT_TransportEnergyCons!$C$4:$C$10000)*1,ISNUMBER(SEARCH("T_C*mhy*dsl*s1",[1]OUT_TransportEnergyCons!$A$4:$A$10000))*1,[1]OUT_TransportEnergyCons!K$4:K$10000)</f>
        <v>0</v>
      </c>
      <c r="N2156" s="1" cm="1">
        <f t="array" ref="N2156">SUMPRODUCT(("var_ncap"=[1]OUT_TransportEnergyCons!$B$4:$B$10000)*1,("-"=[1]OUT_TransportEnergyCons!$C$4:$C$10000)*1,ISNUMBER(SEARCH("T_C*mhy*dsl*s1",[1]OUT_TransportEnergyCons!$A$4:$A$10000))*1,[1]OUT_TransportEnergyCons!L$4:L$10000)</f>
        <v>0</v>
      </c>
      <c r="O2156" s="1" cm="1">
        <f t="array" ref="O2156">SUMPRODUCT(("var_ncap"=[1]OUT_TransportEnergyCons!$B$4:$B$10000)*1,("-"=[1]OUT_TransportEnergyCons!$C$4:$C$10000)*1,ISNUMBER(SEARCH("T_C*mhy*dsl*s1",[1]OUT_TransportEnergyCons!$A$4:$A$10000))*1,[1]OUT_TransportEnergyCons!M$4:M$10000)</f>
        <v>0</v>
      </c>
      <c r="P2156" s="1" cm="1">
        <f t="array" ref="P2156">SUMPRODUCT(("var_ncap"=[1]OUT_TransportEnergyCons!$B$4:$B$10000)*1,("-"=[1]OUT_TransportEnergyCons!$C$4:$C$10000)*1,ISNUMBER(SEARCH("T_C*mhy*dsl*s1",[1]OUT_TransportEnergyCons!$A$4:$A$10000))*1,[1]OUT_TransportEnergyCons!N$4:N$10000)</f>
        <v>0</v>
      </c>
      <c r="Q2156" s="1" cm="1">
        <f t="array" ref="Q2156">SUMPRODUCT(("var_ncap"=[1]OUT_TransportEnergyCons!$B$4:$B$10000)*1,("-"=[1]OUT_TransportEnergyCons!$C$4:$C$10000)*1,ISNUMBER(SEARCH("T_C*mhy*dsl*s1",[1]OUT_TransportEnergyCons!$A$4:$A$10000))*1,[1]OUT_TransportEnergyCons!O$4:O$10000)</f>
        <v>0</v>
      </c>
      <c r="S2156" s="3"/>
    </row>
    <row r="2157" spans="2:19" x14ac:dyDescent="0.5">
      <c r="B2157" s="5" t="str">
        <f t="shared" si="2242"/>
        <v>SPS1</v>
      </c>
      <c r="C2157" s="5" t="str">
        <f t="shared" si="2243"/>
        <v>CH</v>
      </c>
      <c r="D2157" t="s">
        <v>2286</v>
      </c>
      <c r="E2157" t="str">
        <f t="shared" si="2244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3.9225713306240002E-6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1.19779960546128E-5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9.2701598897440205E-6</v>
      </c>
      <c r="J2157" s="1" cm="1">
        <f t="array" ref="J2157">SUMPRODUCT(("var_ncap"=[1]OUT_TransportEnergyCons!$B$4:$B$10000)*1,("-"=[1]OUT_TransportEnergyCons!$C$4:$C$10000)*1,ISNUMBER(SEARCH("T_C*mhy*dsl*s2",[1]OUT_TransportEnergyCons!$A$4:$A$10000))*1,[1]OUT_TransportEnergyCons!H$4:H$10000)</f>
        <v>0</v>
      </c>
      <c r="K2157" s="1" cm="1">
        <f t="array" ref="K2157">SUMPRODUCT(("var_ncap"=[1]OUT_TransportEnergyCons!$B$4:$B$10000)*1,("-"=[1]OUT_TransportEnergyCons!$C$4:$C$10000)*1,ISNUMBER(SEARCH("T_C*mhy*dsl*s2",[1]OUT_TransportEnergyCons!$A$4:$A$10000))*1,[1]OUT_TransportEnergyCons!I$4:I$10000)</f>
        <v>0</v>
      </c>
      <c r="L2157" s="1" cm="1">
        <f t="array" ref="L2157">SUMPRODUCT(("var_ncap"=[1]OUT_TransportEnergyCons!$B$4:$B$10000)*1,("-"=[1]OUT_TransportEnergyCons!$C$4:$C$10000)*1,ISNUMBER(SEARCH("T_C*mhy*dsl*s2",[1]OUT_TransportEnergyCons!$A$4:$A$10000))*1,[1]OUT_TransportEnergyCons!J$4:J$10000)</f>
        <v>0</v>
      </c>
      <c r="M2157" s="1" cm="1">
        <f t="array" ref="M2157">SUMPRODUCT(("var_ncap"=[1]OUT_TransportEnergyCons!$B$4:$B$10000)*1,("-"=[1]OUT_TransportEnergyCons!$C$4:$C$10000)*1,ISNUMBER(SEARCH("T_C*mhy*dsl*s2",[1]OUT_TransportEnergyCons!$A$4:$A$10000))*1,[1]OUT_TransportEnergyCons!K$4:K$10000)</f>
        <v>0</v>
      </c>
      <c r="N2157" s="1" cm="1">
        <f t="array" ref="N2157">SUMPRODUCT(("var_ncap"=[1]OUT_TransportEnergyCons!$B$4:$B$10000)*1,("-"=[1]OUT_TransportEnergyCons!$C$4:$C$10000)*1,ISNUMBER(SEARCH("T_C*mhy*dsl*s2",[1]OUT_TransportEnergyCons!$A$4:$A$10000))*1,[1]OUT_TransportEnergyCons!L$4:L$10000)</f>
        <v>0</v>
      </c>
      <c r="O2157" s="1" cm="1">
        <f t="array" ref="O2157">SUMPRODUCT(("var_ncap"=[1]OUT_TransportEnergyCons!$B$4:$B$10000)*1,("-"=[1]OUT_TransportEnergyCons!$C$4:$C$10000)*1,ISNUMBER(SEARCH("T_C*mhy*dsl*s2",[1]OUT_TransportEnergyCons!$A$4:$A$10000))*1,[1]OUT_TransportEnergyCons!M$4:M$10000)</f>
        <v>0</v>
      </c>
      <c r="P2157" s="1" cm="1">
        <f t="array" ref="P2157">SUMPRODUCT(("var_ncap"=[1]OUT_TransportEnergyCons!$B$4:$B$10000)*1,("-"=[1]OUT_TransportEnergyCons!$C$4:$C$10000)*1,ISNUMBER(SEARCH("T_C*mhy*dsl*s2",[1]OUT_TransportEnergyCons!$A$4:$A$10000))*1,[1]OUT_TransportEnergyCons!N$4:N$10000)</f>
        <v>0</v>
      </c>
      <c r="Q2157" s="1" cm="1">
        <f t="array" ref="Q2157">SUMPRODUCT(("var_ncap"=[1]OUT_TransportEnergyCons!$B$4:$B$10000)*1,("-"=[1]OUT_TransportEnergyCons!$C$4:$C$10000)*1,ISNUMBER(SEARCH("T_C*mhy*dsl*s2",[1]OUT_TransportEnergyCons!$A$4:$A$10000))*1,[1]OUT_TransportEnergyCons!O$4:O$10000)</f>
        <v>0</v>
      </c>
      <c r="S2157" s="3"/>
    </row>
    <row r="2158" spans="2:19" x14ac:dyDescent="0.5">
      <c r="B2158" s="5" t="str">
        <f t="shared" si="2242"/>
        <v>SPS1</v>
      </c>
      <c r="C2158" s="5" t="str">
        <f t="shared" si="2243"/>
        <v>CH</v>
      </c>
      <c r="D2158" t="s">
        <v>2287</v>
      </c>
      <c r="E2158" t="str">
        <f t="shared" si="2244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4.4234808461205102E-6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9.6887190440017501E-6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6.3640088411952197E-6</v>
      </c>
      <c r="J2158" s="1" cm="1">
        <f t="array" ref="J2158">SUMPRODUCT(("var_ncap"=[1]OUT_TransportEnergyCons!$B$4:$B$10000)*1,("-"=[1]OUT_TransportEnergyCons!$C$4:$C$10000)*1,ISNUMBER(SEARCH("T_C*mhy*dsl*s3",[1]OUT_TransportEnergyCons!$A$4:$A$10000))*1,[1]OUT_TransportEnergyCons!H$4:H$10000)</f>
        <v>0</v>
      </c>
      <c r="K2158" s="1" cm="1">
        <f t="array" ref="K2158">SUMPRODUCT(("var_ncap"=[1]OUT_TransportEnergyCons!$B$4:$B$10000)*1,("-"=[1]OUT_TransportEnergyCons!$C$4:$C$10000)*1,ISNUMBER(SEARCH("T_C*mhy*dsl*s3",[1]OUT_TransportEnergyCons!$A$4:$A$10000))*1,[1]OUT_TransportEnergyCons!I$4:I$10000)</f>
        <v>0</v>
      </c>
      <c r="L2158" s="1" cm="1">
        <f t="array" ref="L2158">SUMPRODUCT(("var_ncap"=[1]OUT_TransportEnergyCons!$B$4:$B$10000)*1,("-"=[1]OUT_TransportEnergyCons!$C$4:$C$10000)*1,ISNUMBER(SEARCH("T_C*mhy*dsl*s3",[1]OUT_TransportEnergyCons!$A$4:$A$10000))*1,[1]OUT_TransportEnergyCons!J$4:J$10000)</f>
        <v>0</v>
      </c>
      <c r="M2158" s="1" cm="1">
        <f t="array" ref="M2158">SUMPRODUCT(("var_ncap"=[1]OUT_TransportEnergyCons!$B$4:$B$10000)*1,("-"=[1]OUT_TransportEnergyCons!$C$4:$C$10000)*1,ISNUMBER(SEARCH("T_C*mhy*dsl*s3",[1]OUT_TransportEnergyCons!$A$4:$A$10000))*1,[1]OUT_TransportEnergyCons!K$4:K$10000)</f>
        <v>0</v>
      </c>
      <c r="N2158" s="1" cm="1">
        <f t="array" ref="N2158">SUMPRODUCT(("var_ncap"=[1]OUT_TransportEnergyCons!$B$4:$B$10000)*1,("-"=[1]OUT_TransportEnergyCons!$C$4:$C$10000)*1,ISNUMBER(SEARCH("T_C*mhy*dsl*s3",[1]OUT_TransportEnergyCons!$A$4:$A$10000))*1,[1]OUT_TransportEnergyCons!L$4:L$10000)</f>
        <v>0</v>
      </c>
      <c r="O2158" s="1" cm="1">
        <f t="array" ref="O2158">SUMPRODUCT(("var_ncap"=[1]OUT_TransportEnergyCons!$B$4:$B$10000)*1,("-"=[1]OUT_TransportEnergyCons!$C$4:$C$10000)*1,ISNUMBER(SEARCH("T_C*mhy*dsl*s3",[1]OUT_TransportEnergyCons!$A$4:$A$10000))*1,[1]OUT_TransportEnergyCons!M$4:M$10000)</f>
        <v>0</v>
      </c>
      <c r="P2158" s="1" cm="1">
        <f t="array" ref="P2158">SUMPRODUCT(("var_ncap"=[1]OUT_TransportEnergyCons!$B$4:$B$10000)*1,("-"=[1]OUT_TransportEnergyCons!$C$4:$C$10000)*1,ISNUMBER(SEARCH("T_C*mhy*dsl*s3",[1]OUT_TransportEnergyCons!$A$4:$A$10000))*1,[1]OUT_TransportEnergyCons!N$4:N$10000)</f>
        <v>0</v>
      </c>
      <c r="Q2158" s="1" cm="1">
        <f t="array" ref="Q2158">SUMPRODUCT(("var_ncap"=[1]OUT_TransportEnergyCons!$B$4:$B$10000)*1,("-"=[1]OUT_TransportEnergyCons!$C$4:$C$10000)*1,ISNUMBER(SEARCH("T_C*mhy*dsl*s3",[1]OUT_TransportEnergyCons!$A$4:$A$10000))*1,[1]OUT_TransportEnergyCons!O$4:O$10000)</f>
        <v>0</v>
      </c>
      <c r="S2158" s="3"/>
    </row>
    <row r="2159" spans="2:19" x14ac:dyDescent="0.5">
      <c r="B2159" s="5" t="str">
        <f t="shared" si="2242"/>
        <v>SPS1</v>
      </c>
      <c r="C2159" s="5" t="str">
        <f t="shared" si="2243"/>
        <v>CH</v>
      </c>
      <c r="D2159" t="s">
        <v>2288</v>
      </c>
      <c r="E2159" t="str">
        <f t="shared" si="2244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3.3275230138103601E-6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5.6403615194259298E-6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4.6401637180402399E-6</v>
      </c>
      <c r="J2159" s="1" cm="1">
        <f t="array" ref="J2159">SUMPRODUCT(("var_ncap"=[1]OUT_TransportEnergyCons!$B$4:$B$10000)*1,("-"=[1]OUT_TransportEnergyCons!$C$4:$C$10000)*1,ISNUMBER(SEARCH("T_C*mhy*dsl*s4",[1]OUT_TransportEnergyCons!$A$4:$A$10000))*1,[1]OUT_TransportEnergyCons!H$4:H$10000)</f>
        <v>0</v>
      </c>
      <c r="K2159" s="1" cm="1">
        <f t="array" ref="K2159">SUMPRODUCT(("var_ncap"=[1]OUT_TransportEnergyCons!$B$4:$B$10000)*1,("-"=[1]OUT_TransportEnergyCons!$C$4:$C$10000)*1,ISNUMBER(SEARCH("T_C*mhy*dsl*s4",[1]OUT_TransportEnergyCons!$A$4:$A$10000))*1,[1]OUT_TransportEnergyCons!I$4:I$10000)</f>
        <v>0</v>
      </c>
      <c r="L2159" s="1" cm="1">
        <f t="array" ref="L2159">SUMPRODUCT(("var_ncap"=[1]OUT_TransportEnergyCons!$B$4:$B$10000)*1,("-"=[1]OUT_TransportEnergyCons!$C$4:$C$10000)*1,ISNUMBER(SEARCH("T_C*mhy*dsl*s4",[1]OUT_TransportEnergyCons!$A$4:$A$10000))*1,[1]OUT_TransportEnergyCons!J$4:J$10000)</f>
        <v>0</v>
      </c>
      <c r="M2159" s="1" cm="1">
        <f t="array" ref="M2159">SUMPRODUCT(("var_ncap"=[1]OUT_TransportEnergyCons!$B$4:$B$10000)*1,("-"=[1]OUT_TransportEnergyCons!$C$4:$C$10000)*1,ISNUMBER(SEARCH("T_C*mhy*dsl*s4",[1]OUT_TransportEnergyCons!$A$4:$A$10000))*1,[1]OUT_TransportEnergyCons!K$4:K$10000)</f>
        <v>0</v>
      </c>
      <c r="N2159" s="1" cm="1">
        <f t="array" ref="N2159">SUMPRODUCT(("var_ncap"=[1]OUT_TransportEnergyCons!$B$4:$B$10000)*1,("-"=[1]OUT_TransportEnergyCons!$C$4:$C$10000)*1,ISNUMBER(SEARCH("T_C*mhy*dsl*s4",[1]OUT_TransportEnergyCons!$A$4:$A$10000))*1,[1]OUT_TransportEnergyCons!L$4:L$10000)</f>
        <v>0</v>
      </c>
      <c r="O2159" s="1" cm="1">
        <f t="array" ref="O2159">SUMPRODUCT(("var_ncap"=[1]OUT_TransportEnergyCons!$B$4:$B$10000)*1,("-"=[1]OUT_TransportEnergyCons!$C$4:$C$10000)*1,ISNUMBER(SEARCH("T_C*mhy*dsl*s4",[1]OUT_TransportEnergyCons!$A$4:$A$10000))*1,[1]OUT_TransportEnergyCons!M$4:M$10000)</f>
        <v>0</v>
      </c>
      <c r="P2159" s="1" cm="1">
        <f t="array" ref="P2159">SUMPRODUCT(("var_ncap"=[1]OUT_TransportEnergyCons!$B$4:$B$10000)*1,("-"=[1]OUT_TransportEnergyCons!$C$4:$C$10000)*1,ISNUMBER(SEARCH("T_C*mhy*dsl*s4",[1]OUT_TransportEnergyCons!$A$4:$A$10000))*1,[1]OUT_TransportEnergyCons!N$4:N$10000)</f>
        <v>0</v>
      </c>
      <c r="Q2159" s="1" cm="1">
        <f t="array" ref="Q2159">SUMPRODUCT(("var_ncap"=[1]OUT_TransportEnergyCons!$B$4:$B$10000)*1,("-"=[1]OUT_TransportEnergyCons!$C$4:$C$10000)*1,ISNUMBER(SEARCH("T_C*mhy*dsl*s4",[1]OUT_TransportEnergyCons!$A$4:$A$10000))*1,[1]OUT_TransportEnergyCons!O$4:O$10000)</f>
        <v>0</v>
      </c>
      <c r="S2159" s="3"/>
    </row>
    <row r="2160" spans="2:19" x14ac:dyDescent="0.5">
      <c r="B2160" s="5" t="str">
        <f t="shared" si="2242"/>
        <v>SPS1</v>
      </c>
      <c r="C2160" s="5" t="str">
        <f t="shared" si="2243"/>
        <v>CH</v>
      </c>
      <c r="D2160" t="s">
        <v>2289</v>
      </c>
      <c r="E2160" t="str">
        <f t="shared" si="2244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SUMPRODUCT(("var_ncap"=[1]OUT_TransportEnergyCons!$B$4:$B$10000)*1,("-"=[1]OUT_TransportEnergyCons!$C$4:$C$10000)*1,ISNUMBER(SEARCH("T_C*ICE*nga*ext",[1]OUT_TransportEnergyCons!$A$4:$A$10000))*1,[1]OUT_TransportEnergyCons!H$4:H$10000)</f>
        <v>0</v>
      </c>
      <c r="K2160" s="1" cm="1">
        <f t="array" ref="K2160">SUMPRODUCT(("var_ncap"=[1]OUT_TransportEnergyCons!$B$4:$B$10000)*1,("-"=[1]OUT_TransportEnergyCons!$C$4:$C$10000)*1,ISNUMBER(SEARCH("T_C*ICE*nga*ext",[1]OUT_TransportEnergyCons!$A$4:$A$10000))*1,[1]OUT_TransportEnergyCons!I$4:I$10000)</f>
        <v>0</v>
      </c>
      <c r="L2160" s="1" cm="1">
        <f t="array" ref="L2160">SUMPRODUCT(("var_ncap"=[1]OUT_TransportEnergyCons!$B$4:$B$10000)*1,("-"=[1]OUT_TransportEnergyCons!$C$4:$C$10000)*1,ISNUMBER(SEARCH("T_C*ICE*nga*ext",[1]OUT_TransportEnergyCons!$A$4:$A$10000))*1,[1]OUT_TransportEnergyCons!J$4:J$10000)</f>
        <v>0</v>
      </c>
      <c r="M2160" s="1" cm="1">
        <f t="array" ref="M2160">SUMPRODUCT(("var_ncap"=[1]OUT_TransportEnergyCons!$B$4:$B$10000)*1,("-"=[1]OUT_TransportEnergyCons!$C$4:$C$10000)*1,ISNUMBER(SEARCH("T_C*ICE*nga*ext",[1]OUT_TransportEnergyCons!$A$4:$A$10000))*1,[1]OUT_TransportEnergyCons!K$4:K$10000)</f>
        <v>0</v>
      </c>
      <c r="N2160" s="1" cm="1">
        <f t="array" ref="N2160">SUMPRODUCT(("var_ncap"=[1]OUT_TransportEnergyCons!$B$4:$B$10000)*1,("-"=[1]OUT_TransportEnergyCons!$C$4:$C$10000)*1,ISNUMBER(SEARCH("T_C*ICE*nga*ext",[1]OUT_TransportEnergyCons!$A$4:$A$10000))*1,[1]OUT_TransportEnergyCons!L$4:L$10000)</f>
        <v>0</v>
      </c>
      <c r="O2160" s="1" cm="1">
        <f t="array" ref="O2160">SUMPRODUCT(("var_ncap"=[1]OUT_TransportEnergyCons!$B$4:$B$10000)*1,("-"=[1]OUT_TransportEnergyCons!$C$4:$C$10000)*1,ISNUMBER(SEARCH("T_C*ICE*nga*ext",[1]OUT_TransportEnergyCons!$A$4:$A$10000))*1,[1]OUT_TransportEnergyCons!M$4:M$10000)</f>
        <v>0</v>
      </c>
      <c r="P2160" s="1" cm="1">
        <f t="array" ref="P2160">SUMPRODUCT(("var_ncap"=[1]OUT_TransportEnergyCons!$B$4:$B$10000)*1,("-"=[1]OUT_TransportEnergyCons!$C$4:$C$10000)*1,ISNUMBER(SEARCH("T_C*ICE*nga*ext",[1]OUT_TransportEnergyCons!$A$4:$A$10000))*1,[1]OUT_TransportEnergyCons!N$4:N$10000)</f>
        <v>0</v>
      </c>
      <c r="Q2160" s="1" cm="1">
        <f t="array" ref="Q2160">SUMPRODUCT(("var_ncap"=[1]OUT_TransportEnergyCons!$B$4:$B$10000)*1,("-"=[1]OUT_TransportEnergyCons!$C$4:$C$10000)*1,ISNUMBER(SEARCH("T_C*ICE*nga*ext",[1]OUT_TransportEnergyCons!$A$4:$A$10000))*1,[1]OUT_TransportEnergyCons!O$4:O$10000)</f>
        <v>0</v>
      </c>
      <c r="S2160" s="3"/>
    </row>
    <row r="2161" spans="2:19" x14ac:dyDescent="0.5">
      <c r="B2161" s="5" t="str">
        <f t="shared" si="2242"/>
        <v>SPS1</v>
      </c>
      <c r="C2161" s="5" t="str">
        <f t="shared" si="2243"/>
        <v>CH</v>
      </c>
      <c r="D2161" t="s">
        <v>2290</v>
      </c>
      <c r="E2161" t="str">
        <f t="shared" si="2244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9.8388092392472297E-7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9.4127785833734202E-7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0</v>
      </c>
      <c r="J2161" s="1" cm="1">
        <f t="array" ref="J2161">SUMPRODUCT(("var_ncap"=[1]OUT_TransportEnergyCons!$B$4:$B$10000)*1,("-"=[1]OUT_TransportEnergyCons!$C$4:$C$10000)*1,ISNUMBER(SEARCH("T_C*ICE*nga*s1",[1]OUT_TransportEnergyCons!$A$4:$A$10000))*1,[1]OUT_TransportEnergyCons!H$4:H$10000)</f>
        <v>0</v>
      </c>
      <c r="K2161" s="1" cm="1">
        <f t="array" ref="K2161">SUMPRODUCT(("var_ncap"=[1]OUT_TransportEnergyCons!$B$4:$B$10000)*1,("-"=[1]OUT_TransportEnergyCons!$C$4:$C$10000)*1,ISNUMBER(SEARCH("T_C*ICE*nga*s1",[1]OUT_TransportEnergyCons!$A$4:$A$10000))*1,[1]OUT_TransportEnergyCons!I$4:I$10000)</f>
        <v>0</v>
      </c>
      <c r="L2161" s="1" cm="1">
        <f t="array" ref="L2161">SUMPRODUCT(("var_ncap"=[1]OUT_TransportEnergyCons!$B$4:$B$10000)*1,("-"=[1]OUT_TransportEnergyCons!$C$4:$C$10000)*1,ISNUMBER(SEARCH("T_C*ICE*nga*s1",[1]OUT_TransportEnergyCons!$A$4:$A$10000))*1,[1]OUT_TransportEnergyCons!J$4:J$10000)</f>
        <v>0</v>
      </c>
      <c r="M2161" s="1" cm="1">
        <f t="array" ref="M2161">SUMPRODUCT(("var_ncap"=[1]OUT_TransportEnergyCons!$B$4:$B$10000)*1,("-"=[1]OUT_TransportEnergyCons!$C$4:$C$10000)*1,ISNUMBER(SEARCH("T_C*ICE*nga*s1",[1]OUT_TransportEnergyCons!$A$4:$A$10000))*1,[1]OUT_TransportEnergyCons!K$4:K$10000)</f>
        <v>0</v>
      </c>
      <c r="N2161" s="1" cm="1">
        <f t="array" ref="N2161">SUMPRODUCT(("var_ncap"=[1]OUT_TransportEnergyCons!$B$4:$B$10000)*1,("-"=[1]OUT_TransportEnergyCons!$C$4:$C$10000)*1,ISNUMBER(SEARCH("T_C*ICE*nga*s1",[1]OUT_TransportEnergyCons!$A$4:$A$10000))*1,[1]OUT_TransportEnergyCons!L$4:L$10000)</f>
        <v>0</v>
      </c>
      <c r="O2161" s="1" cm="1">
        <f t="array" ref="O2161">SUMPRODUCT(("var_ncap"=[1]OUT_TransportEnergyCons!$B$4:$B$10000)*1,("-"=[1]OUT_TransportEnergyCons!$C$4:$C$10000)*1,ISNUMBER(SEARCH("T_C*ICE*nga*s1",[1]OUT_TransportEnergyCons!$A$4:$A$10000))*1,[1]OUT_TransportEnergyCons!M$4:M$10000)</f>
        <v>0</v>
      </c>
      <c r="P2161" s="1" cm="1">
        <f t="array" ref="P2161">SUMPRODUCT(("var_ncap"=[1]OUT_TransportEnergyCons!$B$4:$B$10000)*1,("-"=[1]OUT_TransportEnergyCons!$C$4:$C$10000)*1,ISNUMBER(SEARCH("T_C*ICE*nga*s1",[1]OUT_TransportEnergyCons!$A$4:$A$10000))*1,[1]OUT_TransportEnergyCons!N$4:N$10000)</f>
        <v>0</v>
      </c>
      <c r="Q2161" s="1" cm="1">
        <f t="array" ref="Q2161">SUMPRODUCT(("var_ncap"=[1]OUT_TransportEnergyCons!$B$4:$B$10000)*1,("-"=[1]OUT_TransportEnergyCons!$C$4:$C$10000)*1,ISNUMBER(SEARCH("T_C*ICE*nga*s1",[1]OUT_TransportEnergyCons!$A$4:$A$10000))*1,[1]OUT_TransportEnergyCons!O$4:O$10000)</f>
        <v>0</v>
      </c>
      <c r="S2161" s="3"/>
    </row>
    <row r="2162" spans="2:19" x14ac:dyDescent="0.5">
      <c r="B2162" s="5" t="str">
        <f t="shared" si="2242"/>
        <v>SPS1</v>
      </c>
      <c r="C2162" s="5" t="str">
        <f t="shared" si="2243"/>
        <v>CH</v>
      </c>
      <c r="D2162" t="s">
        <v>2291</v>
      </c>
      <c r="E2162" t="str">
        <f t="shared" si="2244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5.1997535246370898E-7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4.2771911031764299E-7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0</v>
      </c>
      <c r="J2162" s="1" cm="1">
        <f t="array" ref="J2162">SUMPRODUCT(("var_ncap"=[1]OUT_TransportEnergyCons!$B$4:$B$10000)*1,("-"=[1]OUT_TransportEnergyCons!$C$4:$C$10000)*1,ISNUMBER(SEARCH("T_C*ICE*nga*s2",[1]OUT_TransportEnergyCons!$A$4:$A$10000))*1,[1]OUT_TransportEnergyCons!H$4:H$10000)</f>
        <v>0</v>
      </c>
      <c r="K2162" s="1" cm="1">
        <f t="array" ref="K2162">SUMPRODUCT(("var_ncap"=[1]OUT_TransportEnergyCons!$B$4:$B$10000)*1,("-"=[1]OUT_TransportEnergyCons!$C$4:$C$10000)*1,ISNUMBER(SEARCH("T_C*ICE*nga*s2",[1]OUT_TransportEnergyCons!$A$4:$A$10000))*1,[1]OUT_TransportEnergyCons!I$4:I$10000)</f>
        <v>0</v>
      </c>
      <c r="L2162" s="1" cm="1">
        <f t="array" ref="L2162">SUMPRODUCT(("var_ncap"=[1]OUT_TransportEnergyCons!$B$4:$B$10000)*1,("-"=[1]OUT_TransportEnergyCons!$C$4:$C$10000)*1,ISNUMBER(SEARCH("T_C*ICE*nga*s2",[1]OUT_TransportEnergyCons!$A$4:$A$10000))*1,[1]OUT_TransportEnergyCons!J$4:J$10000)</f>
        <v>0</v>
      </c>
      <c r="M2162" s="1" cm="1">
        <f t="array" ref="M2162">SUMPRODUCT(("var_ncap"=[1]OUT_TransportEnergyCons!$B$4:$B$10000)*1,("-"=[1]OUT_TransportEnergyCons!$C$4:$C$10000)*1,ISNUMBER(SEARCH("T_C*ICE*nga*s2",[1]OUT_TransportEnergyCons!$A$4:$A$10000))*1,[1]OUT_TransportEnergyCons!K$4:K$10000)</f>
        <v>0</v>
      </c>
      <c r="N2162" s="1" cm="1">
        <f t="array" ref="N2162">SUMPRODUCT(("var_ncap"=[1]OUT_TransportEnergyCons!$B$4:$B$10000)*1,("-"=[1]OUT_TransportEnergyCons!$C$4:$C$10000)*1,ISNUMBER(SEARCH("T_C*ICE*nga*s2",[1]OUT_TransportEnergyCons!$A$4:$A$10000))*1,[1]OUT_TransportEnergyCons!L$4:L$10000)</f>
        <v>0</v>
      </c>
      <c r="O2162" s="1" cm="1">
        <f t="array" ref="O2162">SUMPRODUCT(("var_ncap"=[1]OUT_TransportEnergyCons!$B$4:$B$10000)*1,("-"=[1]OUT_TransportEnergyCons!$C$4:$C$10000)*1,ISNUMBER(SEARCH("T_C*ICE*nga*s2",[1]OUT_TransportEnergyCons!$A$4:$A$10000))*1,[1]OUT_TransportEnergyCons!M$4:M$10000)</f>
        <v>0</v>
      </c>
      <c r="P2162" s="1" cm="1">
        <f t="array" ref="P2162">SUMPRODUCT(("var_ncap"=[1]OUT_TransportEnergyCons!$B$4:$B$10000)*1,("-"=[1]OUT_TransportEnergyCons!$C$4:$C$10000)*1,ISNUMBER(SEARCH("T_C*ICE*nga*s2",[1]OUT_TransportEnergyCons!$A$4:$A$10000))*1,[1]OUT_TransportEnergyCons!N$4:N$10000)</f>
        <v>0</v>
      </c>
      <c r="Q2162" s="1" cm="1">
        <f t="array" ref="Q2162">SUMPRODUCT(("var_ncap"=[1]OUT_TransportEnergyCons!$B$4:$B$10000)*1,("-"=[1]OUT_TransportEnergyCons!$C$4:$C$10000)*1,ISNUMBER(SEARCH("T_C*ICE*nga*s2",[1]OUT_TransportEnergyCons!$A$4:$A$10000))*1,[1]OUT_TransportEnergyCons!O$4:O$10000)</f>
        <v>0</v>
      </c>
      <c r="S2162" s="3"/>
    </row>
    <row r="2163" spans="2:19" x14ac:dyDescent="0.5">
      <c r="B2163" s="5" t="str">
        <f t="shared" si="2242"/>
        <v>SPS1</v>
      </c>
      <c r="C2163" s="5" t="str">
        <f t="shared" si="2243"/>
        <v>CH</v>
      </c>
      <c r="D2163" t="s">
        <v>2292</v>
      </c>
      <c r="E2163" t="str">
        <f t="shared" si="2244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6.3164382474056002E-7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3.7155198541837098E-7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0</v>
      </c>
      <c r="J2163" s="1" cm="1">
        <f t="array" ref="J2163">SUMPRODUCT(("var_ncap"=[1]OUT_TransportEnergyCons!$B$4:$B$10000)*1,("-"=[1]OUT_TransportEnergyCons!$C$4:$C$10000)*1,ISNUMBER(SEARCH("T_C*ICE*nga*s3",[1]OUT_TransportEnergyCons!$A$4:$A$10000))*1,[1]OUT_TransportEnergyCons!H$4:H$10000)</f>
        <v>0</v>
      </c>
      <c r="K2163" s="1" cm="1">
        <f t="array" ref="K2163">SUMPRODUCT(("var_ncap"=[1]OUT_TransportEnergyCons!$B$4:$B$10000)*1,("-"=[1]OUT_TransportEnergyCons!$C$4:$C$10000)*1,ISNUMBER(SEARCH("T_C*ICE*nga*s3",[1]OUT_TransportEnergyCons!$A$4:$A$10000))*1,[1]OUT_TransportEnergyCons!I$4:I$10000)</f>
        <v>0</v>
      </c>
      <c r="L2163" s="1" cm="1">
        <f t="array" ref="L2163">SUMPRODUCT(("var_ncap"=[1]OUT_TransportEnergyCons!$B$4:$B$10000)*1,("-"=[1]OUT_TransportEnergyCons!$C$4:$C$10000)*1,ISNUMBER(SEARCH("T_C*ICE*nga*s3",[1]OUT_TransportEnergyCons!$A$4:$A$10000))*1,[1]OUT_TransportEnergyCons!J$4:J$10000)</f>
        <v>0</v>
      </c>
      <c r="M2163" s="1" cm="1">
        <f t="array" ref="M2163">SUMPRODUCT(("var_ncap"=[1]OUT_TransportEnergyCons!$B$4:$B$10000)*1,("-"=[1]OUT_TransportEnergyCons!$C$4:$C$10000)*1,ISNUMBER(SEARCH("T_C*ICE*nga*s3",[1]OUT_TransportEnergyCons!$A$4:$A$10000))*1,[1]OUT_TransportEnergyCons!K$4:K$10000)</f>
        <v>0</v>
      </c>
      <c r="N2163" s="1" cm="1">
        <f t="array" ref="N2163">SUMPRODUCT(("var_ncap"=[1]OUT_TransportEnergyCons!$B$4:$B$10000)*1,("-"=[1]OUT_TransportEnergyCons!$C$4:$C$10000)*1,ISNUMBER(SEARCH("T_C*ICE*nga*s3",[1]OUT_TransportEnergyCons!$A$4:$A$10000))*1,[1]OUT_TransportEnergyCons!L$4:L$10000)</f>
        <v>0</v>
      </c>
      <c r="O2163" s="1" cm="1">
        <f t="array" ref="O2163">SUMPRODUCT(("var_ncap"=[1]OUT_TransportEnergyCons!$B$4:$B$10000)*1,("-"=[1]OUT_TransportEnergyCons!$C$4:$C$10000)*1,ISNUMBER(SEARCH("T_C*ICE*nga*s3",[1]OUT_TransportEnergyCons!$A$4:$A$10000))*1,[1]OUT_TransportEnergyCons!M$4:M$10000)</f>
        <v>0</v>
      </c>
      <c r="P2163" s="1" cm="1">
        <f t="array" ref="P2163">SUMPRODUCT(("var_ncap"=[1]OUT_TransportEnergyCons!$B$4:$B$10000)*1,("-"=[1]OUT_TransportEnergyCons!$C$4:$C$10000)*1,ISNUMBER(SEARCH("T_C*ICE*nga*s3",[1]OUT_TransportEnergyCons!$A$4:$A$10000))*1,[1]OUT_TransportEnergyCons!N$4:N$10000)</f>
        <v>0</v>
      </c>
      <c r="Q2163" s="1" cm="1">
        <f t="array" ref="Q2163">SUMPRODUCT(("var_ncap"=[1]OUT_TransportEnergyCons!$B$4:$B$10000)*1,("-"=[1]OUT_TransportEnergyCons!$C$4:$C$10000)*1,ISNUMBER(SEARCH("T_C*ICE*nga*s3",[1]OUT_TransportEnergyCons!$A$4:$A$10000))*1,[1]OUT_TransportEnergyCons!O$4:O$10000)</f>
        <v>0</v>
      </c>
      <c r="S2163" s="3"/>
    </row>
    <row r="2164" spans="2:19" x14ac:dyDescent="0.5">
      <c r="B2164" s="5" t="str">
        <f t="shared" si="2242"/>
        <v>SPS1</v>
      </c>
      <c r="C2164" s="5" t="str">
        <f t="shared" si="2243"/>
        <v>CH</v>
      </c>
      <c r="D2164" t="s">
        <v>2293</v>
      </c>
      <c r="E2164" t="str">
        <f t="shared" si="2244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6.5145438503329501E-7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4.6330435295394898E-7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0</v>
      </c>
      <c r="J2164" s="1" cm="1">
        <f t="array" ref="J2164">SUMPRODUCT(("var_ncap"=[1]OUT_TransportEnergyCons!$B$4:$B$10000)*1,("-"=[1]OUT_TransportEnergyCons!$C$4:$C$10000)*1,ISNUMBER(SEARCH("T_C*ICE*nga*s4",[1]OUT_TransportEnergyCons!$A$4:$A$10000))*1,[1]OUT_TransportEnergyCons!H$4:H$10000)</f>
        <v>0</v>
      </c>
      <c r="K2164" s="1" cm="1">
        <f t="array" ref="K2164">SUMPRODUCT(("var_ncap"=[1]OUT_TransportEnergyCons!$B$4:$B$10000)*1,("-"=[1]OUT_TransportEnergyCons!$C$4:$C$10000)*1,ISNUMBER(SEARCH("T_C*ICE*nga*s4",[1]OUT_TransportEnergyCons!$A$4:$A$10000))*1,[1]OUT_TransportEnergyCons!I$4:I$10000)</f>
        <v>0</v>
      </c>
      <c r="L2164" s="1" cm="1">
        <f t="array" ref="L2164">SUMPRODUCT(("var_ncap"=[1]OUT_TransportEnergyCons!$B$4:$B$10000)*1,("-"=[1]OUT_TransportEnergyCons!$C$4:$C$10000)*1,ISNUMBER(SEARCH("T_C*ICE*nga*s4",[1]OUT_TransportEnergyCons!$A$4:$A$10000))*1,[1]OUT_TransportEnergyCons!J$4:J$10000)</f>
        <v>0</v>
      </c>
      <c r="M2164" s="1" cm="1">
        <f t="array" ref="M2164">SUMPRODUCT(("var_ncap"=[1]OUT_TransportEnergyCons!$B$4:$B$10000)*1,("-"=[1]OUT_TransportEnergyCons!$C$4:$C$10000)*1,ISNUMBER(SEARCH("T_C*ICE*nga*s4",[1]OUT_TransportEnergyCons!$A$4:$A$10000))*1,[1]OUT_TransportEnergyCons!K$4:K$10000)</f>
        <v>0</v>
      </c>
      <c r="N2164" s="1" cm="1">
        <f t="array" ref="N2164">SUMPRODUCT(("var_ncap"=[1]OUT_TransportEnergyCons!$B$4:$B$10000)*1,("-"=[1]OUT_TransportEnergyCons!$C$4:$C$10000)*1,ISNUMBER(SEARCH("T_C*ICE*nga*s4",[1]OUT_TransportEnergyCons!$A$4:$A$10000))*1,[1]OUT_TransportEnergyCons!L$4:L$10000)</f>
        <v>0</v>
      </c>
      <c r="O2164" s="1" cm="1">
        <f t="array" ref="O2164">SUMPRODUCT(("var_ncap"=[1]OUT_TransportEnergyCons!$B$4:$B$10000)*1,("-"=[1]OUT_TransportEnergyCons!$C$4:$C$10000)*1,ISNUMBER(SEARCH("T_C*ICE*nga*s4",[1]OUT_TransportEnergyCons!$A$4:$A$10000))*1,[1]OUT_TransportEnergyCons!M$4:M$10000)</f>
        <v>0</v>
      </c>
      <c r="P2164" s="1" cm="1">
        <f t="array" ref="P2164">SUMPRODUCT(("var_ncap"=[1]OUT_TransportEnergyCons!$B$4:$B$10000)*1,("-"=[1]OUT_TransportEnergyCons!$C$4:$C$10000)*1,ISNUMBER(SEARCH("T_C*ICE*nga*s4",[1]OUT_TransportEnergyCons!$A$4:$A$10000))*1,[1]OUT_TransportEnergyCons!N$4:N$10000)</f>
        <v>0</v>
      </c>
      <c r="Q2164" s="1" cm="1">
        <f t="array" ref="Q2164">SUMPRODUCT(("var_ncap"=[1]OUT_TransportEnergyCons!$B$4:$B$10000)*1,("-"=[1]OUT_TransportEnergyCons!$C$4:$C$10000)*1,ISNUMBER(SEARCH("T_C*ICE*nga*s4",[1]OUT_TransportEnergyCons!$A$4:$A$10000))*1,[1]OUT_TransportEnergyCons!O$4:O$10000)</f>
        <v>0</v>
      </c>
      <c r="S2164" s="3"/>
    </row>
    <row r="2165" spans="2:19" x14ac:dyDescent="0.5">
      <c r="B2165" s="5" t="str">
        <f>'SPS1'!B1953</f>
        <v>SPS1</v>
      </c>
      <c r="C2165" s="5" t="str">
        <f>'SPS1'!C1953</f>
        <v>CH</v>
      </c>
      <c r="D2165" s="2" t="s">
        <v>2294</v>
      </c>
      <c r="E2165" s="2" t="s">
        <v>1999</v>
      </c>
      <c r="F2165" s="3">
        <f t="shared" ref="F2165:K2165" si="2245">SUM(F2166:F2188)</f>
        <v>0</v>
      </c>
      <c r="G2165" s="3">
        <f t="shared" si="2245"/>
        <v>0.72389597747593482</v>
      </c>
      <c r="H2165" s="3">
        <f t="shared" si="2245"/>
        <v>1.5701646578537318</v>
      </c>
      <c r="I2165" s="3">
        <f t="shared" si="2245"/>
        <v>6.7058838846507944</v>
      </c>
      <c r="J2165" s="3">
        <f t="shared" si="2245"/>
        <v>4.0870343102552349</v>
      </c>
      <c r="K2165" s="3">
        <f t="shared" si="2245"/>
        <v>3.1600786373470178</v>
      </c>
      <c r="L2165" s="3">
        <f t="shared" ref="L2165:O2165" si="2246">SUM(L2166:L2188)</f>
        <v>2.9459249190396095</v>
      </c>
      <c r="M2165" s="3">
        <f t="shared" si="2246"/>
        <v>4.5794740368378326</v>
      </c>
      <c r="N2165" s="3">
        <f t="shared" si="2246"/>
        <v>2.4998791939938827</v>
      </c>
      <c r="O2165" s="3">
        <f t="shared" si="2246"/>
        <v>4.9509898322088954</v>
      </c>
      <c r="P2165" s="3">
        <f>SUM(P2166:P2188)</f>
        <v>3.2940789384716269</v>
      </c>
      <c r="Q2165" s="3">
        <f>SUM(Q2166:Q2188)</f>
        <v>4.1257902080264408</v>
      </c>
      <c r="S2165" s="3"/>
    </row>
    <row r="2166" spans="2:19" x14ac:dyDescent="0.5">
      <c r="B2166" s="5" t="str">
        <f t="shared" ref="B2166:B2197" si="2247">B2165</f>
        <v>SPS1</v>
      </c>
      <c r="C2166" s="5" t="str">
        <f t="shared" ref="C2166:C2197" si="2248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(SUMPRODUCT(("var_ncap"=[1]OUT_TransportEnergyCons!$B$4:$B$10000)*1,ISNUMBER(SEARCH("T_B_u*bev*ext",[1]OUT_TransportEnergyCons!$A$4:$A$10000))*1,[1]OUT_TransportEnergyCons!H$4:H$10000))*1000</f>
        <v>0</v>
      </c>
      <c r="K2166" s="1" cm="1">
        <f t="array" ref="K2166">(SUMPRODUCT(("var_ncap"=[1]OUT_TransportEnergyCons!$B$4:$B$10000)*1,ISNUMBER(SEARCH("T_B_u*bev*ext",[1]OUT_TransportEnergyCons!$A$4:$A$10000))*1,[1]OUT_TransportEnergyCons!I$4:I$10000))*1000</f>
        <v>0</v>
      </c>
      <c r="L2166" s="1" cm="1">
        <f t="array" ref="L2166">(SUMPRODUCT(("var_ncap"=[1]OUT_TransportEnergyCons!$B$4:$B$10000)*1,ISNUMBER(SEARCH("T_B_u*bev*ext",[1]OUT_TransportEnergyCons!$A$4:$A$10000))*1,[1]OUT_TransportEnergyCons!J$4:J$10000))*1000</f>
        <v>0</v>
      </c>
      <c r="M2166" s="1" cm="1">
        <f t="array" ref="M2166">(SUMPRODUCT(("var_ncap"=[1]OUT_TransportEnergyCons!$B$4:$B$10000)*1,ISNUMBER(SEARCH("T_B_u*bev*ext",[1]OUT_TransportEnergyCons!$A$4:$A$10000))*1,[1]OUT_TransportEnergyCons!K$4:K$10000))*1000</f>
        <v>0</v>
      </c>
      <c r="N2166" s="1" cm="1">
        <f t="array" ref="N2166">(SUMPRODUCT(("var_ncap"=[1]OUT_TransportEnergyCons!$B$4:$B$10000)*1,ISNUMBER(SEARCH("T_B_u*bev*ext",[1]OUT_TransportEnergyCons!$A$4:$A$10000))*1,[1]OUT_TransportEnergyCons!L$4:L$10000))*1000</f>
        <v>0</v>
      </c>
      <c r="O2166" s="1" cm="1">
        <f t="array" ref="O2166">(SUMPRODUCT(("var_ncap"=[1]OUT_TransportEnergyCons!$B$4:$B$10000)*1,ISNUMBER(SEARCH("T_B_u*bev*ext",[1]OUT_TransportEnergyCons!$A$4:$A$10000))*1,[1]OUT_TransportEnergyCons!M$4:M$10000))*1000</f>
        <v>0</v>
      </c>
      <c r="P2166" s="1" cm="1">
        <f t="array" ref="P2166">(SUMPRODUCT(("var_ncap"=[1]OUT_TransportEnergyCons!$B$4:$B$10000)*1,ISNUMBER(SEARCH("T_B_u*bev*ext",[1]OUT_TransportEnergyCons!$A$4:$A$10000))*1,[1]OUT_TransportEnergyCons!N$4:N$10000))*1000</f>
        <v>0</v>
      </c>
      <c r="Q2166" s="1" cm="1">
        <f t="array" ref="Q2166">(SUMPRODUCT(("var_ncap"=[1]OUT_TransportEnergyCons!$B$4:$B$10000)*1,ISNUMBER(SEARCH("T_B_u*bev*ext",[1]OUT_TransportEnergyCons!$A$4:$A$10000))*1,[1]OUT_TransportEnergyCons!O$4:O$10000))*1000</f>
        <v>0</v>
      </c>
      <c r="S2166" s="3"/>
    </row>
    <row r="2167" spans="2:19" x14ac:dyDescent="0.5">
      <c r="B2167" s="5" t="str">
        <f t="shared" si="2247"/>
        <v>SPS1</v>
      </c>
      <c r="C2167" s="5" t="str">
        <f t="shared" si="2248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2.0818972239979201E-3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5.4691471827685596E-3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2.05129392853341</v>
      </c>
      <c r="J2167" s="1" cm="1">
        <f t="array" ref="J2167">(SUMPRODUCT(("var_ncap"=[1]OUT_TransportEnergyCons!$B$4:$B$10000)*1,ISNUMBER(SEARCH("T_B_u*bev*s1",[1]OUT_TransportEnergyCons!$A$4:$A$10000))*1,[1]OUT_TransportEnergyCons!H$4:H$10000))*1000</f>
        <v>2.3435424524255701</v>
      </c>
      <c r="K2167" s="1" cm="1">
        <f t="array" ref="K2167">(SUMPRODUCT(("var_ncap"=[1]OUT_TransportEnergyCons!$B$4:$B$10000)*1,ISNUMBER(SEARCH("T_B_u*bev*s1",[1]OUT_TransportEnergyCons!$A$4:$A$10000))*1,[1]OUT_TransportEnergyCons!I$4:I$10000))*1000</f>
        <v>0.51434474060236202</v>
      </c>
      <c r="L2167" s="1" cm="1">
        <f t="array" ref="L2167">(SUMPRODUCT(("var_ncap"=[1]OUT_TransportEnergyCons!$B$4:$B$10000)*1,ISNUMBER(SEARCH("T_B_u*bev*s1",[1]OUT_TransportEnergyCons!$A$4:$A$10000))*1,[1]OUT_TransportEnergyCons!J$4:J$10000))*1000</f>
        <v>1.20378738040621</v>
      </c>
      <c r="M2167" s="1" cm="1">
        <f t="array" ref="M2167">(SUMPRODUCT(("var_ncap"=[1]OUT_TransportEnergyCons!$B$4:$B$10000)*1,ISNUMBER(SEARCH("T_B_u*bev*s1",[1]OUT_TransportEnergyCons!$A$4:$A$10000))*1,[1]OUT_TransportEnergyCons!K$4:K$10000))*1000</f>
        <v>1.66017757539176</v>
      </c>
      <c r="N2167" s="1" cm="1">
        <f t="array" ref="N2167">(SUMPRODUCT(("var_ncap"=[1]OUT_TransportEnergyCons!$B$4:$B$10000)*1,ISNUMBER(SEARCH("T_B_u*bev*s1",[1]OUT_TransportEnergyCons!$A$4:$A$10000))*1,[1]OUT_TransportEnergyCons!L$4:L$10000))*1000</f>
        <v>0.96995774198606399</v>
      </c>
      <c r="O2167" s="1" cm="1">
        <f t="array" ref="O2167">(SUMPRODUCT(("var_ncap"=[1]OUT_TransportEnergyCons!$B$4:$B$10000)*1,ISNUMBER(SEARCH("T_B_u*bev*s1",[1]OUT_TransportEnergyCons!$A$4:$A$10000))*1,[1]OUT_TransportEnergyCons!M$4:M$10000))*1000</f>
        <v>1.4499598962995399</v>
      </c>
      <c r="P2167" s="1" cm="1">
        <f t="array" ref="P2167">(SUMPRODUCT(("var_ncap"=[1]OUT_TransportEnergyCons!$B$4:$B$10000)*1,ISNUMBER(SEARCH("T_B_u*bev*s1",[1]OUT_TransportEnergyCons!$A$4:$A$10000))*1,[1]OUT_TransportEnergyCons!N$4:N$10000))*1000</f>
        <v>1.7251078232064299</v>
      </c>
      <c r="Q2167" s="1" cm="1">
        <f t="array" ref="Q2167">(SUMPRODUCT(("var_ncap"=[1]OUT_TransportEnergyCons!$B$4:$B$10000)*1,ISNUMBER(SEARCH("T_B_u*bev*s1",[1]OUT_TransportEnergyCons!$A$4:$A$10000))*1,[1]OUT_TransportEnergyCons!O$4:O$10000))*1000</f>
        <v>0.68690539845577692</v>
      </c>
      <c r="S2167" s="3"/>
    </row>
    <row r="2168" spans="2:19" x14ac:dyDescent="0.5">
      <c r="B2168" s="5" t="str">
        <f t="shared" si="2247"/>
        <v>SPS1</v>
      </c>
      <c r="C2168" s="5" t="str">
        <f t="shared" si="2248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4.95633101711352E-4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4.7678742918448097E-3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0.74540163745346999</v>
      </c>
      <c r="J2168" s="1" cm="1">
        <f t="array" ref="J2168">(SUMPRODUCT(("var_ncap"=[1]OUT_TransportEnergyCons!$B$4:$B$10000)*1,ISNUMBER(SEARCH("T_B_u*bev*s2",[1]OUT_TransportEnergyCons!$A$4:$A$10000))*1,[1]OUT_TransportEnergyCons!H$4:H$10000))*1000</f>
        <v>0.71582257923456505</v>
      </c>
      <c r="K2168" s="1" cm="1">
        <f t="array" ref="K2168">(SUMPRODUCT(("var_ncap"=[1]OUT_TransportEnergyCons!$B$4:$B$10000)*1,ISNUMBER(SEARCH("T_B_u*bev*s2",[1]OUT_TransportEnergyCons!$A$4:$A$10000))*1,[1]OUT_TransportEnergyCons!I$4:I$10000))*1000</f>
        <v>0.101177491541814</v>
      </c>
      <c r="L2168" s="1" cm="1">
        <f t="array" ref="L2168">(SUMPRODUCT(("var_ncap"=[1]OUT_TransportEnergyCons!$B$4:$B$10000)*1,ISNUMBER(SEARCH("T_B_u*bev*s2",[1]OUT_TransportEnergyCons!$A$4:$A$10000))*1,[1]OUT_TransportEnergyCons!J$4:J$10000))*1000</f>
        <v>0.373694753342865</v>
      </c>
      <c r="M2168" s="1" cm="1">
        <f t="array" ref="M2168">(SUMPRODUCT(("var_ncap"=[1]OUT_TransportEnergyCons!$B$4:$B$10000)*1,ISNUMBER(SEARCH("T_B_u*bev*s2",[1]OUT_TransportEnergyCons!$A$4:$A$10000))*1,[1]OUT_TransportEnergyCons!K$4:K$10000))*1000</f>
        <v>0.46647386168740501</v>
      </c>
      <c r="N2168" s="1" cm="1">
        <f t="array" ref="N2168">(SUMPRODUCT(("var_ncap"=[1]OUT_TransportEnergyCons!$B$4:$B$10000)*1,ISNUMBER(SEARCH("T_B_u*bev*s2",[1]OUT_TransportEnergyCons!$A$4:$A$10000))*1,[1]OUT_TransportEnergyCons!L$4:L$10000))*1000</f>
        <v>0.264501986999234</v>
      </c>
      <c r="O2168" s="1" cm="1">
        <f t="array" ref="O2168">(SUMPRODUCT(("var_ncap"=[1]OUT_TransportEnergyCons!$B$4:$B$10000)*1,ISNUMBER(SEARCH("T_B_u*bev*s2",[1]OUT_TransportEnergyCons!$A$4:$A$10000))*1,[1]OUT_TransportEnergyCons!M$4:M$10000))*1000</f>
        <v>0.42138874169951496</v>
      </c>
      <c r="P2168" s="1" cm="1">
        <f t="array" ref="P2168">(SUMPRODUCT(("var_ncap"=[1]OUT_TransportEnergyCons!$B$4:$B$10000)*1,ISNUMBER(SEARCH("T_B_u*bev*s2",[1]OUT_TransportEnergyCons!$A$4:$A$10000))*1,[1]OUT_TransportEnergyCons!N$4:N$10000))*1000</f>
        <v>0.484746734096627</v>
      </c>
      <c r="Q2168" s="1" cm="1">
        <f t="array" ref="Q2168">(SUMPRODUCT(("var_ncap"=[1]OUT_TransportEnergyCons!$B$4:$B$10000)*1,ISNUMBER(SEARCH("T_B_u*bev*s2",[1]OUT_TransportEnergyCons!$A$4:$A$10000))*1,[1]OUT_TransportEnergyCons!O$4:O$10000))*1000</f>
        <v>0.21683651757314601</v>
      </c>
      <c r="S2168" s="3"/>
    </row>
    <row r="2169" spans="2:19" x14ac:dyDescent="0.5">
      <c r="B2169" s="5" t="str">
        <f t="shared" si="2247"/>
        <v>SPS1</v>
      </c>
      <c r="C2169" s="5" t="str">
        <f t="shared" si="2248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2.7339241185973199E-4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3.4175238282934204E-3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3.7392330540244201</v>
      </c>
      <c r="J2169" s="1" cm="1">
        <f t="array" ref="J2169">(SUMPRODUCT(("var_ncap"=[1]OUT_TransportEnergyCons!$B$4:$B$10000)*1,ISNUMBER(SEARCH("T_B_u*bev*s3",[1]OUT_TransportEnergyCons!$A$4:$A$10000))*1,[1]OUT_TransportEnergyCons!H$4:H$10000))*1000</f>
        <v>1.0274475791136901</v>
      </c>
      <c r="K2169" s="1" cm="1">
        <f t="array" ref="K2169">(SUMPRODUCT(("var_ncap"=[1]OUT_TransportEnergyCons!$B$4:$B$10000)*1,ISNUMBER(SEARCH("T_B_u*bev*s3",[1]OUT_TransportEnergyCons!$A$4:$A$10000))*1,[1]OUT_TransportEnergyCons!I$4:I$10000))*1000</f>
        <v>2.5444406328589002</v>
      </c>
      <c r="L2169" s="1" cm="1">
        <f t="array" ref="L2169">(SUMPRODUCT(("var_ncap"=[1]OUT_TransportEnergyCons!$B$4:$B$10000)*1,ISNUMBER(SEARCH("T_B_u*bev*s3",[1]OUT_TransportEnergyCons!$A$4:$A$10000))*1,[1]OUT_TransportEnergyCons!J$4:J$10000))*1000</f>
        <v>1.3683080917157802</v>
      </c>
      <c r="M2169" s="1" cm="1">
        <f t="array" ref="M2169">(SUMPRODUCT(("var_ncap"=[1]OUT_TransportEnergyCons!$B$4:$B$10000)*1,ISNUMBER(SEARCH("T_B_u*bev*s3",[1]OUT_TransportEnergyCons!$A$4:$A$10000))*1,[1]OUT_TransportEnergyCons!K$4:K$10000))*1000</f>
        <v>2.4526298530683199</v>
      </c>
      <c r="N2169" s="1" cm="1">
        <f t="array" ref="N2169">(SUMPRODUCT(("var_ncap"=[1]OUT_TransportEnergyCons!$B$4:$B$10000)*1,ISNUMBER(SEARCH("T_B_u*bev*s3",[1]OUT_TransportEnergyCons!$A$4:$A$10000))*1,[1]OUT_TransportEnergyCons!L$4:L$10000))*1000</f>
        <v>1.2652418029357599</v>
      </c>
      <c r="O2169" s="1" cm="1">
        <f t="array" ref="O2169">(SUMPRODUCT(("var_ncap"=[1]OUT_TransportEnergyCons!$B$4:$B$10000)*1,ISNUMBER(SEARCH("T_B_u*bev*s3",[1]OUT_TransportEnergyCons!$A$4:$A$10000))*1,[1]OUT_TransportEnergyCons!M$4:M$10000))*1000</f>
        <v>3.0794059330259498</v>
      </c>
      <c r="P2169" s="1" cm="1">
        <f t="array" ref="P2169">(SUMPRODUCT(("var_ncap"=[1]OUT_TransportEnergyCons!$B$4:$B$10000)*1,ISNUMBER(SEARCH("T_B_u*bev*s3",[1]OUT_TransportEnergyCons!$A$4:$A$10000))*1,[1]OUT_TransportEnergyCons!N$4:N$10000))*1000</f>
        <v>1.08398581993067</v>
      </c>
      <c r="Q2169" s="1" cm="1">
        <f t="array" ref="Q2169">(SUMPRODUCT(("var_ncap"=[1]OUT_TransportEnergyCons!$B$4:$B$10000)*1,ISNUMBER(SEARCH("T_B_u*bev*s3",[1]OUT_TransportEnergyCons!$A$4:$A$10000))*1,[1]OUT_TransportEnergyCons!O$4:O$10000))*1000</f>
        <v>3.2216962399567399</v>
      </c>
      <c r="S2169" s="3"/>
    </row>
    <row r="2170" spans="2:19" x14ac:dyDescent="0.5">
      <c r="B2170" s="5" t="str">
        <f t="shared" si="2247"/>
        <v>SPS1</v>
      </c>
      <c r="C2170" s="5" t="str">
        <f t="shared" si="2248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6.9907439577386393E-5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1.10710470530064E-4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0.16995526463949401</v>
      </c>
      <c r="J2170" s="1" cm="1">
        <f t="array" ref="J2170">(SUMPRODUCT(("var_ncap"=[1]OUT_TransportEnergyCons!$B$4:$B$10000)*1,ISNUMBER(SEARCH("T_B_u*bev*s4",[1]OUT_TransportEnergyCons!$A$4:$A$10000))*1,[1]OUT_TransportEnergyCons!H$4:H$10000))*1000</f>
        <v>2.21699481409277E-4</v>
      </c>
      <c r="K2170" s="1" cm="1">
        <f t="array" ref="K2170">(SUMPRODUCT(("var_ncap"=[1]OUT_TransportEnergyCons!$B$4:$B$10000)*1,ISNUMBER(SEARCH("T_B_u*bev*s4",[1]OUT_TransportEnergyCons!$A$4:$A$10000))*1,[1]OUT_TransportEnergyCons!I$4:I$10000))*1000</f>
        <v>1.1577234394145E-4</v>
      </c>
      <c r="L2170" s="1" cm="1">
        <f t="array" ref="L2170">(SUMPRODUCT(("var_ncap"=[1]OUT_TransportEnergyCons!$B$4:$B$10000)*1,ISNUMBER(SEARCH("T_B_u*bev*s4",[1]OUT_TransportEnergyCons!$A$4:$A$10000))*1,[1]OUT_TransportEnergyCons!J$4:J$10000))*1000</f>
        <v>1.3469357475395501E-4</v>
      </c>
      <c r="M2170" s="1" cm="1">
        <f t="array" ref="M2170">(SUMPRODUCT(("var_ncap"=[1]OUT_TransportEnergyCons!$B$4:$B$10000)*1,ISNUMBER(SEARCH("T_B_u*bev*s4",[1]OUT_TransportEnergyCons!$A$4:$A$10000))*1,[1]OUT_TransportEnergyCons!K$4:K$10000))*1000</f>
        <v>1.9274669034801699E-4</v>
      </c>
      <c r="N2170" s="1" cm="1">
        <f t="array" ref="N2170">(SUMPRODUCT(("var_ncap"=[1]OUT_TransportEnergyCons!$B$4:$B$10000)*1,ISNUMBER(SEARCH("T_B_u*bev*s4",[1]OUT_TransportEnergyCons!$A$4:$A$10000))*1,[1]OUT_TransportEnergyCons!L$4:L$10000))*1000</f>
        <v>1.7766207282440502E-4</v>
      </c>
      <c r="O2170" s="1" cm="1">
        <f t="array" ref="O2170">(SUMPRODUCT(("var_ncap"=[1]OUT_TransportEnergyCons!$B$4:$B$10000)*1,ISNUMBER(SEARCH("T_B_u*bev*s4",[1]OUT_TransportEnergyCons!$A$4:$A$10000))*1,[1]OUT_TransportEnergyCons!M$4:M$10000))*1000</f>
        <v>2.35261183890387E-4</v>
      </c>
      <c r="P2170" s="1" cm="1">
        <f t="array" ref="P2170">(SUMPRODUCT(("var_ncap"=[1]OUT_TransportEnergyCons!$B$4:$B$10000)*1,ISNUMBER(SEARCH("T_B_u*bev*s4",[1]OUT_TransportEnergyCons!$A$4:$A$10000))*1,[1]OUT_TransportEnergyCons!N$4:N$10000))*1000</f>
        <v>2.3856123789947099E-4</v>
      </c>
      <c r="Q2170" s="1" cm="1">
        <f t="array" ref="Q2170">(SUMPRODUCT(("var_ncap"=[1]OUT_TransportEnergyCons!$B$4:$B$10000)*1,ISNUMBER(SEARCH("T_B_u*bev*s4",[1]OUT_TransportEnergyCons!$A$4:$A$10000))*1,[1]OUT_TransportEnergyCons!O$4:O$10000))*1000</f>
        <v>3.5205204077812301E-4</v>
      </c>
      <c r="S2170" s="3"/>
    </row>
    <row r="2171" spans="2:19" x14ac:dyDescent="0.5">
      <c r="B2171" s="5" t="str">
        <f t="shared" si="2247"/>
        <v>SPS1</v>
      </c>
      <c r="C2171" s="5" t="str">
        <f t="shared" si="2248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0</v>
      </c>
      <c r="J2171" s="1" cm="1">
        <f t="array" ref="J2171">(SUMPRODUCT(("var_ncap"=[1]OUT_TransportEnergyCons!$B$4:$B$10000)*1,ISNUMBER(SEARCH("T_B_u*h2o*s1",[1]OUT_TransportEnergyCons!$A$4:$A$10000))*1,[1]OUT_TransportEnergyCons!H$4:H$10000))*1000</f>
        <v>0</v>
      </c>
      <c r="K2171" s="1" cm="1">
        <f t="array" ref="K2171">(SUMPRODUCT(("var_ncap"=[1]OUT_TransportEnergyCons!$B$4:$B$10000)*1,ISNUMBER(SEARCH("T_B_u*h2o*s1",[1]OUT_TransportEnergyCons!$A$4:$A$10000))*1,[1]OUT_TransportEnergyCons!I$4:I$10000))*1000</f>
        <v>0</v>
      </c>
      <c r="L2171" s="1" cm="1">
        <f t="array" ref="L2171">(SUMPRODUCT(("var_ncap"=[1]OUT_TransportEnergyCons!$B$4:$B$10000)*1,ISNUMBER(SEARCH("T_B_u*h2o*s1",[1]OUT_TransportEnergyCons!$A$4:$A$10000))*1,[1]OUT_TransportEnergyCons!J$4:J$10000))*1000</f>
        <v>0</v>
      </c>
      <c r="M2171" s="1" cm="1">
        <f t="array" ref="M2171">(SUMPRODUCT(("var_ncap"=[1]OUT_TransportEnergyCons!$B$4:$B$10000)*1,ISNUMBER(SEARCH("T_B_u*h2o*s1",[1]OUT_TransportEnergyCons!$A$4:$A$10000))*1,[1]OUT_TransportEnergyCons!K$4:K$10000))*1000</f>
        <v>0</v>
      </c>
      <c r="N2171" s="1" cm="1">
        <f t="array" ref="N2171">(SUMPRODUCT(("var_ncap"=[1]OUT_TransportEnergyCons!$B$4:$B$10000)*1,ISNUMBER(SEARCH("T_B_u*h2o*s1",[1]OUT_TransportEnergyCons!$A$4:$A$10000))*1,[1]OUT_TransportEnergyCons!L$4:L$10000))*1000</f>
        <v>0</v>
      </c>
      <c r="O2171" s="1" cm="1">
        <f t="array" ref="O2171">(SUMPRODUCT(("var_ncap"=[1]OUT_TransportEnergyCons!$B$4:$B$10000)*1,ISNUMBER(SEARCH("T_B_u*h2o*s1",[1]OUT_TransportEnergyCons!$A$4:$A$10000))*1,[1]OUT_TransportEnergyCons!M$4:M$10000))*1000</f>
        <v>0</v>
      </c>
      <c r="P2171" s="1" cm="1">
        <f t="array" ref="P2171">(SUMPRODUCT(("var_ncap"=[1]OUT_TransportEnergyCons!$B$4:$B$10000)*1,ISNUMBER(SEARCH("T_B_u*h2o*s1",[1]OUT_TransportEnergyCons!$A$4:$A$10000))*1,[1]OUT_TransportEnergyCons!N$4:N$10000))*1000</f>
        <v>0</v>
      </c>
      <c r="Q2171" s="1" cm="1">
        <f t="array" ref="Q2171">(SUMPRODUCT(("var_ncap"=[1]OUT_TransportEnergyCons!$B$4:$B$10000)*1,ISNUMBER(SEARCH("T_B_u*h2o*s1",[1]OUT_TransportEnergyCons!$A$4:$A$10000))*1,[1]OUT_TransportEnergyCons!O$4:O$10000))*1000</f>
        <v>0</v>
      </c>
      <c r="S2171" s="3"/>
    </row>
    <row r="2172" spans="2:19" x14ac:dyDescent="0.5">
      <c r="B2172" s="5" t="str">
        <f t="shared" si="2247"/>
        <v>SPS1</v>
      </c>
      <c r="C2172" s="5" t="str">
        <f t="shared" si="2248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0</v>
      </c>
      <c r="J2172" s="1" cm="1">
        <f t="array" ref="J2172">(SUMPRODUCT(("var_ncap"=[1]OUT_TransportEnergyCons!$B$4:$B$10000)*1,ISNUMBER(SEARCH("T_B_u*h2o*s2",[1]OUT_TransportEnergyCons!$A$4:$A$10000))*1,[1]OUT_TransportEnergyCons!H$4:H$10000))*1000</f>
        <v>0</v>
      </c>
      <c r="K2172" s="1" cm="1">
        <f t="array" ref="K2172">(SUMPRODUCT(("var_ncap"=[1]OUT_TransportEnergyCons!$B$4:$B$10000)*1,ISNUMBER(SEARCH("T_B_u*h2o*s2",[1]OUT_TransportEnergyCons!$A$4:$A$10000))*1,[1]OUT_TransportEnergyCons!I$4:I$10000))*1000</f>
        <v>0</v>
      </c>
      <c r="L2172" s="1" cm="1">
        <f t="array" ref="L2172">(SUMPRODUCT(("var_ncap"=[1]OUT_TransportEnergyCons!$B$4:$B$10000)*1,ISNUMBER(SEARCH("T_B_u*h2o*s2",[1]OUT_TransportEnergyCons!$A$4:$A$10000))*1,[1]OUT_TransportEnergyCons!J$4:J$10000))*1000</f>
        <v>0</v>
      </c>
      <c r="M2172" s="1" cm="1">
        <f t="array" ref="M2172">(SUMPRODUCT(("var_ncap"=[1]OUT_TransportEnergyCons!$B$4:$B$10000)*1,ISNUMBER(SEARCH("T_B_u*h2o*s2",[1]OUT_TransportEnergyCons!$A$4:$A$10000))*1,[1]OUT_TransportEnergyCons!K$4:K$10000))*1000</f>
        <v>0</v>
      </c>
      <c r="N2172" s="1" cm="1">
        <f t="array" ref="N2172">(SUMPRODUCT(("var_ncap"=[1]OUT_TransportEnergyCons!$B$4:$B$10000)*1,ISNUMBER(SEARCH("T_B_u*h2o*s2",[1]OUT_TransportEnergyCons!$A$4:$A$10000))*1,[1]OUT_TransportEnergyCons!L$4:L$10000))*1000</f>
        <v>0</v>
      </c>
      <c r="O2172" s="1" cm="1">
        <f t="array" ref="O2172">(SUMPRODUCT(("var_ncap"=[1]OUT_TransportEnergyCons!$B$4:$B$10000)*1,ISNUMBER(SEARCH("T_B_u*h2o*s2",[1]OUT_TransportEnergyCons!$A$4:$A$10000))*1,[1]OUT_TransportEnergyCons!M$4:M$10000))*1000</f>
        <v>0</v>
      </c>
      <c r="P2172" s="1" cm="1">
        <f t="array" ref="P2172">(SUMPRODUCT(("var_ncap"=[1]OUT_TransportEnergyCons!$B$4:$B$10000)*1,ISNUMBER(SEARCH("T_B_u*h2o*s2",[1]OUT_TransportEnergyCons!$A$4:$A$10000))*1,[1]OUT_TransportEnergyCons!N$4:N$10000))*1000</f>
        <v>0</v>
      </c>
      <c r="Q2172" s="1" cm="1">
        <f t="array" ref="Q2172">(SUMPRODUCT(("var_ncap"=[1]OUT_TransportEnergyCons!$B$4:$B$10000)*1,ISNUMBER(SEARCH("T_B_u*h2o*s2",[1]OUT_TransportEnergyCons!$A$4:$A$10000))*1,[1]OUT_TransportEnergyCons!O$4:O$10000))*1000</f>
        <v>0</v>
      </c>
      <c r="S2172" s="3"/>
    </row>
    <row r="2173" spans="2:19" x14ac:dyDescent="0.5">
      <c r="B2173" s="5" t="str">
        <f t="shared" si="2247"/>
        <v>SPS1</v>
      </c>
      <c r="C2173" s="5" t="str">
        <f t="shared" si="2248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0</v>
      </c>
      <c r="J2173" s="1" cm="1">
        <f t="array" ref="J2173">(SUMPRODUCT(("var_ncap"=[1]OUT_TransportEnergyCons!$B$4:$B$10000)*1,ISNUMBER(SEARCH("T_B_u*h2o*s3",[1]OUT_TransportEnergyCons!$A$4:$A$10000))*1,[1]OUT_TransportEnergyCons!H$4:H$10000))*1000</f>
        <v>0</v>
      </c>
      <c r="K2173" s="1" cm="1">
        <f t="array" ref="K2173">(SUMPRODUCT(("var_ncap"=[1]OUT_TransportEnergyCons!$B$4:$B$10000)*1,ISNUMBER(SEARCH("T_B_u*h2o*s3",[1]OUT_TransportEnergyCons!$A$4:$A$10000))*1,[1]OUT_TransportEnergyCons!I$4:I$10000))*1000</f>
        <v>0</v>
      </c>
      <c r="L2173" s="1" cm="1">
        <f t="array" ref="L2173">(SUMPRODUCT(("var_ncap"=[1]OUT_TransportEnergyCons!$B$4:$B$10000)*1,ISNUMBER(SEARCH("T_B_u*h2o*s3",[1]OUT_TransportEnergyCons!$A$4:$A$10000))*1,[1]OUT_TransportEnergyCons!J$4:J$10000))*1000</f>
        <v>0</v>
      </c>
      <c r="M2173" s="1" cm="1">
        <f t="array" ref="M2173">(SUMPRODUCT(("var_ncap"=[1]OUT_TransportEnergyCons!$B$4:$B$10000)*1,ISNUMBER(SEARCH("T_B_u*h2o*s3",[1]OUT_TransportEnergyCons!$A$4:$A$10000))*1,[1]OUT_TransportEnergyCons!K$4:K$10000))*1000</f>
        <v>0</v>
      </c>
      <c r="N2173" s="1" cm="1">
        <f t="array" ref="N2173">(SUMPRODUCT(("var_ncap"=[1]OUT_TransportEnergyCons!$B$4:$B$10000)*1,ISNUMBER(SEARCH("T_B_u*h2o*s3",[1]OUT_TransportEnergyCons!$A$4:$A$10000))*1,[1]OUT_TransportEnergyCons!L$4:L$10000))*1000</f>
        <v>0</v>
      </c>
      <c r="O2173" s="1" cm="1">
        <f t="array" ref="O2173">(SUMPRODUCT(("var_ncap"=[1]OUT_TransportEnergyCons!$B$4:$B$10000)*1,ISNUMBER(SEARCH("T_B_u*h2o*s3",[1]OUT_TransportEnergyCons!$A$4:$A$10000))*1,[1]OUT_TransportEnergyCons!M$4:M$10000))*1000</f>
        <v>0</v>
      </c>
      <c r="P2173" s="1" cm="1">
        <f t="array" ref="P2173">(SUMPRODUCT(("var_ncap"=[1]OUT_TransportEnergyCons!$B$4:$B$10000)*1,ISNUMBER(SEARCH("T_B_u*h2o*s3",[1]OUT_TransportEnergyCons!$A$4:$A$10000))*1,[1]OUT_TransportEnergyCons!N$4:N$10000))*1000</f>
        <v>0</v>
      </c>
      <c r="Q2173" s="1" cm="1">
        <f t="array" ref="Q2173">(SUMPRODUCT(("var_ncap"=[1]OUT_TransportEnergyCons!$B$4:$B$10000)*1,ISNUMBER(SEARCH("T_B_u*h2o*s3",[1]OUT_TransportEnergyCons!$A$4:$A$10000))*1,[1]OUT_TransportEnergyCons!O$4:O$10000))*1000</f>
        <v>0</v>
      </c>
      <c r="S2173" s="3"/>
    </row>
    <row r="2174" spans="2:19" x14ac:dyDescent="0.5">
      <c r="B2174" s="5" t="str">
        <f t="shared" si="2247"/>
        <v>SPS1</v>
      </c>
      <c r="C2174" s="5" t="str">
        <f t="shared" si="2248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(SUMPRODUCT(("var_ncap"=[1]OUT_TransportEnergyCons!$B$4:$B$10000)*1,ISNUMBER(SEARCH("T_B_u*h2o*s4",[1]OUT_TransportEnergyCons!$A$4:$A$10000))*1,[1]OUT_TransportEnergyCons!H$4:H$10000))*1000</f>
        <v>0</v>
      </c>
      <c r="K2174" s="1" cm="1">
        <f t="array" ref="K2174">(SUMPRODUCT(("var_ncap"=[1]OUT_TransportEnergyCons!$B$4:$B$10000)*1,ISNUMBER(SEARCH("T_B_u*h2o*s4",[1]OUT_TransportEnergyCons!$A$4:$A$10000))*1,[1]OUT_TransportEnergyCons!I$4:I$10000))*1000</f>
        <v>0</v>
      </c>
      <c r="L2174" s="1" cm="1">
        <f t="array" ref="L2174">(SUMPRODUCT(("var_ncap"=[1]OUT_TransportEnergyCons!$B$4:$B$10000)*1,ISNUMBER(SEARCH("T_B_u*h2o*s4",[1]OUT_TransportEnergyCons!$A$4:$A$10000))*1,[1]OUT_TransportEnergyCons!J$4:J$10000))*1000</f>
        <v>0</v>
      </c>
      <c r="M2174" s="1" cm="1">
        <f t="array" ref="M2174">(SUMPRODUCT(("var_ncap"=[1]OUT_TransportEnergyCons!$B$4:$B$10000)*1,ISNUMBER(SEARCH("T_B_u*h2o*s4",[1]OUT_TransportEnergyCons!$A$4:$A$10000))*1,[1]OUT_TransportEnergyCons!K$4:K$10000))*1000</f>
        <v>0</v>
      </c>
      <c r="N2174" s="1" cm="1">
        <f t="array" ref="N2174">(SUMPRODUCT(("var_ncap"=[1]OUT_TransportEnergyCons!$B$4:$B$10000)*1,ISNUMBER(SEARCH("T_B_u*h2o*s4",[1]OUT_TransportEnergyCons!$A$4:$A$10000))*1,[1]OUT_TransportEnergyCons!L$4:L$10000))*1000</f>
        <v>0</v>
      </c>
      <c r="O2174" s="1" cm="1">
        <f t="array" ref="O2174">(SUMPRODUCT(("var_ncap"=[1]OUT_TransportEnergyCons!$B$4:$B$10000)*1,ISNUMBER(SEARCH("T_B_u*h2o*s4",[1]OUT_TransportEnergyCons!$A$4:$A$10000))*1,[1]OUT_TransportEnergyCons!M$4:M$10000))*1000</f>
        <v>0</v>
      </c>
      <c r="P2174" s="1" cm="1">
        <f t="array" ref="P2174">(SUMPRODUCT(("var_ncap"=[1]OUT_TransportEnergyCons!$B$4:$B$10000)*1,ISNUMBER(SEARCH("T_B_u*h2o*s4",[1]OUT_TransportEnergyCons!$A$4:$A$10000))*1,[1]OUT_TransportEnergyCons!N$4:N$10000))*1000</f>
        <v>0</v>
      </c>
      <c r="Q2174" s="1" cm="1">
        <f t="array" ref="Q2174">(SUMPRODUCT(("var_ncap"=[1]OUT_TransportEnergyCons!$B$4:$B$10000)*1,ISNUMBER(SEARCH("T_B_u*h2o*s4",[1]OUT_TransportEnergyCons!$A$4:$A$10000))*1,[1]OUT_TransportEnergyCons!O$4:O$10000))*1000</f>
        <v>0</v>
      </c>
      <c r="S2174" s="3"/>
    </row>
    <row r="2175" spans="2:19" x14ac:dyDescent="0.5">
      <c r="B2175" s="5" t="str">
        <f t="shared" si="2247"/>
        <v>SPS1</v>
      </c>
      <c r="C2175" s="5" t="str">
        <f t="shared" si="2248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0.190022960504491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4.9713285168119601E-4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0</v>
      </c>
      <c r="J2175" s="1" cm="1">
        <f t="array" ref="J2175">(SUMPRODUCT(("var_ncap"=[1]OUT_TransportEnergyCons!$B$4:$B$10000)*1,ISNUMBER(SEARCH("T_B_u*hyb*DSL*s1",[1]OUT_TransportEnergyCons!$A$4:$A$10000))*1,[1]OUT_TransportEnergyCons!H$4:H$10000))*1000</f>
        <v>0</v>
      </c>
      <c r="K2175" s="1" cm="1">
        <f t="array" ref="K2175">(SUMPRODUCT(("var_ncap"=[1]OUT_TransportEnergyCons!$B$4:$B$10000)*1,ISNUMBER(SEARCH("T_B_u*hyb*DSL*s1",[1]OUT_TransportEnergyCons!$A$4:$A$10000))*1,[1]OUT_TransportEnergyCons!I$4:I$10000))*1000</f>
        <v>0</v>
      </c>
      <c r="L2175" s="1" cm="1">
        <f t="array" ref="L2175">(SUMPRODUCT(("var_ncap"=[1]OUT_TransportEnergyCons!$B$4:$B$10000)*1,ISNUMBER(SEARCH("T_B_u*hyb*DSL*s1",[1]OUT_TransportEnergyCons!$A$4:$A$10000))*1,[1]OUT_TransportEnergyCons!J$4:J$10000))*1000</f>
        <v>0</v>
      </c>
      <c r="M2175" s="1" cm="1">
        <f t="array" ref="M2175">(SUMPRODUCT(("var_ncap"=[1]OUT_TransportEnergyCons!$B$4:$B$10000)*1,ISNUMBER(SEARCH("T_B_u*hyb*DSL*s1",[1]OUT_TransportEnergyCons!$A$4:$A$10000))*1,[1]OUT_TransportEnergyCons!K$4:K$10000))*1000</f>
        <v>0</v>
      </c>
      <c r="N2175" s="1" cm="1">
        <f t="array" ref="N2175">(SUMPRODUCT(("var_ncap"=[1]OUT_TransportEnergyCons!$B$4:$B$10000)*1,ISNUMBER(SEARCH("T_B_u*hyb*DSL*s1",[1]OUT_TransportEnergyCons!$A$4:$A$10000))*1,[1]OUT_TransportEnergyCons!L$4:L$10000))*1000</f>
        <v>0</v>
      </c>
      <c r="O2175" s="1" cm="1">
        <f t="array" ref="O2175">(SUMPRODUCT(("var_ncap"=[1]OUT_TransportEnergyCons!$B$4:$B$10000)*1,ISNUMBER(SEARCH("T_B_u*hyb*DSL*s1",[1]OUT_TransportEnergyCons!$A$4:$A$10000))*1,[1]OUT_TransportEnergyCons!M$4:M$10000))*1000</f>
        <v>0</v>
      </c>
      <c r="P2175" s="1" cm="1">
        <f t="array" ref="P2175">(SUMPRODUCT(("var_ncap"=[1]OUT_TransportEnergyCons!$B$4:$B$10000)*1,ISNUMBER(SEARCH("T_B_u*hyb*DSL*s1",[1]OUT_TransportEnergyCons!$A$4:$A$10000))*1,[1]OUT_TransportEnergyCons!N$4:N$10000))*1000</f>
        <v>0</v>
      </c>
      <c r="Q2175" s="1" cm="1">
        <f t="array" ref="Q2175">(SUMPRODUCT(("var_ncap"=[1]OUT_TransportEnergyCons!$B$4:$B$10000)*1,ISNUMBER(SEARCH("T_B_u*hyb*DSL*s1",[1]OUT_TransportEnergyCons!$A$4:$A$10000))*1,[1]OUT_TransportEnergyCons!O$4:O$10000))*1000</f>
        <v>0</v>
      </c>
      <c r="S2175" s="3"/>
    </row>
    <row r="2176" spans="2:19" x14ac:dyDescent="0.5">
      <c r="B2176" s="5" t="str">
        <f t="shared" si="2247"/>
        <v>SPS1</v>
      </c>
      <c r="C2176" s="5" t="str">
        <f t="shared" si="2248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4.4629499908513501E-4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2.1051350335060998E-4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0</v>
      </c>
      <c r="J2176" s="1" cm="1">
        <f t="array" ref="J2176">(SUMPRODUCT(("var_ncap"=[1]OUT_TransportEnergyCons!$B$4:$B$10000)*1,ISNUMBER(SEARCH("T_B_u*hyb*DSL*s2",[1]OUT_TransportEnergyCons!$A$4:$A$10000))*1,[1]OUT_TransportEnergyCons!H$4:H$10000))*1000</f>
        <v>0</v>
      </c>
      <c r="K2176" s="1" cm="1">
        <f t="array" ref="K2176">(SUMPRODUCT(("var_ncap"=[1]OUT_TransportEnergyCons!$B$4:$B$10000)*1,ISNUMBER(SEARCH("T_B_u*hyb*DSL*s2",[1]OUT_TransportEnergyCons!$A$4:$A$10000))*1,[1]OUT_TransportEnergyCons!I$4:I$10000))*1000</f>
        <v>0</v>
      </c>
      <c r="L2176" s="1" cm="1">
        <f t="array" ref="L2176">(SUMPRODUCT(("var_ncap"=[1]OUT_TransportEnergyCons!$B$4:$B$10000)*1,ISNUMBER(SEARCH("T_B_u*hyb*DSL*s2",[1]OUT_TransportEnergyCons!$A$4:$A$10000))*1,[1]OUT_TransportEnergyCons!J$4:J$10000))*1000</f>
        <v>0</v>
      </c>
      <c r="M2176" s="1" cm="1">
        <f t="array" ref="M2176">(SUMPRODUCT(("var_ncap"=[1]OUT_TransportEnergyCons!$B$4:$B$10000)*1,ISNUMBER(SEARCH("T_B_u*hyb*DSL*s2",[1]OUT_TransportEnergyCons!$A$4:$A$10000))*1,[1]OUT_TransportEnergyCons!K$4:K$10000))*1000</f>
        <v>0</v>
      </c>
      <c r="N2176" s="1" cm="1">
        <f t="array" ref="N2176">(SUMPRODUCT(("var_ncap"=[1]OUT_TransportEnergyCons!$B$4:$B$10000)*1,ISNUMBER(SEARCH("T_B_u*hyb*DSL*s2",[1]OUT_TransportEnergyCons!$A$4:$A$10000))*1,[1]OUT_TransportEnergyCons!L$4:L$10000))*1000</f>
        <v>0</v>
      </c>
      <c r="O2176" s="1" cm="1">
        <f t="array" ref="O2176">(SUMPRODUCT(("var_ncap"=[1]OUT_TransportEnergyCons!$B$4:$B$10000)*1,ISNUMBER(SEARCH("T_B_u*hyb*DSL*s2",[1]OUT_TransportEnergyCons!$A$4:$A$10000))*1,[1]OUT_TransportEnergyCons!M$4:M$10000))*1000</f>
        <v>0</v>
      </c>
      <c r="P2176" s="1" cm="1">
        <f t="array" ref="P2176">(SUMPRODUCT(("var_ncap"=[1]OUT_TransportEnergyCons!$B$4:$B$10000)*1,ISNUMBER(SEARCH("T_B_u*hyb*DSL*s2",[1]OUT_TransportEnergyCons!$A$4:$A$10000))*1,[1]OUT_TransportEnergyCons!N$4:N$10000))*1000</f>
        <v>0</v>
      </c>
      <c r="Q2176" s="1" cm="1">
        <f t="array" ref="Q2176">(SUMPRODUCT(("var_ncap"=[1]OUT_TransportEnergyCons!$B$4:$B$10000)*1,ISNUMBER(SEARCH("T_B_u*hyb*DSL*s2",[1]OUT_TransportEnergyCons!$A$4:$A$10000))*1,[1]OUT_TransportEnergyCons!O$4:O$10000))*1000</f>
        <v>0</v>
      </c>
      <c r="S2176" s="3"/>
    </row>
    <row r="2177" spans="2:19" x14ac:dyDescent="0.5">
      <c r="B2177" s="5" t="str">
        <f t="shared" si="2247"/>
        <v>SPS1</v>
      </c>
      <c r="C2177" s="5" t="str">
        <f t="shared" si="2248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3.05668928829957E-4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1.2925116592093201E-4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</v>
      </c>
      <c r="J2177" s="1" cm="1">
        <f t="array" ref="J2177">(SUMPRODUCT(("var_ncap"=[1]OUT_TransportEnergyCons!$B$4:$B$10000)*1,ISNUMBER(SEARCH("T_B_u*hyb*DSL*s3",[1]OUT_TransportEnergyCons!$A$4:$A$10000))*1,[1]OUT_TransportEnergyCons!H$4:H$10000))*1000</f>
        <v>0</v>
      </c>
      <c r="K2177" s="1" cm="1">
        <f t="array" ref="K2177">(SUMPRODUCT(("var_ncap"=[1]OUT_TransportEnergyCons!$B$4:$B$10000)*1,ISNUMBER(SEARCH("T_B_u*hyb*DSL*s3",[1]OUT_TransportEnergyCons!$A$4:$A$10000))*1,[1]OUT_TransportEnergyCons!I$4:I$10000))*1000</f>
        <v>0</v>
      </c>
      <c r="L2177" s="1" cm="1">
        <f t="array" ref="L2177">(SUMPRODUCT(("var_ncap"=[1]OUT_TransportEnergyCons!$B$4:$B$10000)*1,ISNUMBER(SEARCH("T_B_u*hyb*DSL*s3",[1]OUT_TransportEnergyCons!$A$4:$A$10000))*1,[1]OUT_TransportEnergyCons!J$4:J$10000))*1000</f>
        <v>0</v>
      </c>
      <c r="M2177" s="1" cm="1">
        <f t="array" ref="M2177">(SUMPRODUCT(("var_ncap"=[1]OUT_TransportEnergyCons!$B$4:$B$10000)*1,ISNUMBER(SEARCH("T_B_u*hyb*DSL*s3",[1]OUT_TransportEnergyCons!$A$4:$A$10000))*1,[1]OUT_TransportEnergyCons!K$4:K$10000))*1000</f>
        <v>0</v>
      </c>
      <c r="N2177" s="1" cm="1">
        <f t="array" ref="N2177">(SUMPRODUCT(("var_ncap"=[1]OUT_TransportEnergyCons!$B$4:$B$10000)*1,ISNUMBER(SEARCH("T_B_u*hyb*DSL*s3",[1]OUT_TransportEnergyCons!$A$4:$A$10000))*1,[1]OUT_TransportEnergyCons!L$4:L$10000))*1000</f>
        <v>0</v>
      </c>
      <c r="O2177" s="1" cm="1">
        <f t="array" ref="O2177">(SUMPRODUCT(("var_ncap"=[1]OUT_TransportEnergyCons!$B$4:$B$10000)*1,ISNUMBER(SEARCH("T_B_u*hyb*DSL*s3",[1]OUT_TransportEnergyCons!$A$4:$A$10000))*1,[1]OUT_TransportEnergyCons!M$4:M$10000))*1000</f>
        <v>0</v>
      </c>
      <c r="P2177" s="1" cm="1">
        <f t="array" ref="P2177">(SUMPRODUCT(("var_ncap"=[1]OUT_TransportEnergyCons!$B$4:$B$10000)*1,ISNUMBER(SEARCH("T_B_u*hyb*DSL*s3",[1]OUT_TransportEnergyCons!$A$4:$A$10000))*1,[1]OUT_TransportEnergyCons!N$4:N$10000))*1000</f>
        <v>0</v>
      </c>
      <c r="Q2177" s="1" cm="1">
        <f t="array" ref="Q2177">(SUMPRODUCT(("var_ncap"=[1]OUT_TransportEnergyCons!$B$4:$B$10000)*1,ISNUMBER(SEARCH("T_B_u*hyb*DSL*s3",[1]OUT_TransportEnergyCons!$A$4:$A$10000))*1,[1]OUT_TransportEnergyCons!O$4:O$10000))*1000</f>
        <v>0</v>
      </c>
      <c r="S2177" s="3"/>
    </row>
    <row r="2178" spans="2:19" x14ac:dyDescent="0.5">
      <c r="B2178" s="5" t="str">
        <f t="shared" si="2247"/>
        <v>SPS1</v>
      </c>
      <c r="C2178" s="5" t="str">
        <f t="shared" si="2248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1.43222136217807E-5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1.1990642623356599E-5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0</v>
      </c>
      <c r="J2178" s="1" cm="1">
        <f t="array" ref="J2178">(SUMPRODUCT(("var_ncap"=[1]OUT_TransportEnergyCons!$B$4:$B$10000)*1,ISNUMBER(SEARCH("T_B_u*hyb*DSL*s4",[1]OUT_TransportEnergyCons!$A$4:$A$10000))*1,[1]OUT_TransportEnergyCons!H$4:H$10000))*1000</f>
        <v>0</v>
      </c>
      <c r="K2178" s="1" cm="1">
        <f t="array" ref="K2178">(SUMPRODUCT(("var_ncap"=[1]OUT_TransportEnergyCons!$B$4:$B$10000)*1,ISNUMBER(SEARCH("T_B_u*hyb*DSL*s4",[1]OUT_TransportEnergyCons!$A$4:$A$10000))*1,[1]OUT_TransportEnergyCons!I$4:I$10000))*1000</f>
        <v>0</v>
      </c>
      <c r="L2178" s="1" cm="1">
        <f t="array" ref="L2178">(SUMPRODUCT(("var_ncap"=[1]OUT_TransportEnergyCons!$B$4:$B$10000)*1,ISNUMBER(SEARCH("T_B_u*hyb*DSL*s4",[1]OUT_TransportEnergyCons!$A$4:$A$10000))*1,[1]OUT_TransportEnergyCons!J$4:J$10000))*1000</f>
        <v>0</v>
      </c>
      <c r="M2178" s="1" cm="1">
        <f t="array" ref="M2178">(SUMPRODUCT(("var_ncap"=[1]OUT_TransportEnergyCons!$B$4:$B$10000)*1,ISNUMBER(SEARCH("T_B_u*hyb*DSL*s4",[1]OUT_TransportEnergyCons!$A$4:$A$10000))*1,[1]OUT_TransportEnergyCons!K$4:K$10000))*1000</f>
        <v>0</v>
      </c>
      <c r="N2178" s="1" cm="1">
        <f t="array" ref="N2178">(SUMPRODUCT(("var_ncap"=[1]OUT_TransportEnergyCons!$B$4:$B$10000)*1,ISNUMBER(SEARCH("T_B_u*hyb*DSL*s4",[1]OUT_TransportEnergyCons!$A$4:$A$10000))*1,[1]OUT_TransportEnergyCons!L$4:L$10000))*1000</f>
        <v>0</v>
      </c>
      <c r="O2178" s="1" cm="1">
        <f t="array" ref="O2178">(SUMPRODUCT(("var_ncap"=[1]OUT_TransportEnergyCons!$B$4:$B$10000)*1,ISNUMBER(SEARCH("T_B_u*hyb*DSL*s4",[1]OUT_TransportEnergyCons!$A$4:$A$10000))*1,[1]OUT_TransportEnergyCons!M$4:M$10000))*1000</f>
        <v>0</v>
      </c>
      <c r="P2178" s="1" cm="1">
        <f t="array" ref="P2178">(SUMPRODUCT(("var_ncap"=[1]OUT_TransportEnergyCons!$B$4:$B$10000)*1,ISNUMBER(SEARCH("T_B_u*hyb*DSL*s4",[1]OUT_TransportEnergyCons!$A$4:$A$10000))*1,[1]OUT_TransportEnergyCons!N$4:N$10000))*1000</f>
        <v>0</v>
      </c>
      <c r="Q2178" s="1" cm="1">
        <f t="array" ref="Q2178">(SUMPRODUCT(("var_ncap"=[1]OUT_TransportEnergyCons!$B$4:$B$10000)*1,ISNUMBER(SEARCH("T_B_u*hyb*DSL*s4",[1]OUT_TransportEnergyCons!$A$4:$A$10000))*1,[1]OUT_TransportEnergyCons!O$4:O$10000))*1000</f>
        <v>0</v>
      </c>
      <c r="S2178" s="3"/>
    </row>
    <row r="2179" spans="2:19" x14ac:dyDescent="0.5">
      <c r="B2179" s="5" t="str">
        <f t="shared" si="2247"/>
        <v>SPS1</v>
      </c>
      <c r="C2179" s="5" t="str">
        <f t="shared" si="2248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(SUMPRODUCT(("var_ncap"=[1]OUT_TransportEnergyCons!$B$4:$B$10000)*1,ISNUMBER(SEARCH("T_B_u*ICE*DSL*ext",[1]OUT_TransportEnergyCons!$A$4:$A$10000))*1,[1]OUT_TransportEnergyCons!H$4:H$10000))*1000</f>
        <v>0</v>
      </c>
      <c r="K2179" s="1" cm="1">
        <f t="array" ref="K2179">(SUMPRODUCT(("var_ncap"=[1]OUT_TransportEnergyCons!$B$4:$B$10000)*1,ISNUMBER(SEARCH("T_B_u*ICE*DSL*ext",[1]OUT_TransportEnergyCons!$A$4:$A$10000))*1,[1]OUT_TransportEnergyCons!I$4:I$10000))*1000</f>
        <v>0</v>
      </c>
      <c r="L2179" s="1" cm="1">
        <f t="array" ref="L2179">(SUMPRODUCT(("var_ncap"=[1]OUT_TransportEnergyCons!$B$4:$B$10000)*1,ISNUMBER(SEARCH("T_B_u*ICE*DSL*ext",[1]OUT_TransportEnergyCons!$A$4:$A$10000))*1,[1]OUT_TransportEnergyCons!J$4:J$10000))*1000</f>
        <v>0</v>
      </c>
      <c r="M2179" s="1" cm="1">
        <f t="array" ref="M2179">(SUMPRODUCT(("var_ncap"=[1]OUT_TransportEnergyCons!$B$4:$B$10000)*1,ISNUMBER(SEARCH("T_B_u*ICE*DSL*ext",[1]OUT_TransportEnergyCons!$A$4:$A$10000))*1,[1]OUT_TransportEnergyCons!K$4:K$10000))*1000</f>
        <v>0</v>
      </c>
      <c r="N2179" s="1" cm="1">
        <f t="array" ref="N2179">(SUMPRODUCT(("var_ncap"=[1]OUT_TransportEnergyCons!$B$4:$B$10000)*1,ISNUMBER(SEARCH("T_B_u*ICE*DSL*ext",[1]OUT_TransportEnergyCons!$A$4:$A$10000))*1,[1]OUT_TransportEnergyCons!L$4:L$10000))*1000</f>
        <v>0</v>
      </c>
      <c r="O2179" s="1" cm="1">
        <f t="array" ref="O2179">(SUMPRODUCT(("var_ncap"=[1]OUT_TransportEnergyCons!$B$4:$B$10000)*1,ISNUMBER(SEARCH("T_B_u*ICE*DSL*ext",[1]OUT_TransportEnergyCons!$A$4:$A$10000))*1,[1]OUT_TransportEnergyCons!M$4:M$10000))*1000</f>
        <v>0</v>
      </c>
      <c r="P2179" s="1" cm="1">
        <f t="array" ref="P2179">(SUMPRODUCT(("var_ncap"=[1]OUT_TransportEnergyCons!$B$4:$B$10000)*1,ISNUMBER(SEARCH("T_B_u*ICE*DSL*ext",[1]OUT_TransportEnergyCons!$A$4:$A$10000))*1,[1]OUT_TransportEnergyCons!N$4:N$10000))*1000</f>
        <v>0</v>
      </c>
      <c r="Q2179" s="1" cm="1">
        <f t="array" ref="Q2179">(SUMPRODUCT(("var_ncap"=[1]OUT_TransportEnergyCons!$B$4:$B$10000)*1,ISNUMBER(SEARCH("T_B_u*ICE*DSL*ext",[1]OUT_TransportEnergyCons!$A$4:$A$10000))*1,[1]OUT_TransportEnergyCons!O$4:O$10000))*1000</f>
        <v>0</v>
      </c>
      <c r="S2179" s="3"/>
    </row>
    <row r="2180" spans="2:19" x14ac:dyDescent="0.5">
      <c r="B2180" s="5" t="str">
        <f t="shared" si="2247"/>
        <v>SPS1</v>
      </c>
      <c r="C2180" s="5" t="str">
        <f t="shared" si="2248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0.462972833813945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0.52817498888953596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(SUMPRODUCT(("var_ncap"=[1]OUT_TransportEnergyCons!$B$4:$B$10000)*1,ISNUMBER(SEARCH("T_B_u*ICE*DSL*s1",[1]OUT_TransportEnergyCons!$A$4:$A$10000))*1,[1]OUT_TransportEnergyCons!H$4:H$10000))*1000</f>
        <v>0</v>
      </c>
      <c r="K2180" s="1" cm="1">
        <f t="array" ref="K2180">(SUMPRODUCT(("var_ncap"=[1]OUT_TransportEnergyCons!$B$4:$B$10000)*1,ISNUMBER(SEARCH("T_B_u*ICE*DSL*s1",[1]OUT_TransportEnergyCons!$A$4:$A$10000))*1,[1]OUT_TransportEnergyCons!I$4:I$10000))*1000</f>
        <v>0</v>
      </c>
      <c r="L2180" s="1" cm="1">
        <f t="array" ref="L2180">(SUMPRODUCT(("var_ncap"=[1]OUT_TransportEnergyCons!$B$4:$B$10000)*1,ISNUMBER(SEARCH("T_B_u*ICE*DSL*s1",[1]OUT_TransportEnergyCons!$A$4:$A$10000))*1,[1]OUT_TransportEnergyCons!J$4:J$10000))*1000</f>
        <v>0</v>
      </c>
      <c r="M2180" s="1" cm="1">
        <f t="array" ref="M2180">(SUMPRODUCT(("var_ncap"=[1]OUT_TransportEnergyCons!$B$4:$B$10000)*1,ISNUMBER(SEARCH("T_B_u*ICE*DSL*s1",[1]OUT_TransportEnergyCons!$A$4:$A$10000))*1,[1]OUT_TransportEnergyCons!K$4:K$10000))*1000</f>
        <v>0</v>
      </c>
      <c r="N2180" s="1" cm="1">
        <f t="array" ref="N2180">(SUMPRODUCT(("var_ncap"=[1]OUT_TransportEnergyCons!$B$4:$B$10000)*1,ISNUMBER(SEARCH("T_B_u*ICE*DSL*s1",[1]OUT_TransportEnergyCons!$A$4:$A$10000))*1,[1]OUT_TransportEnergyCons!L$4:L$10000))*1000</f>
        <v>0</v>
      </c>
      <c r="O2180" s="1" cm="1">
        <f t="array" ref="O2180">(SUMPRODUCT(("var_ncap"=[1]OUT_TransportEnergyCons!$B$4:$B$10000)*1,ISNUMBER(SEARCH("T_B_u*ICE*DSL*s1",[1]OUT_TransportEnergyCons!$A$4:$A$10000))*1,[1]OUT_TransportEnergyCons!M$4:M$10000))*1000</f>
        <v>0</v>
      </c>
      <c r="P2180" s="1" cm="1">
        <f t="array" ref="P2180">(SUMPRODUCT(("var_ncap"=[1]OUT_TransportEnergyCons!$B$4:$B$10000)*1,ISNUMBER(SEARCH("T_B_u*ICE*DSL*s1",[1]OUT_TransportEnergyCons!$A$4:$A$10000))*1,[1]OUT_TransportEnergyCons!N$4:N$10000))*1000</f>
        <v>0</v>
      </c>
      <c r="Q2180" s="1" cm="1">
        <f t="array" ref="Q2180">(SUMPRODUCT(("var_ncap"=[1]OUT_TransportEnergyCons!$B$4:$B$10000)*1,ISNUMBER(SEARCH("T_B_u*ICE*DSL*s1",[1]OUT_TransportEnergyCons!$A$4:$A$10000))*1,[1]OUT_TransportEnergyCons!O$4:O$10000))*1000</f>
        <v>0</v>
      </c>
      <c r="S2180" s="3"/>
    </row>
    <row r="2181" spans="2:19" x14ac:dyDescent="0.5">
      <c r="B2181" s="5" t="str">
        <f t="shared" si="2247"/>
        <v>SPS1</v>
      </c>
      <c r="C2181" s="5" t="str">
        <f t="shared" si="2248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1.00828410549853E-2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0.18702909348011398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(SUMPRODUCT(("var_ncap"=[1]OUT_TransportEnergyCons!$B$4:$B$10000)*1,ISNUMBER(SEARCH("T_B_u*ICE*DSL*s2",[1]OUT_TransportEnergyCons!$A$4:$A$10000))*1,[1]OUT_TransportEnergyCons!H$4:H$10000))*1000</f>
        <v>0</v>
      </c>
      <c r="K2181" s="1" cm="1">
        <f t="array" ref="K2181">(SUMPRODUCT(("var_ncap"=[1]OUT_TransportEnergyCons!$B$4:$B$10000)*1,ISNUMBER(SEARCH("T_B_u*ICE*DSL*s2",[1]OUT_TransportEnergyCons!$A$4:$A$10000))*1,[1]OUT_TransportEnergyCons!I$4:I$10000))*1000</f>
        <v>0</v>
      </c>
      <c r="L2181" s="1" cm="1">
        <f t="array" ref="L2181">(SUMPRODUCT(("var_ncap"=[1]OUT_TransportEnergyCons!$B$4:$B$10000)*1,ISNUMBER(SEARCH("T_B_u*ICE*DSL*s2",[1]OUT_TransportEnergyCons!$A$4:$A$10000))*1,[1]OUT_TransportEnergyCons!J$4:J$10000))*1000</f>
        <v>0</v>
      </c>
      <c r="M2181" s="1" cm="1">
        <f t="array" ref="M2181">(SUMPRODUCT(("var_ncap"=[1]OUT_TransportEnergyCons!$B$4:$B$10000)*1,ISNUMBER(SEARCH("T_B_u*ICE*DSL*s2",[1]OUT_TransportEnergyCons!$A$4:$A$10000))*1,[1]OUT_TransportEnergyCons!K$4:K$10000))*1000</f>
        <v>0</v>
      </c>
      <c r="N2181" s="1" cm="1">
        <f t="array" ref="N2181">(SUMPRODUCT(("var_ncap"=[1]OUT_TransportEnergyCons!$B$4:$B$10000)*1,ISNUMBER(SEARCH("T_B_u*ICE*DSL*s2",[1]OUT_TransportEnergyCons!$A$4:$A$10000))*1,[1]OUT_TransportEnergyCons!L$4:L$10000))*1000</f>
        <v>0</v>
      </c>
      <c r="O2181" s="1" cm="1">
        <f t="array" ref="O2181">(SUMPRODUCT(("var_ncap"=[1]OUT_TransportEnergyCons!$B$4:$B$10000)*1,ISNUMBER(SEARCH("T_B_u*ICE*DSL*s2",[1]OUT_TransportEnergyCons!$A$4:$A$10000))*1,[1]OUT_TransportEnergyCons!M$4:M$10000))*1000</f>
        <v>0</v>
      </c>
      <c r="P2181" s="1" cm="1">
        <f t="array" ref="P2181">(SUMPRODUCT(("var_ncap"=[1]OUT_TransportEnergyCons!$B$4:$B$10000)*1,ISNUMBER(SEARCH("T_B_u*ICE*DSL*s2",[1]OUT_TransportEnergyCons!$A$4:$A$10000))*1,[1]OUT_TransportEnergyCons!N$4:N$10000))*1000</f>
        <v>0</v>
      </c>
      <c r="Q2181" s="1" cm="1">
        <f t="array" ref="Q2181">(SUMPRODUCT(("var_ncap"=[1]OUT_TransportEnergyCons!$B$4:$B$10000)*1,ISNUMBER(SEARCH("T_B_u*ICE*DSL*s2",[1]OUT_TransportEnergyCons!$A$4:$A$10000))*1,[1]OUT_TransportEnergyCons!O$4:O$10000))*1000</f>
        <v>0</v>
      </c>
      <c r="S2181" s="3"/>
    </row>
    <row r="2182" spans="2:19" x14ac:dyDescent="0.5">
      <c r="B2182" s="5" t="str">
        <f t="shared" si="2247"/>
        <v>SPS1</v>
      </c>
      <c r="C2182" s="5" t="str">
        <f t="shared" si="2248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5.67941631985776E-2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0.83262074312358991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(SUMPRODUCT(("var_ncap"=[1]OUT_TransportEnergyCons!$B$4:$B$10000)*1,ISNUMBER(SEARCH("T_B_u*ICE*DSL*s3",[1]OUT_TransportEnergyCons!$A$4:$A$10000))*1,[1]OUT_TransportEnergyCons!H$4:H$10000))*1000</f>
        <v>0</v>
      </c>
      <c r="K2182" s="1" cm="1">
        <f t="array" ref="K2182">(SUMPRODUCT(("var_ncap"=[1]OUT_TransportEnergyCons!$B$4:$B$10000)*1,ISNUMBER(SEARCH("T_B_u*ICE*DSL*s3",[1]OUT_TransportEnergyCons!$A$4:$A$10000))*1,[1]OUT_TransportEnergyCons!I$4:I$10000))*1000</f>
        <v>0</v>
      </c>
      <c r="L2182" s="1" cm="1">
        <f t="array" ref="L2182">(SUMPRODUCT(("var_ncap"=[1]OUT_TransportEnergyCons!$B$4:$B$10000)*1,ISNUMBER(SEARCH("T_B_u*ICE*DSL*s3",[1]OUT_TransportEnergyCons!$A$4:$A$10000))*1,[1]OUT_TransportEnergyCons!J$4:J$10000))*1000</f>
        <v>0</v>
      </c>
      <c r="M2182" s="1" cm="1">
        <f t="array" ref="M2182">(SUMPRODUCT(("var_ncap"=[1]OUT_TransportEnergyCons!$B$4:$B$10000)*1,ISNUMBER(SEARCH("T_B_u*ICE*DSL*s3",[1]OUT_TransportEnergyCons!$A$4:$A$10000))*1,[1]OUT_TransportEnergyCons!K$4:K$10000))*1000</f>
        <v>0</v>
      </c>
      <c r="N2182" s="1" cm="1">
        <f t="array" ref="N2182">(SUMPRODUCT(("var_ncap"=[1]OUT_TransportEnergyCons!$B$4:$B$10000)*1,ISNUMBER(SEARCH("T_B_u*ICE*DSL*s3",[1]OUT_TransportEnergyCons!$A$4:$A$10000))*1,[1]OUT_TransportEnergyCons!L$4:L$10000))*1000</f>
        <v>0</v>
      </c>
      <c r="O2182" s="1" cm="1">
        <f t="array" ref="O2182">(SUMPRODUCT(("var_ncap"=[1]OUT_TransportEnergyCons!$B$4:$B$10000)*1,ISNUMBER(SEARCH("T_B_u*ICE*DSL*s3",[1]OUT_TransportEnergyCons!$A$4:$A$10000))*1,[1]OUT_TransportEnergyCons!M$4:M$10000))*1000</f>
        <v>0</v>
      </c>
      <c r="P2182" s="1" cm="1">
        <f t="array" ref="P2182">(SUMPRODUCT(("var_ncap"=[1]OUT_TransportEnergyCons!$B$4:$B$10000)*1,ISNUMBER(SEARCH("T_B_u*ICE*DSL*s3",[1]OUT_TransportEnergyCons!$A$4:$A$10000))*1,[1]OUT_TransportEnergyCons!N$4:N$10000))*1000</f>
        <v>0</v>
      </c>
      <c r="Q2182" s="1" cm="1">
        <f t="array" ref="Q2182">(SUMPRODUCT(("var_ncap"=[1]OUT_TransportEnergyCons!$B$4:$B$10000)*1,ISNUMBER(SEARCH("T_B_u*ICE*DSL*s3",[1]OUT_TransportEnergyCons!$A$4:$A$10000))*1,[1]OUT_TransportEnergyCons!O$4:O$10000))*1000</f>
        <v>0</v>
      </c>
      <c r="S2182" s="3"/>
    </row>
    <row r="2183" spans="2:19" x14ac:dyDescent="0.5">
      <c r="B2183" s="5" t="str">
        <f t="shared" si="2247"/>
        <v>SPS1</v>
      </c>
      <c r="C2183" s="5" t="str">
        <f t="shared" si="2248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1.5700636161287001E-5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1.51071342668994E-5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(SUMPRODUCT(("var_ncap"=[1]OUT_TransportEnergyCons!$B$4:$B$10000)*1,ISNUMBER(SEARCH("T_B_u*ICE*DSL*s4",[1]OUT_TransportEnergyCons!$A$4:$A$10000))*1,[1]OUT_TransportEnergyCons!H$4:H$10000))*1000</f>
        <v>0</v>
      </c>
      <c r="K2183" s="1" cm="1">
        <f t="array" ref="K2183">(SUMPRODUCT(("var_ncap"=[1]OUT_TransportEnergyCons!$B$4:$B$10000)*1,ISNUMBER(SEARCH("T_B_u*ICE*DSL*s4",[1]OUT_TransportEnergyCons!$A$4:$A$10000))*1,[1]OUT_TransportEnergyCons!I$4:I$10000))*1000</f>
        <v>0</v>
      </c>
      <c r="L2183" s="1" cm="1">
        <f t="array" ref="L2183">(SUMPRODUCT(("var_ncap"=[1]OUT_TransportEnergyCons!$B$4:$B$10000)*1,ISNUMBER(SEARCH("T_B_u*ICE*DSL*s4",[1]OUT_TransportEnergyCons!$A$4:$A$10000))*1,[1]OUT_TransportEnergyCons!J$4:J$10000))*1000</f>
        <v>0</v>
      </c>
      <c r="M2183" s="1" cm="1">
        <f t="array" ref="M2183">(SUMPRODUCT(("var_ncap"=[1]OUT_TransportEnergyCons!$B$4:$B$10000)*1,ISNUMBER(SEARCH("T_B_u*ICE*DSL*s4",[1]OUT_TransportEnergyCons!$A$4:$A$10000))*1,[1]OUT_TransportEnergyCons!K$4:K$10000))*1000</f>
        <v>0</v>
      </c>
      <c r="N2183" s="1" cm="1">
        <f t="array" ref="N2183">(SUMPRODUCT(("var_ncap"=[1]OUT_TransportEnergyCons!$B$4:$B$10000)*1,ISNUMBER(SEARCH("T_B_u*ICE*DSL*s4",[1]OUT_TransportEnergyCons!$A$4:$A$10000))*1,[1]OUT_TransportEnergyCons!L$4:L$10000))*1000</f>
        <v>0</v>
      </c>
      <c r="O2183" s="1" cm="1">
        <f t="array" ref="O2183">(SUMPRODUCT(("var_ncap"=[1]OUT_TransportEnergyCons!$B$4:$B$10000)*1,ISNUMBER(SEARCH("T_B_u*ICE*DSL*s4",[1]OUT_TransportEnergyCons!$A$4:$A$10000))*1,[1]OUT_TransportEnergyCons!M$4:M$10000))*1000</f>
        <v>0</v>
      </c>
      <c r="P2183" s="1" cm="1">
        <f t="array" ref="P2183">(SUMPRODUCT(("var_ncap"=[1]OUT_TransportEnergyCons!$B$4:$B$10000)*1,ISNUMBER(SEARCH("T_B_u*ICE*DSL*s4",[1]OUT_TransportEnergyCons!$A$4:$A$10000))*1,[1]OUT_TransportEnergyCons!N$4:N$10000))*1000</f>
        <v>0</v>
      </c>
      <c r="Q2183" s="1" cm="1">
        <f t="array" ref="Q2183">(SUMPRODUCT(("var_ncap"=[1]OUT_TransportEnergyCons!$B$4:$B$10000)*1,ISNUMBER(SEARCH("T_B_u*ICE*DSL*s4",[1]OUT_TransportEnergyCons!$A$4:$A$10000))*1,[1]OUT_TransportEnergyCons!O$4:O$10000))*1000</f>
        <v>0</v>
      </c>
      <c r="S2183" s="3"/>
    </row>
    <row r="2184" spans="2:19" x14ac:dyDescent="0.5">
      <c r="B2184" s="5" t="str">
        <f t="shared" si="2247"/>
        <v>SPS1</v>
      </c>
      <c r="C2184" s="5" t="str">
        <f t="shared" si="2248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(SUMPRODUCT(("var_ncap"=[1]OUT_TransportEnergyCons!$B$4:$B$10000)*1,ISNUMBER(SEARCH("T_B_u*ICE*nga*ext",[1]OUT_TransportEnergyCons!$A$4:$A$10000))*1,[1]OUT_TransportEnergyCons!H$4:H$10000))*1000</f>
        <v>0</v>
      </c>
      <c r="K2184" s="1" cm="1">
        <f t="array" ref="K2184">(SUMPRODUCT(("var_ncap"=[1]OUT_TransportEnergyCons!$B$4:$B$10000)*1,ISNUMBER(SEARCH("T_B_u*ICE*nga*ext",[1]OUT_TransportEnergyCons!$A$4:$A$10000))*1,[1]OUT_TransportEnergyCons!I$4:I$10000))*1000</f>
        <v>0</v>
      </c>
      <c r="L2184" s="1" cm="1">
        <f t="array" ref="L2184">(SUMPRODUCT(("var_ncap"=[1]OUT_TransportEnergyCons!$B$4:$B$10000)*1,ISNUMBER(SEARCH("T_B_u*ICE*nga*ext",[1]OUT_TransportEnergyCons!$A$4:$A$10000))*1,[1]OUT_TransportEnergyCons!J$4:J$10000))*1000</f>
        <v>0</v>
      </c>
      <c r="M2184" s="1" cm="1">
        <f t="array" ref="M2184">(SUMPRODUCT(("var_ncap"=[1]OUT_TransportEnergyCons!$B$4:$B$10000)*1,ISNUMBER(SEARCH("T_B_u*ICE*nga*ext",[1]OUT_TransportEnergyCons!$A$4:$A$10000))*1,[1]OUT_TransportEnergyCons!K$4:K$10000))*1000</f>
        <v>0</v>
      </c>
      <c r="N2184" s="1" cm="1">
        <f t="array" ref="N2184">(SUMPRODUCT(("var_ncap"=[1]OUT_TransportEnergyCons!$B$4:$B$10000)*1,ISNUMBER(SEARCH("T_B_u*ICE*nga*ext",[1]OUT_TransportEnergyCons!$A$4:$A$10000))*1,[1]OUT_TransportEnergyCons!L$4:L$10000))*1000</f>
        <v>0</v>
      </c>
      <c r="O2184" s="1" cm="1">
        <f t="array" ref="O2184">(SUMPRODUCT(("var_ncap"=[1]OUT_TransportEnergyCons!$B$4:$B$10000)*1,ISNUMBER(SEARCH("T_B_u*ICE*nga*ext",[1]OUT_TransportEnergyCons!$A$4:$A$10000))*1,[1]OUT_TransportEnergyCons!M$4:M$10000))*1000</f>
        <v>0</v>
      </c>
      <c r="P2184" s="1" cm="1">
        <f t="array" ref="P2184">(SUMPRODUCT(("var_ncap"=[1]OUT_TransportEnergyCons!$B$4:$B$10000)*1,ISNUMBER(SEARCH("T_B_u*ICE*nga*ext",[1]OUT_TransportEnergyCons!$A$4:$A$10000))*1,[1]OUT_TransportEnergyCons!N$4:N$10000))*1000</f>
        <v>0</v>
      </c>
      <c r="Q2184" s="1" cm="1">
        <f t="array" ref="Q2184">(SUMPRODUCT(("var_ncap"=[1]OUT_TransportEnergyCons!$B$4:$B$10000)*1,ISNUMBER(SEARCH("T_B_u*ICE*nga*ext",[1]OUT_TransportEnergyCons!$A$4:$A$10000))*1,[1]OUT_TransportEnergyCons!O$4:O$10000))*1000</f>
        <v>0</v>
      </c>
      <c r="S2184" s="3"/>
    </row>
    <row r="2185" spans="2:19" x14ac:dyDescent="0.5">
      <c r="B2185" s="5" t="str">
        <f t="shared" si="2247"/>
        <v>SPS1</v>
      </c>
      <c r="C2185" s="5" t="str">
        <f t="shared" si="2248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1.68233224299215E-4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3.95262250808113E-4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0</v>
      </c>
      <c r="J2185" s="1" cm="1">
        <f t="array" ref="J2185">(SUMPRODUCT(("var_ncap"=[1]OUT_TransportEnergyCons!$B$4:$B$10000)*1,ISNUMBER(SEARCH("T_B_u*ICE*nga*s1",[1]OUT_TransportEnergyCons!$A$4:$A$10000))*1,[1]OUT_TransportEnergyCons!H$4:H$10000))*1000</f>
        <v>0</v>
      </c>
      <c r="K2185" s="1" cm="1">
        <f t="array" ref="K2185">(SUMPRODUCT(("var_ncap"=[1]OUT_TransportEnergyCons!$B$4:$B$10000)*1,ISNUMBER(SEARCH("T_B_u*ICE*nga*s1",[1]OUT_TransportEnergyCons!$A$4:$A$10000))*1,[1]OUT_TransportEnergyCons!I$4:I$10000))*1000</f>
        <v>0</v>
      </c>
      <c r="L2185" s="1" cm="1">
        <f t="array" ref="L2185">(SUMPRODUCT(("var_ncap"=[1]OUT_TransportEnergyCons!$B$4:$B$10000)*1,ISNUMBER(SEARCH("T_B_u*ICE*nga*s1",[1]OUT_TransportEnergyCons!$A$4:$A$10000))*1,[1]OUT_TransportEnergyCons!J$4:J$10000))*1000</f>
        <v>0</v>
      </c>
      <c r="M2185" s="1" cm="1">
        <f t="array" ref="M2185">(SUMPRODUCT(("var_ncap"=[1]OUT_TransportEnergyCons!$B$4:$B$10000)*1,ISNUMBER(SEARCH("T_B_u*ICE*nga*s1",[1]OUT_TransportEnergyCons!$A$4:$A$10000))*1,[1]OUT_TransportEnergyCons!K$4:K$10000))*1000</f>
        <v>0</v>
      </c>
      <c r="N2185" s="1" cm="1">
        <f t="array" ref="N2185">(SUMPRODUCT(("var_ncap"=[1]OUT_TransportEnergyCons!$B$4:$B$10000)*1,ISNUMBER(SEARCH("T_B_u*ICE*nga*s1",[1]OUT_TransportEnergyCons!$A$4:$A$10000))*1,[1]OUT_TransportEnergyCons!L$4:L$10000))*1000</f>
        <v>0</v>
      </c>
      <c r="O2185" s="1" cm="1">
        <f t="array" ref="O2185">(SUMPRODUCT(("var_ncap"=[1]OUT_TransportEnergyCons!$B$4:$B$10000)*1,ISNUMBER(SEARCH("T_B_u*ICE*nga*s1",[1]OUT_TransportEnergyCons!$A$4:$A$10000))*1,[1]OUT_TransportEnergyCons!M$4:M$10000))*1000</f>
        <v>0</v>
      </c>
      <c r="P2185" s="1" cm="1">
        <f t="array" ref="P2185">(SUMPRODUCT(("var_ncap"=[1]OUT_TransportEnergyCons!$B$4:$B$10000)*1,ISNUMBER(SEARCH("T_B_u*ICE*nga*s1",[1]OUT_TransportEnergyCons!$A$4:$A$10000))*1,[1]OUT_TransportEnergyCons!N$4:N$10000))*1000</f>
        <v>0</v>
      </c>
      <c r="Q2185" s="1" cm="1">
        <f t="array" ref="Q2185">(SUMPRODUCT(("var_ncap"=[1]OUT_TransportEnergyCons!$B$4:$B$10000)*1,ISNUMBER(SEARCH("T_B_u*ICE*nga*s1",[1]OUT_TransportEnergyCons!$A$4:$A$10000))*1,[1]OUT_TransportEnergyCons!O$4:O$10000))*1000</f>
        <v>0</v>
      </c>
      <c r="S2185" s="3"/>
    </row>
    <row r="2186" spans="2:19" x14ac:dyDescent="0.5">
      <c r="B2186" s="5" t="str">
        <f t="shared" si="2247"/>
        <v>SPS1</v>
      </c>
      <c r="C2186" s="5" t="str">
        <f t="shared" si="2248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9.4088452694190996E-5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5.8687014594189699E-4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(SUMPRODUCT(("var_ncap"=[1]OUT_TransportEnergyCons!$B$4:$B$10000)*1,ISNUMBER(SEARCH("T_B_u*ICE*nga*s2",[1]OUT_TransportEnergyCons!$A$4:$A$10000))*1,[1]OUT_TransportEnergyCons!H$4:H$10000))*1000</f>
        <v>0</v>
      </c>
      <c r="K2186" s="1" cm="1">
        <f t="array" ref="K2186">(SUMPRODUCT(("var_ncap"=[1]OUT_TransportEnergyCons!$B$4:$B$10000)*1,ISNUMBER(SEARCH("T_B_u*ICE*nga*s2",[1]OUT_TransportEnergyCons!$A$4:$A$10000))*1,[1]OUT_TransportEnergyCons!I$4:I$10000))*1000</f>
        <v>0</v>
      </c>
      <c r="L2186" s="1" cm="1">
        <f t="array" ref="L2186">(SUMPRODUCT(("var_ncap"=[1]OUT_TransportEnergyCons!$B$4:$B$10000)*1,ISNUMBER(SEARCH("T_B_u*ICE*nga*s2",[1]OUT_TransportEnergyCons!$A$4:$A$10000))*1,[1]OUT_TransportEnergyCons!J$4:J$10000))*1000</f>
        <v>0</v>
      </c>
      <c r="M2186" s="1" cm="1">
        <f t="array" ref="M2186">(SUMPRODUCT(("var_ncap"=[1]OUT_TransportEnergyCons!$B$4:$B$10000)*1,ISNUMBER(SEARCH("T_B_u*ICE*nga*s2",[1]OUT_TransportEnergyCons!$A$4:$A$10000))*1,[1]OUT_TransportEnergyCons!K$4:K$10000))*1000</f>
        <v>0</v>
      </c>
      <c r="N2186" s="1" cm="1">
        <f t="array" ref="N2186">(SUMPRODUCT(("var_ncap"=[1]OUT_TransportEnergyCons!$B$4:$B$10000)*1,ISNUMBER(SEARCH("T_B_u*ICE*nga*s2",[1]OUT_TransportEnergyCons!$A$4:$A$10000))*1,[1]OUT_TransportEnergyCons!L$4:L$10000))*1000</f>
        <v>0</v>
      </c>
      <c r="O2186" s="1" cm="1">
        <f t="array" ref="O2186">(SUMPRODUCT(("var_ncap"=[1]OUT_TransportEnergyCons!$B$4:$B$10000)*1,ISNUMBER(SEARCH("T_B_u*ICE*nga*s2",[1]OUT_TransportEnergyCons!$A$4:$A$10000))*1,[1]OUT_TransportEnergyCons!M$4:M$10000))*1000</f>
        <v>0</v>
      </c>
      <c r="P2186" s="1" cm="1">
        <f t="array" ref="P2186">(SUMPRODUCT(("var_ncap"=[1]OUT_TransportEnergyCons!$B$4:$B$10000)*1,ISNUMBER(SEARCH("T_B_u*ICE*nga*s2",[1]OUT_TransportEnergyCons!$A$4:$A$10000))*1,[1]OUT_TransportEnergyCons!N$4:N$10000))*1000</f>
        <v>0</v>
      </c>
      <c r="Q2186" s="1" cm="1">
        <f t="array" ref="Q2186">(SUMPRODUCT(("var_ncap"=[1]OUT_TransportEnergyCons!$B$4:$B$10000)*1,ISNUMBER(SEARCH("T_B_u*ICE*nga*s2",[1]OUT_TransportEnergyCons!$A$4:$A$10000))*1,[1]OUT_TransportEnergyCons!O$4:O$10000))*1000</f>
        <v>0</v>
      </c>
      <c r="S2186" s="3"/>
    </row>
    <row r="2187" spans="2:19" x14ac:dyDescent="0.5">
      <c r="B2187" s="5" t="str">
        <f t="shared" si="2247"/>
        <v>SPS1</v>
      </c>
      <c r="C2187" s="5" t="str">
        <f t="shared" si="2248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5.8040272098018901E-5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6.7178992166348596E-3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0</v>
      </c>
      <c r="J2187" s="1" cm="1">
        <f t="array" ref="J2187">(SUMPRODUCT(("var_ncap"=[1]OUT_TransportEnergyCons!$B$4:$B$10000)*1,ISNUMBER(SEARCH("T_B_u*ICE*nga*s3",[1]OUT_TransportEnergyCons!$A$4:$A$10000))*1,[1]OUT_TransportEnergyCons!H$4:H$10000))*1000</f>
        <v>0</v>
      </c>
      <c r="K2187" s="1" cm="1">
        <f t="array" ref="K2187">(SUMPRODUCT(("var_ncap"=[1]OUT_TransportEnergyCons!$B$4:$B$10000)*1,ISNUMBER(SEARCH("T_B_u*ICE*nga*s3",[1]OUT_TransportEnergyCons!$A$4:$A$10000))*1,[1]OUT_TransportEnergyCons!I$4:I$10000))*1000</f>
        <v>0</v>
      </c>
      <c r="L2187" s="1" cm="1">
        <f t="array" ref="L2187">(SUMPRODUCT(("var_ncap"=[1]OUT_TransportEnergyCons!$B$4:$B$10000)*1,ISNUMBER(SEARCH("T_B_u*ICE*nga*s3",[1]OUT_TransportEnergyCons!$A$4:$A$10000))*1,[1]OUT_TransportEnergyCons!J$4:J$10000))*1000</f>
        <v>0</v>
      </c>
      <c r="M2187" s="1" cm="1">
        <f t="array" ref="M2187">(SUMPRODUCT(("var_ncap"=[1]OUT_TransportEnergyCons!$B$4:$B$10000)*1,ISNUMBER(SEARCH("T_B_u*ICE*nga*s3",[1]OUT_TransportEnergyCons!$A$4:$A$10000))*1,[1]OUT_TransportEnergyCons!K$4:K$10000))*1000</f>
        <v>0</v>
      </c>
      <c r="N2187" s="1" cm="1">
        <f t="array" ref="N2187">(SUMPRODUCT(("var_ncap"=[1]OUT_TransportEnergyCons!$B$4:$B$10000)*1,ISNUMBER(SEARCH("T_B_u*ICE*nga*s3",[1]OUT_TransportEnergyCons!$A$4:$A$10000))*1,[1]OUT_TransportEnergyCons!L$4:L$10000))*1000</f>
        <v>0</v>
      </c>
      <c r="O2187" s="1" cm="1">
        <f t="array" ref="O2187">(SUMPRODUCT(("var_ncap"=[1]OUT_TransportEnergyCons!$B$4:$B$10000)*1,ISNUMBER(SEARCH("T_B_u*ICE*nga*s3",[1]OUT_TransportEnergyCons!$A$4:$A$10000))*1,[1]OUT_TransportEnergyCons!M$4:M$10000))*1000</f>
        <v>0</v>
      </c>
      <c r="P2187" s="1" cm="1">
        <f t="array" ref="P2187">(SUMPRODUCT(("var_ncap"=[1]OUT_TransportEnergyCons!$B$4:$B$10000)*1,ISNUMBER(SEARCH("T_B_u*ICE*nga*s3",[1]OUT_TransportEnergyCons!$A$4:$A$10000))*1,[1]OUT_TransportEnergyCons!N$4:N$10000))*1000</f>
        <v>0</v>
      </c>
      <c r="Q2187" s="1" cm="1">
        <f t="array" ref="Q2187">(SUMPRODUCT(("var_ncap"=[1]OUT_TransportEnergyCons!$B$4:$B$10000)*1,ISNUMBER(SEARCH("T_B_u*ICE*nga*s3",[1]OUT_TransportEnergyCons!$A$4:$A$10000))*1,[1]OUT_TransportEnergyCons!O$4:O$10000))*1000</f>
        <v>0</v>
      </c>
      <c r="S2187" s="3"/>
    </row>
    <row r="2188" spans="2:19" x14ac:dyDescent="0.5">
      <c r="B2188" s="5" t="str">
        <f t="shared" si="2247"/>
        <v>SPS1</v>
      </c>
      <c r="C2188" s="5" t="str">
        <f t="shared" si="2248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0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1.0549675827314899E-5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(SUMPRODUCT(("var_ncap"=[1]OUT_TransportEnergyCons!$B$4:$B$10000)*1,ISNUMBER(SEARCH("T_B_u*ICE*nga*s4",[1]OUT_TransportEnergyCons!$A$4:$A$10000))*1,[1]OUT_TransportEnergyCons!H$4:H$10000))*1000</f>
        <v>0</v>
      </c>
      <c r="K2188" s="1" cm="1">
        <f t="array" ref="K2188">(SUMPRODUCT(("var_ncap"=[1]OUT_TransportEnergyCons!$B$4:$B$10000)*1,ISNUMBER(SEARCH("T_B_u*ICE*nga*s4",[1]OUT_TransportEnergyCons!$A$4:$A$10000))*1,[1]OUT_TransportEnergyCons!I$4:I$10000))*1000</f>
        <v>0</v>
      </c>
      <c r="L2188" s="1" cm="1">
        <f t="array" ref="L2188">(SUMPRODUCT(("var_ncap"=[1]OUT_TransportEnergyCons!$B$4:$B$10000)*1,ISNUMBER(SEARCH("T_B_u*ICE*nga*s4",[1]OUT_TransportEnergyCons!$A$4:$A$10000))*1,[1]OUT_TransportEnergyCons!J$4:J$10000))*1000</f>
        <v>0</v>
      </c>
      <c r="M2188" s="1" cm="1">
        <f t="array" ref="M2188">(SUMPRODUCT(("var_ncap"=[1]OUT_TransportEnergyCons!$B$4:$B$10000)*1,ISNUMBER(SEARCH("T_B_u*ICE*nga*s4",[1]OUT_TransportEnergyCons!$A$4:$A$10000))*1,[1]OUT_TransportEnergyCons!K$4:K$10000))*1000</f>
        <v>0</v>
      </c>
      <c r="N2188" s="1" cm="1">
        <f t="array" ref="N2188">(SUMPRODUCT(("var_ncap"=[1]OUT_TransportEnergyCons!$B$4:$B$10000)*1,ISNUMBER(SEARCH("T_B_u*ICE*nga*s4",[1]OUT_TransportEnergyCons!$A$4:$A$10000))*1,[1]OUT_TransportEnergyCons!L$4:L$10000))*1000</f>
        <v>0</v>
      </c>
      <c r="O2188" s="1" cm="1">
        <f t="array" ref="O2188">(SUMPRODUCT(("var_ncap"=[1]OUT_TransportEnergyCons!$B$4:$B$10000)*1,ISNUMBER(SEARCH("T_B_u*ICE*nga*s4",[1]OUT_TransportEnergyCons!$A$4:$A$10000))*1,[1]OUT_TransportEnergyCons!M$4:M$10000))*1000</f>
        <v>0</v>
      </c>
      <c r="P2188" s="1" cm="1">
        <f t="array" ref="P2188">(SUMPRODUCT(("var_ncap"=[1]OUT_TransportEnergyCons!$B$4:$B$10000)*1,ISNUMBER(SEARCH("T_B_u*ICE*nga*s4",[1]OUT_TransportEnergyCons!$A$4:$A$10000))*1,[1]OUT_TransportEnergyCons!N$4:N$10000))*1000</f>
        <v>0</v>
      </c>
      <c r="Q2188" s="1" cm="1">
        <f t="array" ref="Q2188">(SUMPRODUCT(("var_ncap"=[1]OUT_TransportEnergyCons!$B$4:$B$10000)*1,ISNUMBER(SEARCH("T_B_u*ICE*nga*s4",[1]OUT_TransportEnergyCons!$A$4:$A$10000))*1,[1]OUT_TransportEnergyCons!O$4:O$10000))*1000</f>
        <v>0</v>
      </c>
      <c r="S2188" s="3"/>
    </row>
    <row r="2189" spans="2:19" x14ac:dyDescent="0.5">
      <c r="B2189" s="5" t="str">
        <f t="shared" si="2247"/>
        <v>SPS1</v>
      </c>
      <c r="C2189" s="5" t="str">
        <f t="shared" si="2248"/>
        <v>CH</v>
      </c>
      <c r="D2189" s="2" t="s">
        <v>2318</v>
      </c>
      <c r="E2189" s="2" t="s">
        <v>1999</v>
      </c>
      <c r="F2189" s="3">
        <f t="shared" ref="F2189:K2189" si="2249">SUM(F2190:F2212)</f>
        <v>0</v>
      </c>
      <c r="G2189" s="3">
        <f t="shared" si="2249"/>
        <v>0.49951025503106367</v>
      </c>
      <c r="H2189" s="3">
        <f t="shared" si="2249"/>
        <v>0.20576021506049452</v>
      </c>
      <c r="I2189" s="3">
        <f t="shared" si="2249"/>
        <v>2.9284740075358386</v>
      </c>
      <c r="J2189" s="3">
        <f t="shared" si="2249"/>
        <v>1.5530891481953226</v>
      </c>
      <c r="K2189" s="3">
        <f t="shared" si="2249"/>
        <v>1.1317243334051699</v>
      </c>
      <c r="L2189" s="3">
        <f t="shared" ref="L2189:O2189" si="2250">SUM(L2190:L2212)</f>
        <v>1.0507335336454282</v>
      </c>
      <c r="M2189" s="3">
        <f t="shared" si="2250"/>
        <v>1.5760308511306607</v>
      </c>
      <c r="N2189" s="3">
        <f t="shared" si="2250"/>
        <v>1.0140954838586362</v>
      </c>
      <c r="O2189" s="3">
        <f t="shared" si="2250"/>
        <v>1.4184531405724441</v>
      </c>
      <c r="P2189" s="3">
        <f>SUM(P2190:P2212)</f>
        <v>1.6276046561880695</v>
      </c>
      <c r="Q2189" s="3">
        <f>SUM(Q2190:Q2212)</f>
        <v>0.86318232498038983</v>
      </c>
      <c r="S2189" s="3"/>
    </row>
    <row r="2190" spans="2:19" x14ac:dyDescent="0.5">
      <c r="B2190" s="5" t="str">
        <f t="shared" si="2247"/>
        <v>SPS1</v>
      </c>
      <c r="C2190" s="5" t="str">
        <f t="shared" si="2248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(SUMPRODUCT(("var_ncap"=[1]OUT_TransportEnergyCons!$B$4:$B$10000)*1,ISNUMBER(SEARCH("T_b_c*bev*ext",[1]OUT_TransportEnergyCons!$A$4:$A$10000))*1,[1]OUT_TransportEnergyCons!H$4:H$10000))*1000</f>
        <v>0</v>
      </c>
      <c r="K2190" s="1" cm="1">
        <f t="array" ref="K2190">(SUMPRODUCT(("var_ncap"=[1]OUT_TransportEnergyCons!$B$4:$B$10000)*1,ISNUMBER(SEARCH("T_b_c*bev*ext",[1]OUT_TransportEnergyCons!$A$4:$A$10000))*1,[1]OUT_TransportEnergyCons!I$4:I$10000))*1000</f>
        <v>0</v>
      </c>
      <c r="L2190" s="1" cm="1">
        <f t="array" ref="L2190">(SUMPRODUCT(("var_ncap"=[1]OUT_TransportEnergyCons!$B$4:$B$10000)*1,ISNUMBER(SEARCH("T_b_c*bev*ext",[1]OUT_TransportEnergyCons!$A$4:$A$10000))*1,[1]OUT_TransportEnergyCons!J$4:J$10000))*1000</f>
        <v>0</v>
      </c>
      <c r="M2190" s="1" cm="1">
        <f t="array" ref="M2190">(SUMPRODUCT(("var_ncap"=[1]OUT_TransportEnergyCons!$B$4:$B$10000)*1,ISNUMBER(SEARCH("T_b_c*bev*ext",[1]OUT_TransportEnergyCons!$A$4:$A$10000))*1,[1]OUT_TransportEnergyCons!K$4:K$10000))*1000</f>
        <v>0</v>
      </c>
      <c r="N2190" s="1" cm="1">
        <f t="array" ref="N2190">(SUMPRODUCT(("var_ncap"=[1]OUT_TransportEnergyCons!$B$4:$B$10000)*1,ISNUMBER(SEARCH("T_b_c*bev*ext",[1]OUT_TransportEnergyCons!$A$4:$A$10000))*1,[1]OUT_TransportEnergyCons!L$4:L$10000))*1000</f>
        <v>0</v>
      </c>
      <c r="O2190" s="1" cm="1">
        <f t="array" ref="O2190">(SUMPRODUCT(("var_ncap"=[1]OUT_TransportEnergyCons!$B$4:$B$10000)*1,ISNUMBER(SEARCH("T_b_c*bev*ext",[1]OUT_TransportEnergyCons!$A$4:$A$10000))*1,[1]OUT_TransportEnergyCons!M$4:M$10000))*1000</f>
        <v>0</v>
      </c>
      <c r="P2190" s="1" cm="1">
        <f t="array" ref="P2190">(SUMPRODUCT(("var_ncap"=[1]OUT_TransportEnergyCons!$B$4:$B$10000)*1,ISNUMBER(SEARCH("T_b_c*bev*ext",[1]OUT_TransportEnergyCons!$A$4:$A$10000))*1,[1]OUT_TransportEnergyCons!N$4:N$10000))*1000</f>
        <v>0</v>
      </c>
      <c r="Q2190" s="1" cm="1">
        <f t="array" ref="Q2190">(SUMPRODUCT(("var_ncap"=[1]OUT_TransportEnergyCons!$B$4:$B$10000)*1,ISNUMBER(SEARCH("T_b_c*bev*ext",[1]OUT_TransportEnergyCons!$A$4:$A$10000))*1,[1]OUT_TransportEnergyCons!O$4:O$10000))*1000</f>
        <v>0</v>
      </c>
      <c r="S2190" s="3"/>
    </row>
    <row r="2191" spans="2:19" x14ac:dyDescent="0.5">
      <c r="B2191" s="5" t="str">
        <f t="shared" si="2247"/>
        <v>SPS1</v>
      </c>
      <c r="C2191" s="5" t="str">
        <f t="shared" si="2248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1.6070422356169801E-3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3.3286949978293401E-3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1.4047810971797199</v>
      </c>
      <c r="J2191" s="1" cm="1">
        <f t="array" ref="J2191">(SUMPRODUCT(("var_ncap"=[1]OUT_TransportEnergyCons!$B$4:$B$10000)*1,ISNUMBER(SEARCH("T_b_c*bev*s1",[1]OUT_TransportEnergyCons!$A$4:$A$10000))*1,[1]OUT_TransportEnergyCons!H$4:H$10000))*1000</f>
        <v>1.3992005165620198</v>
      </c>
      <c r="K2191" s="1" cm="1">
        <f t="array" ref="K2191">(SUMPRODUCT(("var_ncap"=[1]OUT_TransportEnergyCons!$B$4:$B$10000)*1,ISNUMBER(SEARCH("T_b_c*bev*s1",[1]OUT_TransportEnergyCons!$A$4:$A$10000))*1,[1]OUT_TransportEnergyCons!I$4:I$10000))*1000</f>
        <v>1.0103640590107101E-2</v>
      </c>
      <c r="L2191" s="1" cm="1">
        <f t="array" ref="L2191">(SUMPRODUCT(("var_ncap"=[1]OUT_TransportEnergyCons!$B$4:$B$10000)*1,ISNUMBER(SEARCH("T_b_c*bev*s1",[1]OUT_TransportEnergyCons!$A$4:$A$10000))*1,[1]OUT_TransportEnergyCons!J$4:J$10000))*1000</f>
        <v>0.67104737260902503</v>
      </c>
      <c r="M2191" s="1" cm="1">
        <f t="array" ref="M2191">(SUMPRODUCT(("var_ncap"=[1]OUT_TransportEnergyCons!$B$4:$B$10000)*1,ISNUMBER(SEARCH("T_b_c*bev*s1",[1]OUT_TransportEnergyCons!$A$4:$A$10000))*1,[1]OUT_TransportEnergyCons!K$4:K$10000))*1000</f>
        <v>0.73555104427266105</v>
      </c>
      <c r="N2191" s="1" cm="1">
        <f t="array" ref="N2191">(SUMPRODUCT(("var_ncap"=[1]OUT_TransportEnergyCons!$B$4:$B$10000)*1,ISNUMBER(SEARCH("T_b_c*bev*s1",[1]OUT_TransportEnergyCons!$A$4:$A$10000))*1,[1]OUT_TransportEnergyCons!L$4:L$10000))*1000</f>
        <v>0.424133538869435</v>
      </c>
      <c r="O2191" s="1" cm="1">
        <f t="array" ref="O2191">(SUMPRODUCT(("var_ncap"=[1]OUT_TransportEnergyCons!$B$4:$B$10000)*1,ISNUMBER(SEARCH("T_b_c*bev*s1",[1]OUT_TransportEnergyCons!$A$4:$A$10000))*1,[1]OUT_TransportEnergyCons!M$4:M$10000))*1000</f>
        <v>0.70382296191301197</v>
      </c>
      <c r="P2191" s="1" cm="1">
        <f t="array" ref="P2191">(SUMPRODUCT(("var_ncap"=[1]OUT_TransportEnergyCons!$B$4:$B$10000)*1,ISNUMBER(SEARCH("T_b_c*bev*s1",[1]OUT_TransportEnergyCons!$A$4:$A$10000))*1,[1]OUT_TransportEnergyCons!N$4:N$10000))*1000</f>
        <v>0.76739999310089102</v>
      </c>
      <c r="Q2191" s="1" cm="1">
        <f t="array" ref="Q2191">(SUMPRODUCT(("var_ncap"=[1]OUT_TransportEnergyCons!$B$4:$B$10000)*1,ISNUMBER(SEARCH("T_b_c*bev*s1",[1]OUT_TransportEnergyCons!$A$4:$A$10000))*1,[1]OUT_TransportEnergyCons!O$4:O$10000))*1000</f>
        <v>0.34393648774136998</v>
      </c>
      <c r="S2191" s="3"/>
    </row>
    <row r="2192" spans="2:19" x14ac:dyDescent="0.5">
      <c r="B2192" s="5" t="str">
        <f t="shared" si="2247"/>
        <v>SPS1</v>
      </c>
      <c r="C2192" s="5" t="str">
        <f t="shared" si="2248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2.0270185842037402E-4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4.0247383969145995E-4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1.24699594562189</v>
      </c>
      <c r="J2192" s="1" cm="1">
        <f t="array" ref="J2192">(SUMPRODUCT(("var_ncap"=[1]OUT_TransportEnergyCons!$B$4:$B$10000)*1,ISNUMBER(SEARCH("T_b_c*bev*s2",[1]OUT_TransportEnergyCons!$A$4:$A$10000))*1,[1]OUT_TransportEnergyCons!H$4:H$10000))*1000</f>
        <v>9.4821243874210689E-2</v>
      </c>
      <c r="K2192" s="1" cm="1">
        <f t="array" ref="K2192">(SUMPRODUCT(("var_ncap"=[1]OUT_TransportEnergyCons!$B$4:$B$10000)*1,ISNUMBER(SEARCH("T_b_c*bev*s2",[1]OUT_TransportEnergyCons!$A$4:$A$10000))*1,[1]OUT_TransportEnergyCons!I$4:I$10000))*1000</f>
        <v>0.91308973670200999</v>
      </c>
      <c r="L2192" s="1" cm="1">
        <f t="array" ref="L2192">(SUMPRODUCT(("var_ncap"=[1]OUT_TransportEnergyCons!$B$4:$B$10000)*1,ISNUMBER(SEARCH("T_b_c*bev*s2",[1]OUT_TransportEnergyCons!$A$4:$A$10000))*1,[1]OUT_TransportEnergyCons!J$4:J$10000))*1000</f>
        <v>0.29117289067743601</v>
      </c>
      <c r="M2192" s="1" cm="1">
        <f t="array" ref="M2192">(SUMPRODUCT(("var_ncap"=[1]OUT_TransportEnergyCons!$B$4:$B$10000)*1,ISNUMBER(SEARCH("T_b_c*bev*s2",[1]OUT_TransportEnergyCons!$A$4:$A$10000))*1,[1]OUT_TransportEnergyCons!K$4:K$10000))*1000</f>
        <v>0.65341328726738401</v>
      </c>
      <c r="N2192" s="1" cm="1">
        <f t="array" ref="N2192">(SUMPRODUCT(("var_ncap"=[1]OUT_TransportEnergyCons!$B$4:$B$10000)*1,ISNUMBER(SEARCH("T_b_c*bev*s2",[1]OUT_TransportEnergyCons!$A$4:$A$10000))*1,[1]OUT_TransportEnergyCons!L$4:L$10000))*1000</f>
        <v>0.51199099783422408</v>
      </c>
      <c r="O2192" s="1" cm="1">
        <f t="array" ref="O2192">(SUMPRODUCT(("var_ncap"=[1]OUT_TransportEnergyCons!$B$4:$B$10000)*1,ISNUMBER(SEARCH("T_b_c*bev*s2",[1]OUT_TransportEnergyCons!$A$4:$A$10000))*1,[1]OUT_TransportEnergyCons!M$4:M$10000))*1000</f>
        <v>0.487998154550838</v>
      </c>
      <c r="P2192" s="1" cm="1">
        <f t="array" ref="P2192">(SUMPRODUCT(("var_ncap"=[1]OUT_TransportEnergyCons!$B$4:$B$10000)*1,ISNUMBER(SEARCH("T_b_c*bev*s2",[1]OUT_TransportEnergyCons!$A$4:$A$10000))*1,[1]OUT_TransportEnergyCons!N$4:N$10000))*1000</f>
        <v>0.79301061383639604</v>
      </c>
      <c r="Q2192" s="1" cm="1">
        <f t="array" ref="Q2192">(SUMPRODUCT(("var_ncap"=[1]OUT_TransportEnergyCons!$B$4:$B$10000)*1,ISNUMBER(SEARCH("T_b_c*bev*s2",[1]OUT_TransportEnergyCons!$A$4:$A$10000))*1,[1]OUT_TransportEnergyCons!O$4:O$10000))*1000</f>
        <v>0.28489000225702504</v>
      </c>
      <c r="S2192" s="3"/>
    </row>
    <row r="2193" spans="2:19" x14ac:dyDescent="0.5">
      <c r="B2193" s="5" t="str">
        <f t="shared" si="2247"/>
        <v>SPS1</v>
      </c>
      <c r="C2193" s="5" t="str">
        <f t="shared" si="2248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8.2061574223538903E-5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1.39035508285039E-4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0.27509730868285098</v>
      </c>
      <c r="J2193" s="1" cm="1">
        <f t="array" ref="J2193">(SUMPRODUCT(("var_ncap"=[1]OUT_TransportEnergyCons!$B$4:$B$10000)*1,ISNUMBER(SEARCH("T_b_c*bev*s3",[1]OUT_TransportEnergyCons!$A$4:$A$10000))*1,[1]OUT_TransportEnergyCons!H$4:H$10000))*1000</f>
        <v>5.90112747444171E-2</v>
      </c>
      <c r="K2193" s="1" cm="1">
        <f t="array" ref="K2193">(SUMPRODUCT(("var_ncap"=[1]OUT_TransportEnergyCons!$B$4:$B$10000)*1,ISNUMBER(SEARCH("T_b_c*bev*s3",[1]OUT_TransportEnergyCons!$A$4:$A$10000))*1,[1]OUT_TransportEnergyCons!I$4:I$10000))*1000</f>
        <v>0.20842123999801301</v>
      </c>
      <c r="L2193" s="1" cm="1">
        <f t="array" ref="L2193">(SUMPRODUCT(("var_ncap"=[1]OUT_TransportEnergyCons!$B$4:$B$10000)*1,ISNUMBER(SEARCH("T_b_c*bev*s3",[1]OUT_TransportEnergyCons!$A$4:$A$10000))*1,[1]OUT_TransportEnergyCons!J$4:J$10000))*1000</f>
        <v>8.1853256777458597E-2</v>
      </c>
      <c r="M2193" s="1" cm="1">
        <f t="array" ref="M2193">(SUMPRODUCT(("var_ncap"=[1]OUT_TransportEnergyCons!$B$4:$B$10000)*1,ISNUMBER(SEARCH("T_b_c*bev*s3",[1]OUT_TransportEnergyCons!$A$4:$A$10000))*1,[1]OUT_TransportEnergyCons!K$4:K$10000))*1000</f>
        <v>0.18689624610064101</v>
      </c>
      <c r="N2193" s="1" cm="1">
        <f t="array" ref="N2193">(SUMPRODUCT(("var_ncap"=[1]OUT_TransportEnergyCons!$B$4:$B$10000)*1,ISNUMBER(SEARCH("T_b_c*bev*s3",[1]OUT_TransportEnergyCons!$A$4:$A$10000))*1,[1]OUT_TransportEnergyCons!L$4:L$10000))*1000</f>
        <v>7.7800280014162407E-2</v>
      </c>
      <c r="O2193" s="1" cm="1">
        <f t="array" ref="O2193">(SUMPRODUCT(("var_ncap"=[1]OUT_TransportEnergyCons!$B$4:$B$10000)*1,ISNUMBER(SEARCH("T_b_c*bev*s3",[1]OUT_TransportEnergyCons!$A$4:$A$10000))*1,[1]OUT_TransportEnergyCons!M$4:M$10000))*1000</f>
        <v>0.22641885536561801</v>
      </c>
      <c r="P2193" s="1" cm="1">
        <f t="array" ref="P2193">(SUMPRODUCT(("var_ncap"=[1]OUT_TransportEnergyCons!$B$4:$B$10000)*1,ISNUMBER(SEARCH("T_b_c*bev*s3",[1]OUT_TransportEnergyCons!$A$4:$A$10000))*1,[1]OUT_TransportEnergyCons!N$4:N$10000))*1000</f>
        <v>6.6963770483465704E-2</v>
      </c>
      <c r="Q2193" s="1" cm="1">
        <f t="array" ref="Q2193">(SUMPRODUCT(("var_ncap"=[1]OUT_TransportEnergyCons!$B$4:$B$10000)*1,ISNUMBER(SEARCH("T_b_c*bev*s3",[1]OUT_TransportEnergyCons!$A$4:$A$10000))*1,[1]OUT_TransportEnergyCons!O$4:O$10000))*1000</f>
        <v>0.234020549501395</v>
      </c>
      <c r="S2193" s="3"/>
    </row>
    <row r="2194" spans="2:19" x14ac:dyDescent="0.5">
      <c r="B2194" s="5" t="str">
        <f t="shared" si="2247"/>
        <v>SPS1</v>
      </c>
      <c r="C2194" s="5" t="str">
        <f t="shared" si="2248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4.7467203811558801E-5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4.3863377002692102E-5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3.4361826053928898E-5</v>
      </c>
      <c r="J2194" s="1" cm="1">
        <f t="array" ref="J2194">(SUMPRODUCT(("var_ncap"=[1]OUT_TransportEnergyCons!$B$4:$B$10000)*1,ISNUMBER(SEARCH("T_b_c*bev*s4",[1]OUT_TransportEnergyCons!$A$4:$A$10000))*1,[1]OUT_TransportEnergyCons!H$4:H$10000))*1000</f>
        <v>5.6113014675073402E-5</v>
      </c>
      <c r="K2194" s="1" cm="1">
        <f t="array" ref="K2194">(SUMPRODUCT(("var_ncap"=[1]OUT_TransportEnergyCons!$B$4:$B$10000)*1,ISNUMBER(SEARCH("T_b_c*bev*s4",[1]OUT_TransportEnergyCons!$A$4:$A$10000))*1,[1]OUT_TransportEnergyCons!I$4:I$10000))*1000</f>
        <v>1.0971611503968601E-4</v>
      </c>
      <c r="L2194" s="1" cm="1">
        <f t="array" ref="L2194">(SUMPRODUCT(("var_ncap"=[1]OUT_TransportEnergyCons!$B$4:$B$10000)*1,ISNUMBER(SEARCH("T_b_c*bev*s4",[1]OUT_TransportEnergyCons!$A$4:$A$10000))*1,[1]OUT_TransportEnergyCons!J$4:J$10000))*1000</f>
        <v>1.2944738069720399E-4</v>
      </c>
      <c r="M2194" s="1" cm="1">
        <f t="array" ref="M2194">(SUMPRODUCT(("var_ncap"=[1]OUT_TransportEnergyCons!$B$4:$B$10000)*1,ISNUMBER(SEARCH("T_b_c*bev*s4",[1]OUT_TransportEnergyCons!$A$4:$A$10000))*1,[1]OUT_TransportEnergyCons!K$4:K$10000))*1000</f>
        <v>1.70273489974643E-4</v>
      </c>
      <c r="N2194" s="1" cm="1">
        <f t="array" ref="N2194">(SUMPRODUCT(("var_ncap"=[1]OUT_TransportEnergyCons!$B$4:$B$10000)*1,ISNUMBER(SEARCH("T_b_c*bev*s4",[1]OUT_TransportEnergyCons!$A$4:$A$10000))*1,[1]OUT_TransportEnergyCons!L$4:L$10000))*1000</f>
        <v>1.7066714081473799E-4</v>
      </c>
      <c r="O2194" s="1" cm="1">
        <f t="array" ref="O2194">(SUMPRODUCT(("var_ncap"=[1]OUT_TransportEnergyCons!$B$4:$B$10000)*1,ISNUMBER(SEARCH("T_b_c*bev*s4",[1]OUT_TransportEnergyCons!$A$4:$A$10000))*1,[1]OUT_TransportEnergyCons!M$4:M$10000))*1000</f>
        <v>2.1316874297625001E-4</v>
      </c>
      <c r="P2194" s="1" cm="1">
        <f t="array" ref="P2194">(SUMPRODUCT(("var_ncap"=[1]OUT_TransportEnergyCons!$B$4:$B$10000)*1,ISNUMBER(SEARCH("T_b_c*bev*s4",[1]OUT_TransportEnergyCons!$A$4:$A$10000))*1,[1]OUT_TransportEnergyCons!N$4:N$10000))*1000</f>
        <v>2.3027876731660001E-4</v>
      </c>
      <c r="Q2194" s="1" cm="1">
        <f t="array" ref="Q2194">(SUMPRODUCT(("var_ncap"=[1]OUT_TransportEnergyCons!$B$4:$B$10000)*1,ISNUMBER(SEARCH("T_b_c*bev*s4",[1]OUT_TransportEnergyCons!$A$4:$A$10000))*1,[1]OUT_TransportEnergyCons!O$4:O$10000))*1000</f>
        <v>3.3528548059983499E-4</v>
      </c>
      <c r="S2194" s="3"/>
    </row>
    <row r="2195" spans="2:19" x14ac:dyDescent="0.5">
      <c r="B2195" s="5" t="str">
        <f t="shared" si="2247"/>
        <v>SPS1</v>
      </c>
      <c r="C2195" s="5" t="str">
        <f t="shared" si="2248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0</v>
      </c>
      <c r="J2195" s="1" cm="1">
        <f t="array" ref="J2195">(SUMPRODUCT(("var_ncap"=[1]OUT_TransportEnergyCons!$B$4:$B$10000)*1,ISNUMBER(SEARCH("T_b_c*h2o*s1",[1]OUT_TransportEnergyCons!$A$4:$A$10000))*1,[1]OUT_TransportEnergyCons!H$4:H$10000))*1000</f>
        <v>0</v>
      </c>
      <c r="K2195" s="1" cm="1">
        <f t="array" ref="K2195">(SUMPRODUCT(("var_ncap"=[1]OUT_TransportEnergyCons!$B$4:$B$10000)*1,ISNUMBER(SEARCH("T_b_c*h2o*s1",[1]OUT_TransportEnergyCons!$A$4:$A$10000))*1,[1]OUT_TransportEnergyCons!I$4:I$10000))*1000</f>
        <v>0</v>
      </c>
      <c r="L2195" s="1" cm="1">
        <f t="array" ref="L2195">(SUMPRODUCT(("var_ncap"=[1]OUT_TransportEnergyCons!$B$4:$B$10000)*1,ISNUMBER(SEARCH("T_b_c*h2o*s1",[1]OUT_TransportEnergyCons!$A$4:$A$10000))*1,[1]OUT_TransportEnergyCons!J$4:J$10000))*1000</f>
        <v>0</v>
      </c>
      <c r="M2195" s="1" cm="1">
        <f t="array" ref="M2195">(SUMPRODUCT(("var_ncap"=[1]OUT_TransportEnergyCons!$B$4:$B$10000)*1,ISNUMBER(SEARCH("T_b_c*h2o*s1",[1]OUT_TransportEnergyCons!$A$4:$A$10000))*1,[1]OUT_TransportEnergyCons!K$4:K$10000))*1000</f>
        <v>0</v>
      </c>
      <c r="N2195" s="1" cm="1">
        <f t="array" ref="N2195">(SUMPRODUCT(("var_ncap"=[1]OUT_TransportEnergyCons!$B$4:$B$10000)*1,ISNUMBER(SEARCH("T_b_c*h2o*s1",[1]OUT_TransportEnergyCons!$A$4:$A$10000))*1,[1]OUT_TransportEnergyCons!L$4:L$10000))*1000</f>
        <v>0</v>
      </c>
      <c r="O2195" s="1" cm="1">
        <f t="array" ref="O2195">(SUMPRODUCT(("var_ncap"=[1]OUT_TransportEnergyCons!$B$4:$B$10000)*1,ISNUMBER(SEARCH("T_b_c*h2o*s1",[1]OUT_TransportEnergyCons!$A$4:$A$10000))*1,[1]OUT_TransportEnergyCons!M$4:M$10000))*1000</f>
        <v>0</v>
      </c>
      <c r="P2195" s="1" cm="1">
        <f t="array" ref="P2195">(SUMPRODUCT(("var_ncap"=[1]OUT_TransportEnergyCons!$B$4:$B$10000)*1,ISNUMBER(SEARCH("T_b_c*h2o*s1",[1]OUT_TransportEnergyCons!$A$4:$A$10000))*1,[1]OUT_TransportEnergyCons!N$4:N$10000))*1000</f>
        <v>0</v>
      </c>
      <c r="Q2195" s="1" cm="1">
        <f t="array" ref="Q2195">(SUMPRODUCT(("var_ncap"=[1]OUT_TransportEnergyCons!$B$4:$B$10000)*1,ISNUMBER(SEARCH("T_b_c*h2o*s1",[1]OUT_TransportEnergyCons!$A$4:$A$10000))*1,[1]OUT_TransportEnergyCons!O$4:O$10000))*1000</f>
        <v>0</v>
      </c>
      <c r="S2195" s="3"/>
    </row>
    <row r="2196" spans="2:19" x14ac:dyDescent="0.5">
      <c r="B2196" s="5" t="str">
        <f t="shared" si="2247"/>
        <v>SPS1</v>
      </c>
      <c r="C2196" s="5" t="str">
        <f t="shared" si="2248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0</v>
      </c>
      <c r="J2196" s="1" cm="1">
        <f t="array" ref="J2196">(SUMPRODUCT(("var_ncap"=[1]OUT_TransportEnergyCons!$B$4:$B$10000)*1,ISNUMBER(SEARCH("T_b_c*h2o*s2",[1]OUT_TransportEnergyCons!$A$4:$A$10000))*1,[1]OUT_TransportEnergyCons!H$4:H$10000))*1000</f>
        <v>0</v>
      </c>
      <c r="K2196" s="1" cm="1">
        <f t="array" ref="K2196">(SUMPRODUCT(("var_ncap"=[1]OUT_TransportEnergyCons!$B$4:$B$10000)*1,ISNUMBER(SEARCH("T_b_c*h2o*s2",[1]OUT_TransportEnergyCons!$A$4:$A$10000))*1,[1]OUT_TransportEnergyCons!I$4:I$10000))*1000</f>
        <v>0</v>
      </c>
      <c r="L2196" s="1" cm="1">
        <f t="array" ref="L2196">(SUMPRODUCT(("var_ncap"=[1]OUT_TransportEnergyCons!$B$4:$B$10000)*1,ISNUMBER(SEARCH("T_b_c*h2o*s2",[1]OUT_TransportEnergyCons!$A$4:$A$10000))*1,[1]OUT_TransportEnergyCons!J$4:J$10000))*1000</f>
        <v>0</v>
      </c>
      <c r="M2196" s="1" cm="1">
        <f t="array" ref="M2196">(SUMPRODUCT(("var_ncap"=[1]OUT_TransportEnergyCons!$B$4:$B$10000)*1,ISNUMBER(SEARCH("T_b_c*h2o*s2",[1]OUT_TransportEnergyCons!$A$4:$A$10000))*1,[1]OUT_TransportEnergyCons!K$4:K$10000))*1000</f>
        <v>0</v>
      </c>
      <c r="N2196" s="1" cm="1">
        <f t="array" ref="N2196">(SUMPRODUCT(("var_ncap"=[1]OUT_TransportEnergyCons!$B$4:$B$10000)*1,ISNUMBER(SEARCH("T_b_c*h2o*s2",[1]OUT_TransportEnergyCons!$A$4:$A$10000))*1,[1]OUT_TransportEnergyCons!L$4:L$10000))*1000</f>
        <v>0</v>
      </c>
      <c r="O2196" s="1" cm="1">
        <f t="array" ref="O2196">(SUMPRODUCT(("var_ncap"=[1]OUT_TransportEnergyCons!$B$4:$B$10000)*1,ISNUMBER(SEARCH("T_b_c*h2o*s2",[1]OUT_TransportEnergyCons!$A$4:$A$10000))*1,[1]OUT_TransportEnergyCons!M$4:M$10000))*1000</f>
        <v>0</v>
      </c>
      <c r="P2196" s="1" cm="1">
        <f t="array" ref="P2196">(SUMPRODUCT(("var_ncap"=[1]OUT_TransportEnergyCons!$B$4:$B$10000)*1,ISNUMBER(SEARCH("T_b_c*h2o*s2",[1]OUT_TransportEnergyCons!$A$4:$A$10000))*1,[1]OUT_TransportEnergyCons!N$4:N$10000))*1000</f>
        <v>0</v>
      </c>
      <c r="Q2196" s="1" cm="1">
        <f t="array" ref="Q2196">(SUMPRODUCT(("var_ncap"=[1]OUT_TransportEnergyCons!$B$4:$B$10000)*1,ISNUMBER(SEARCH("T_b_c*h2o*s2",[1]OUT_TransportEnergyCons!$A$4:$A$10000))*1,[1]OUT_TransportEnergyCons!O$4:O$10000))*1000</f>
        <v>0</v>
      </c>
      <c r="S2196" s="3"/>
    </row>
    <row r="2197" spans="2:19" x14ac:dyDescent="0.5">
      <c r="B2197" s="5" t="str">
        <f t="shared" si="2247"/>
        <v>SPS1</v>
      </c>
      <c r="C2197" s="5" t="str">
        <f t="shared" si="2248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0</v>
      </c>
      <c r="J2197" s="1" cm="1">
        <f t="array" ref="J2197">(SUMPRODUCT(("var_ncap"=[1]OUT_TransportEnergyCons!$B$4:$B$10000)*1,ISNUMBER(SEARCH("T_b_c*h2o*s3",[1]OUT_TransportEnergyCons!$A$4:$A$10000))*1,[1]OUT_TransportEnergyCons!H$4:H$10000))*1000</f>
        <v>0</v>
      </c>
      <c r="K2197" s="1" cm="1">
        <f t="array" ref="K2197">(SUMPRODUCT(("var_ncap"=[1]OUT_TransportEnergyCons!$B$4:$B$10000)*1,ISNUMBER(SEARCH("T_b_c*h2o*s3",[1]OUT_TransportEnergyCons!$A$4:$A$10000))*1,[1]OUT_TransportEnergyCons!I$4:I$10000))*1000</f>
        <v>0</v>
      </c>
      <c r="L2197" s="1" cm="1">
        <f t="array" ref="L2197">(SUMPRODUCT(("var_ncap"=[1]OUT_TransportEnergyCons!$B$4:$B$10000)*1,ISNUMBER(SEARCH("T_b_c*h2o*s3",[1]OUT_TransportEnergyCons!$A$4:$A$10000))*1,[1]OUT_TransportEnergyCons!J$4:J$10000))*1000</f>
        <v>0</v>
      </c>
      <c r="M2197" s="1" cm="1">
        <f t="array" ref="M2197">(SUMPRODUCT(("var_ncap"=[1]OUT_TransportEnergyCons!$B$4:$B$10000)*1,ISNUMBER(SEARCH("T_b_c*h2o*s3",[1]OUT_TransportEnergyCons!$A$4:$A$10000))*1,[1]OUT_TransportEnergyCons!K$4:K$10000))*1000</f>
        <v>0</v>
      </c>
      <c r="N2197" s="1" cm="1">
        <f t="array" ref="N2197">(SUMPRODUCT(("var_ncap"=[1]OUT_TransportEnergyCons!$B$4:$B$10000)*1,ISNUMBER(SEARCH("T_b_c*h2o*s3",[1]OUT_TransportEnergyCons!$A$4:$A$10000))*1,[1]OUT_TransportEnergyCons!L$4:L$10000))*1000</f>
        <v>0</v>
      </c>
      <c r="O2197" s="1" cm="1">
        <f t="array" ref="O2197">(SUMPRODUCT(("var_ncap"=[1]OUT_TransportEnergyCons!$B$4:$B$10000)*1,ISNUMBER(SEARCH("T_b_c*h2o*s3",[1]OUT_TransportEnergyCons!$A$4:$A$10000))*1,[1]OUT_TransportEnergyCons!M$4:M$10000))*1000</f>
        <v>0</v>
      </c>
      <c r="P2197" s="1" cm="1">
        <f t="array" ref="P2197">(SUMPRODUCT(("var_ncap"=[1]OUT_TransportEnergyCons!$B$4:$B$10000)*1,ISNUMBER(SEARCH("T_b_c*h2o*s3",[1]OUT_TransportEnergyCons!$A$4:$A$10000))*1,[1]OUT_TransportEnergyCons!N$4:N$10000))*1000</f>
        <v>0</v>
      </c>
      <c r="Q2197" s="1" cm="1">
        <f t="array" ref="Q2197">(SUMPRODUCT(("var_ncap"=[1]OUT_TransportEnergyCons!$B$4:$B$10000)*1,ISNUMBER(SEARCH("T_b_c*h2o*s3",[1]OUT_TransportEnergyCons!$A$4:$A$10000))*1,[1]OUT_TransportEnergyCons!O$4:O$10000))*1000</f>
        <v>0</v>
      </c>
      <c r="S2197" s="3"/>
    </row>
    <row r="2198" spans="2:19" x14ac:dyDescent="0.5">
      <c r="B2198" s="5" t="str">
        <f t="shared" ref="B2198:B2232" si="2251">B2197</f>
        <v>SPS1</v>
      </c>
      <c r="C2198" s="5" t="str">
        <f t="shared" ref="C2198:C2232" si="2252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(SUMPRODUCT(("var_ncap"=[1]OUT_TransportEnergyCons!$B$4:$B$10000)*1,ISNUMBER(SEARCH("T_b_c*h2o*s4",[1]OUT_TransportEnergyCons!$A$4:$A$10000))*1,[1]OUT_TransportEnergyCons!H$4:H$10000))*1000</f>
        <v>0</v>
      </c>
      <c r="K2198" s="1" cm="1">
        <f t="array" ref="K2198">(SUMPRODUCT(("var_ncap"=[1]OUT_TransportEnergyCons!$B$4:$B$10000)*1,ISNUMBER(SEARCH("T_b_c*h2o*s4",[1]OUT_TransportEnergyCons!$A$4:$A$10000))*1,[1]OUT_TransportEnergyCons!I$4:I$10000))*1000</f>
        <v>0</v>
      </c>
      <c r="L2198" s="1" cm="1">
        <f t="array" ref="L2198">(SUMPRODUCT(("var_ncap"=[1]OUT_TransportEnergyCons!$B$4:$B$10000)*1,ISNUMBER(SEARCH("T_b_c*h2o*s4",[1]OUT_TransportEnergyCons!$A$4:$A$10000))*1,[1]OUT_TransportEnergyCons!J$4:J$10000))*1000</f>
        <v>0</v>
      </c>
      <c r="M2198" s="1" cm="1">
        <f t="array" ref="M2198">(SUMPRODUCT(("var_ncap"=[1]OUT_TransportEnergyCons!$B$4:$B$10000)*1,ISNUMBER(SEARCH("T_b_c*h2o*s4",[1]OUT_TransportEnergyCons!$A$4:$A$10000))*1,[1]OUT_TransportEnergyCons!K$4:K$10000))*1000</f>
        <v>0</v>
      </c>
      <c r="N2198" s="1" cm="1">
        <f t="array" ref="N2198">(SUMPRODUCT(("var_ncap"=[1]OUT_TransportEnergyCons!$B$4:$B$10000)*1,ISNUMBER(SEARCH("T_b_c*h2o*s4",[1]OUT_TransportEnergyCons!$A$4:$A$10000))*1,[1]OUT_TransportEnergyCons!L$4:L$10000))*1000</f>
        <v>0</v>
      </c>
      <c r="O2198" s="1" cm="1">
        <f t="array" ref="O2198">(SUMPRODUCT(("var_ncap"=[1]OUT_TransportEnergyCons!$B$4:$B$10000)*1,ISNUMBER(SEARCH("T_b_c*h2o*s4",[1]OUT_TransportEnergyCons!$A$4:$A$10000))*1,[1]OUT_TransportEnergyCons!M$4:M$10000))*1000</f>
        <v>0</v>
      </c>
      <c r="P2198" s="1" cm="1">
        <f t="array" ref="P2198">(SUMPRODUCT(("var_ncap"=[1]OUT_TransportEnergyCons!$B$4:$B$10000)*1,ISNUMBER(SEARCH("T_b_c*h2o*s4",[1]OUT_TransportEnergyCons!$A$4:$A$10000))*1,[1]OUT_TransportEnergyCons!N$4:N$10000))*1000</f>
        <v>0</v>
      </c>
      <c r="Q2198" s="1" cm="1">
        <f t="array" ref="Q2198">(SUMPRODUCT(("var_ncap"=[1]OUT_TransportEnergyCons!$B$4:$B$10000)*1,ISNUMBER(SEARCH("T_b_c*h2o*s4",[1]OUT_TransportEnergyCons!$A$4:$A$10000))*1,[1]OUT_TransportEnergyCons!O$4:O$10000))*1000</f>
        <v>0</v>
      </c>
      <c r="S2198" s="3"/>
    </row>
    <row r="2199" spans="2:19" x14ac:dyDescent="0.5">
      <c r="B2199" s="5" t="str">
        <f t="shared" si="2251"/>
        <v>SPS1</v>
      </c>
      <c r="C2199" s="5" t="str">
        <f t="shared" si="2252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2.6033311042883496E-3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4.6632058150757001E-4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0</v>
      </c>
      <c r="J2199" s="1" cm="1">
        <f t="array" ref="J2199">(SUMPRODUCT(("var_ncap"=[1]OUT_TransportEnergyCons!$B$4:$B$10000)*1,ISNUMBER(SEARCH("T_b_c*hyb*DSL*s1",[1]OUT_TransportEnergyCons!$A$4:$A$10000))*1,[1]OUT_TransportEnergyCons!H$4:H$10000))*1000</f>
        <v>0</v>
      </c>
      <c r="K2199" s="1" cm="1">
        <f t="array" ref="K2199">(SUMPRODUCT(("var_ncap"=[1]OUT_TransportEnergyCons!$B$4:$B$10000)*1,ISNUMBER(SEARCH("T_b_c*hyb*DSL*s1",[1]OUT_TransportEnergyCons!$A$4:$A$10000))*1,[1]OUT_TransportEnergyCons!I$4:I$10000))*1000</f>
        <v>0</v>
      </c>
      <c r="L2199" s="1" cm="1">
        <f t="array" ref="L2199">(SUMPRODUCT(("var_ncap"=[1]OUT_TransportEnergyCons!$B$4:$B$10000)*1,ISNUMBER(SEARCH("T_b_c*hyb*DSL*s1",[1]OUT_TransportEnergyCons!$A$4:$A$10000))*1,[1]OUT_TransportEnergyCons!J$4:J$10000))*1000</f>
        <v>1.6921095071359901E-3</v>
      </c>
      <c r="M2199" s="1" cm="1">
        <f t="array" ref="M2199">(SUMPRODUCT(("var_ncap"=[1]OUT_TransportEnergyCons!$B$4:$B$10000)*1,ISNUMBER(SEARCH("T_b_c*hyb*DSL*s1",[1]OUT_TransportEnergyCons!$A$4:$A$10000))*1,[1]OUT_TransportEnergyCons!K$4:K$10000))*1000</f>
        <v>0</v>
      </c>
      <c r="N2199" s="1" cm="1">
        <f t="array" ref="N2199">(SUMPRODUCT(("var_ncap"=[1]OUT_TransportEnergyCons!$B$4:$B$10000)*1,ISNUMBER(SEARCH("T_b_c*hyb*DSL*s1",[1]OUT_TransportEnergyCons!$A$4:$A$10000))*1,[1]OUT_TransportEnergyCons!L$4:L$10000))*1000</f>
        <v>0</v>
      </c>
      <c r="O2199" s="1" cm="1">
        <f t="array" ref="O2199">(SUMPRODUCT(("var_ncap"=[1]OUT_TransportEnergyCons!$B$4:$B$10000)*1,ISNUMBER(SEARCH("T_b_c*hyb*DSL*s1",[1]OUT_TransportEnergyCons!$A$4:$A$10000))*1,[1]OUT_TransportEnergyCons!M$4:M$10000))*1000</f>
        <v>0</v>
      </c>
      <c r="P2199" s="1" cm="1">
        <f t="array" ref="P2199">(SUMPRODUCT(("var_ncap"=[1]OUT_TransportEnergyCons!$B$4:$B$10000)*1,ISNUMBER(SEARCH("T_b_c*hyb*DSL*s1",[1]OUT_TransportEnergyCons!$A$4:$A$10000))*1,[1]OUT_TransportEnergyCons!N$4:N$10000))*1000</f>
        <v>0</v>
      </c>
      <c r="Q2199" s="1" cm="1">
        <f t="array" ref="Q2199">(SUMPRODUCT(("var_ncap"=[1]OUT_TransportEnergyCons!$B$4:$B$10000)*1,ISNUMBER(SEARCH("T_b_c*hyb*DSL*s1",[1]OUT_TransportEnergyCons!$A$4:$A$10000))*1,[1]OUT_TransportEnergyCons!O$4:O$10000))*1000</f>
        <v>0</v>
      </c>
      <c r="S2199" s="3"/>
    </row>
    <row r="2200" spans="2:19" x14ac:dyDescent="0.5">
      <c r="B2200" s="5" t="str">
        <f t="shared" si="2251"/>
        <v>SPS1</v>
      </c>
      <c r="C2200" s="5" t="str">
        <f t="shared" si="2252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1.74403080779741E-4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1.66507655080846E-4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</v>
      </c>
      <c r="J2200" s="1" cm="1">
        <f t="array" ref="J2200">(SUMPRODUCT(("var_ncap"=[1]OUT_TransportEnergyCons!$B$4:$B$10000)*1,ISNUMBER(SEARCH("T_b_c*hyb*DSL*s2",[1]OUT_TransportEnergyCons!$A$4:$A$10000))*1,[1]OUT_TransportEnergyCons!H$4:H$10000))*1000</f>
        <v>0</v>
      </c>
      <c r="K2200" s="1" cm="1">
        <f t="array" ref="K2200">(SUMPRODUCT(("var_ncap"=[1]OUT_TransportEnergyCons!$B$4:$B$10000)*1,ISNUMBER(SEARCH("T_b_c*hyb*DSL*s2",[1]OUT_TransportEnergyCons!$A$4:$A$10000))*1,[1]OUT_TransportEnergyCons!I$4:I$10000))*1000</f>
        <v>0</v>
      </c>
      <c r="L2200" s="1" cm="1">
        <f t="array" ref="L2200">(SUMPRODUCT(("var_ncap"=[1]OUT_TransportEnergyCons!$B$4:$B$10000)*1,ISNUMBER(SEARCH("T_b_c*hyb*DSL*s2",[1]OUT_TransportEnergyCons!$A$4:$A$10000))*1,[1]OUT_TransportEnergyCons!J$4:J$10000))*1000</f>
        <v>0</v>
      </c>
      <c r="M2200" s="1" cm="1">
        <f t="array" ref="M2200">(SUMPRODUCT(("var_ncap"=[1]OUT_TransportEnergyCons!$B$4:$B$10000)*1,ISNUMBER(SEARCH("T_b_c*hyb*DSL*s2",[1]OUT_TransportEnergyCons!$A$4:$A$10000))*1,[1]OUT_TransportEnergyCons!K$4:K$10000))*1000</f>
        <v>0</v>
      </c>
      <c r="N2200" s="1" cm="1">
        <f t="array" ref="N2200">(SUMPRODUCT(("var_ncap"=[1]OUT_TransportEnergyCons!$B$4:$B$10000)*1,ISNUMBER(SEARCH("T_b_c*hyb*DSL*s2",[1]OUT_TransportEnergyCons!$A$4:$A$10000))*1,[1]OUT_TransportEnergyCons!L$4:L$10000))*1000</f>
        <v>0</v>
      </c>
      <c r="O2200" s="1" cm="1">
        <f t="array" ref="O2200">(SUMPRODUCT(("var_ncap"=[1]OUT_TransportEnergyCons!$B$4:$B$10000)*1,ISNUMBER(SEARCH("T_b_c*hyb*DSL*s2",[1]OUT_TransportEnergyCons!$A$4:$A$10000))*1,[1]OUT_TransportEnergyCons!M$4:M$10000))*1000</f>
        <v>0</v>
      </c>
      <c r="P2200" s="1" cm="1">
        <f t="array" ref="P2200">(SUMPRODUCT(("var_ncap"=[1]OUT_TransportEnergyCons!$B$4:$B$10000)*1,ISNUMBER(SEARCH("T_b_c*hyb*DSL*s2",[1]OUT_TransportEnergyCons!$A$4:$A$10000))*1,[1]OUT_TransportEnergyCons!N$4:N$10000))*1000</f>
        <v>0</v>
      </c>
      <c r="Q2200" s="1" cm="1">
        <f t="array" ref="Q2200">(SUMPRODUCT(("var_ncap"=[1]OUT_TransportEnergyCons!$B$4:$B$10000)*1,ISNUMBER(SEARCH("T_b_c*hyb*DSL*s2",[1]OUT_TransportEnergyCons!$A$4:$A$10000))*1,[1]OUT_TransportEnergyCons!O$4:O$10000))*1000</f>
        <v>0</v>
      </c>
      <c r="S2200" s="3"/>
    </row>
    <row r="2201" spans="2:19" x14ac:dyDescent="0.5">
      <c r="B2201" s="5" t="str">
        <f t="shared" si="2251"/>
        <v>SPS1</v>
      </c>
      <c r="C2201" s="5" t="str">
        <f t="shared" si="2252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8.0701286296765008E-5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6.7255734288975305E-5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0</v>
      </c>
      <c r="J2201" s="1" cm="1">
        <f t="array" ref="J2201">(SUMPRODUCT(("var_ncap"=[1]OUT_TransportEnergyCons!$B$4:$B$10000)*1,ISNUMBER(SEARCH("T_b_c*hyb*DSL*s3",[1]OUT_TransportEnergyCons!$A$4:$A$10000))*1,[1]OUT_TransportEnergyCons!H$4:H$10000))*1000</f>
        <v>0</v>
      </c>
      <c r="K2201" s="1" cm="1">
        <f t="array" ref="K2201">(SUMPRODUCT(("var_ncap"=[1]OUT_TransportEnergyCons!$B$4:$B$10000)*1,ISNUMBER(SEARCH("T_b_c*hyb*DSL*s3",[1]OUT_TransportEnergyCons!$A$4:$A$10000))*1,[1]OUT_TransportEnergyCons!I$4:I$10000))*1000</f>
        <v>0</v>
      </c>
      <c r="L2201" s="1" cm="1">
        <f t="array" ref="L2201">(SUMPRODUCT(("var_ncap"=[1]OUT_TransportEnergyCons!$B$4:$B$10000)*1,ISNUMBER(SEARCH("T_b_c*hyb*DSL*s3",[1]OUT_TransportEnergyCons!$A$4:$A$10000))*1,[1]OUT_TransportEnergyCons!J$4:J$10000))*1000</f>
        <v>0</v>
      </c>
      <c r="M2201" s="1" cm="1">
        <f t="array" ref="M2201">(SUMPRODUCT(("var_ncap"=[1]OUT_TransportEnergyCons!$B$4:$B$10000)*1,ISNUMBER(SEARCH("T_b_c*hyb*DSL*s3",[1]OUT_TransportEnergyCons!$A$4:$A$10000))*1,[1]OUT_TransportEnergyCons!K$4:K$10000))*1000</f>
        <v>0</v>
      </c>
      <c r="N2201" s="1" cm="1">
        <f t="array" ref="N2201">(SUMPRODUCT(("var_ncap"=[1]OUT_TransportEnergyCons!$B$4:$B$10000)*1,ISNUMBER(SEARCH("T_b_c*hyb*DSL*s3",[1]OUT_TransportEnergyCons!$A$4:$A$10000))*1,[1]OUT_TransportEnergyCons!L$4:L$10000))*1000</f>
        <v>0</v>
      </c>
      <c r="O2201" s="1" cm="1">
        <f t="array" ref="O2201">(SUMPRODUCT(("var_ncap"=[1]OUT_TransportEnergyCons!$B$4:$B$10000)*1,ISNUMBER(SEARCH("T_b_c*hyb*DSL*s3",[1]OUT_TransportEnergyCons!$A$4:$A$10000))*1,[1]OUT_TransportEnergyCons!M$4:M$10000))*1000</f>
        <v>0</v>
      </c>
      <c r="P2201" s="1" cm="1">
        <f t="array" ref="P2201">(SUMPRODUCT(("var_ncap"=[1]OUT_TransportEnergyCons!$B$4:$B$10000)*1,ISNUMBER(SEARCH("T_b_c*hyb*DSL*s3",[1]OUT_TransportEnergyCons!$A$4:$A$10000))*1,[1]OUT_TransportEnergyCons!N$4:N$10000))*1000</f>
        <v>0</v>
      </c>
      <c r="Q2201" s="1" cm="1">
        <f t="array" ref="Q2201">(SUMPRODUCT(("var_ncap"=[1]OUT_TransportEnergyCons!$B$4:$B$10000)*1,ISNUMBER(SEARCH("T_b_c*hyb*DSL*s3",[1]OUT_TransportEnergyCons!$A$4:$A$10000))*1,[1]OUT_TransportEnergyCons!O$4:O$10000))*1000</f>
        <v>0</v>
      </c>
      <c r="S2201" s="3"/>
    </row>
    <row r="2202" spans="2:19" x14ac:dyDescent="0.5">
      <c r="B2202" s="5" t="str">
        <f t="shared" si="2251"/>
        <v>SPS1</v>
      </c>
      <c r="C2202" s="5" t="str">
        <f t="shared" si="2252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1.9092248585616501E-5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1.5649021124302E-5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0</v>
      </c>
      <c r="J2202" s="1" cm="1">
        <f t="array" ref="J2202">(SUMPRODUCT(("var_ncap"=[1]OUT_TransportEnergyCons!$B$4:$B$10000)*1,ISNUMBER(SEARCH("T_b_c*hyb*DSL*s4",[1]OUT_TransportEnergyCons!$A$4:$A$10000))*1,[1]OUT_TransportEnergyCons!H$4:H$10000))*1000</f>
        <v>0</v>
      </c>
      <c r="K2202" s="1" cm="1">
        <f t="array" ref="K2202">(SUMPRODUCT(("var_ncap"=[1]OUT_TransportEnergyCons!$B$4:$B$10000)*1,ISNUMBER(SEARCH("T_b_c*hyb*DSL*s4",[1]OUT_TransportEnergyCons!$A$4:$A$10000))*1,[1]OUT_TransportEnergyCons!I$4:I$10000))*1000</f>
        <v>0</v>
      </c>
      <c r="L2202" s="1" cm="1">
        <f t="array" ref="L2202">(SUMPRODUCT(("var_ncap"=[1]OUT_TransportEnergyCons!$B$4:$B$10000)*1,ISNUMBER(SEARCH("T_b_c*hyb*DSL*s4",[1]OUT_TransportEnergyCons!$A$4:$A$10000))*1,[1]OUT_TransportEnergyCons!J$4:J$10000))*1000</f>
        <v>0</v>
      </c>
      <c r="M2202" s="1" cm="1">
        <f t="array" ref="M2202">(SUMPRODUCT(("var_ncap"=[1]OUT_TransportEnergyCons!$B$4:$B$10000)*1,ISNUMBER(SEARCH("T_b_c*hyb*DSL*s4",[1]OUT_TransportEnergyCons!$A$4:$A$10000))*1,[1]OUT_TransportEnergyCons!K$4:K$10000))*1000</f>
        <v>0</v>
      </c>
      <c r="N2202" s="1" cm="1">
        <f t="array" ref="N2202">(SUMPRODUCT(("var_ncap"=[1]OUT_TransportEnergyCons!$B$4:$B$10000)*1,ISNUMBER(SEARCH("T_b_c*hyb*DSL*s4",[1]OUT_TransportEnergyCons!$A$4:$A$10000))*1,[1]OUT_TransportEnergyCons!L$4:L$10000))*1000</f>
        <v>0</v>
      </c>
      <c r="O2202" s="1" cm="1">
        <f t="array" ref="O2202">(SUMPRODUCT(("var_ncap"=[1]OUT_TransportEnergyCons!$B$4:$B$10000)*1,ISNUMBER(SEARCH("T_b_c*hyb*DSL*s4",[1]OUT_TransportEnergyCons!$A$4:$A$10000))*1,[1]OUT_TransportEnergyCons!M$4:M$10000))*1000</f>
        <v>0</v>
      </c>
      <c r="P2202" s="1" cm="1">
        <f t="array" ref="P2202">(SUMPRODUCT(("var_ncap"=[1]OUT_TransportEnergyCons!$B$4:$B$10000)*1,ISNUMBER(SEARCH("T_b_c*hyb*DSL*s4",[1]OUT_TransportEnergyCons!$A$4:$A$10000))*1,[1]OUT_TransportEnergyCons!N$4:N$10000))*1000</f>
        <v>0</v>
      </c>
      <c r="Q2202" s="1" cm="1">
        <f t="array" ref="Q2202">(SUMPRODUCT(("var_ncap"=[1]OUT_TransportEnergyCons!$B$4:$B$10000)*1,ISNUMBER(SEARCH("T_b_c*hyb*DSL*s4",[1]OUT_TransportEnergyCons!$A$4:$A$10000))*1,[1]OUT_TransportEnergyCons!O$4:O$10000))*1000</f>
        <v>0</v>
      </c>
      <c r="S2202" s="3"/>
    </row>
    <row r="2203" spans="2:19" x14ac:dyDescent="0.5">
      <c r="B2203" s="5" t="str">
        <f t="shared" si="2251"/>
        <v>SPS1</v>
      </c>
      <c r="C2203" s="5" t="str">
        <f t="shared" si="2252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(SUMPRODUCT(("var_ncap"=[1]OUT_TransportEnergyCons!$B$4:$B$10000)*1,ISNUMBER(SEARCH("T_b_c*ICE*DSL*ext",[1]OUT_TransportEnergyCons!$A$4:$A$10000))*1,[1]OUT_TransportEnergyCons!H$4:H$10000))*1000</f>
        <v>0</v>
      </c>
      <c r="K2203" s="1" cm="1">
        <f t="array" ref="K2203">(SUMPRODUCT(("var_ncap"=[1]OUT_TransportEnergyCons!$B$4:$B$10000)*1,ISNUMBER(SEARCH("T_b_c*ICE*DSL*ext",[1]OUT_TransportEnergyCons!$A$4:$A$10000))*1,[1]OUT_TransportEnergyCons!I$4:I$10000))*1000</f>
        <v>0</v>
      </c>
      <c r="L2203" s="1" cm="1">
        <f t="array" ref="L2203">(SUMPRODUCT(("var_ncap"=[1]OUT_TransportEnergyCons!$B$4:$B$10000)*1,ISNUMBER(SEARCH("T_b_c*ICE*DSL*ext",[1]OUT_TransportEnergyCons!$A$4:$A$10000))*1,[1]OUT_TransportEnergyCons!J$4:J$10000))*1000</f>
        <v>0</v>
      </c>
      <c r="M2203" s="1" cm="1">
        <f t="array" ref="M2203">(SUMPRODUCT(("var_ncap"=[1]OUT_TransportEnergyCons!$B$4:$B$10000)*1,ISNUMBER(SEARCH("T_b_c*ICE*DSL*ext",[1]OUT_TransportEnergyCons!$A$4:$A$10000))*1,[1]OUT_TransportEnergyCons!K$4:K$10000))*1000</f>
        <v>0</v>
      </c>
      <c r="N2203" s="1" cm="1">
        <f t="array" ref="N2203">(SUMPRODUCT(("var_ncap"=[1]OUT_TransportEnergyCons!$B$4:$B$10000)*1,ISNUMBER(SEARCH("T_b_c*ICE*DSL*ext",[1]OUT_TransportEnergyCons!$A$4:$A$10000))*1,[1]OUT_TransportEnergyCons!L$4:L$10000))*1000</f>
        <v>0</v>
      </c>
      <c r="O2203" s="1" cm="1">
        <f t="array" ref="O2203">(SUMPRODUCT(("var_ncap"=[1]OUT_TransportEnergyCons!$B$4:$B$10000)*1,ISNUMBER(SEARCH("T_b_c*ICE*DSL*ext",[1]OUT_TransportEnergyCons!$A$4:$A$10000))*1,[1]OUT_TransportEnergyCons!M$4:M$10000))*1000</f>
        <v>0</v>
      </c>
      <c r="P2203" s="1" cm="1">
        <f t="array" ref="P2203">(SUMPRODUCT(("var_ncap"=[1]OUT_TransportEnergyCons!$B$4:$B$10000)*1,ISNUMBER(SEARCH("T_b_c*ICE*DSL*ext",[1]OUT_TransportEnergyCons!$A$4:$A$10000))*1,[1]OUT_TransportEnergyCons!N$4:N$10000))*1000</f>
        <v>0</v>
      </c>
      <c r="Q2203" s="1" cm="1">
        <f t="array" ref="Q2203">(SUMPRODUCT(("var_ncap"=[1]OUT_TransportEnergyCons!$B$4:$B$10000)*1,ISNUMBER(SEARCH("T_b_c*ICE*DSL*ext",[1]OUT_TransportEnergyCons!$A$4:$A$10000))*1,[1]OUT_TransportEnergyCons!O$4:O$10000))*1000</f>
        <v>0</v>
      </c>
      <c r="S2203" s="3"/>
    </row>
    <row r="2204" spans="2:19" x14ac:dyDescent="0.5">
      <c r="B2204" s="5" t="str">
        <f t="shared" si="2251"/>
        <v>SPS1</v>
      </c>
      <c r="C2204" s="5" t="str">
        <f t="shared" si="2252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0.49384357753686198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0.17417835305253099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2.32377168292566E-4</v>
      </c>
      <c r="J2204" s="1" cm="1">
        <f t="array" ref="J2204">(SUMPRODUCT(("var_ncap"=[1]OUT_TransportEnergyCons!$B$4:$B$10000)*1,ISNUMBER(SEARCH("T_b_c*ICE*DSL*s1",[1]OUT_TransportEnergyCons!$A$4:$A$10000))*1,[1]OUT_TransportEnergyCons!H$4:H$10000))*1000</f>
        <v>0</v>
      </c>
      <c r="K2204" s="1" cm="1">
        <f t="array" ref="K2204">(SUMPRODUCT(("var_ncap"=[1]OUT_TransportEnergyCons!$B$4:$B$10000)*1,ISNUMBER(SEARCH("T_b_c*ICE*DSL*s1",[1]OUT_TransportEnergyCons!$A$4:$A$10000))*1,[1]OUT_TransportEnergyCons!I$4:I$10000))*1000</f>
        <v>0</v>
      </c>
      <c r="L2204" s="1" cm="1">
        <f t="array" ref="L2204">(SUMPRODUCT(("var_ncap"=[1]OUT_TransportEnergyCons!$B$4:$B$10000)*1,ISNUMBER(SEARCH("T_b_c*ICE*DSL*s1",[1]OUT_TransportEnergyCons!$A$4:$A$10000))*1,[1]OUT_TransportEnergyCons!J$4:J$10000))*1000</f>
        <v>1.1745694685471399E-5</v>
      </c>
      <c r="M2204" s="1" cm="1">
        <f t="array" ref="M2204">(SUMPRODUCT(("var_ncap"=[1]OUT_TransportEnergyCons!$B$4:$B$10000)*1,ISNUMBER(SEARCH("T_b_c*ICE*DSL*s1",[1]OUT_TransportEnergyCons!$A$4:$A$10000))*1,[1]OUT_TransportEnergyCons!K$4:K$10000))*1000</f>
        <v>0</v>
      </c>
      <c r="N2204" s="1" cm="1">
        <f t="array" ref="N2204">(SUMPRODUCT(("var_ncap"=[1]OUT_TransportEnergyCons!$B$4:$B$10000)*1,ISNUMBER(SEARCH("T_b_c*ICE*DSL*s1",[1]OUT_TransportEnergyCons!$A$4:$A$10000))*1,[1]OUT_TransportEnergyCons!L$4:L$10000))*1000</f>
        <v>0</v>
      </c>
      <c r="O2204" s="1" cm="1">
        <f t="array" ref="O2204">(SUMPRODUCT(("var_ncap"=[1]OUT_TransportEnergyCons!$B$4:$B$10000)*1,ISNUMBER(SEARCH("T_b_c*ICE*DSL*s1",[1]OUT_TransportEnergyCons!$A$4:$A$10000))*1,[1]OUT_TransportEnergyCons!M$4:M$10000))*1000</f>
        <v>0</v>
      </c>
      <c r="P2204" s="1" cm="1">
        <f t="array" ref="P2204">(SUMPRODUCT(("var_ncap"=[1]OUT_TransportEnergyCons!$B$4:$B$10000)*1,ISNUMBER(SEARCH("T_b_c*ICE*DSL*s1",[1]OUT_TransportEnergyCons!$A$4:$A$10000))*1,[1]OUT_TransportEnergyCons!N$4:N$10000))*1000</f>
        <v>0</v>
      </c>
      <c r="Q2204" s="1" cm="1">
        <f t="array" ref="Q2204">(SUMPRODUCT(("var_ncap"=[1]OUT_TransportEnergyCons!$B$4:$B$10000)*1,ISNUMBER(SEARCH("T_b_c*ICE*DSL*s1",[1]OUT_TransportEnergyCons!$A$4:$A$10000))*1,[1]OUT_TransportEnergyCons!O$4:O$10000))*1000</f>
        <v>0</v>
      </c>
      <c r="S2204" s="3"/>
    </row>
    <row r="2205" spans="2:19" x14ac:dyDescent="0.5">
      <c r="B2205" s="5" t="str">
        <f t="shared" si="2251"/>
        <v>SPS1</v>
      </c>
      <c r="C2205" s="5" t="str">
        <f t="shared" si="2252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2.4440161737964198E-4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5.1530540720649202E-4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0</v>
      </c>
      <c r="J2205" s="1" cm="1">
        <f t="array" ref="J2205">(SUMPRODUCT(("var_ncap"=[1]OUT_TransportEnergyCons!$B$4:$B$10000)*1,ISNUMBER(SEARCH("T_b_c*ICE*DSL*s2",[1]OUT_TransportEnergyCons!$A$4:$A$10000))*1,[1]OUT_TransportEnergyCons!H$4:H$10000))*1000</f>
        <v>0</v>
      </c>
      <c r="K2205" s="1" cm="1">
        <f t="array" ref="K2205">(SUMPRODUCT(("var_ncap"=[1]OUT_TransportEnergyCons!$B$4:$B$10000)*1,ISNUMBER(SEARCH("T_b_c*ICE*DSL*s2",[1]OUT_TransportEnergyCons!$A$4:$A$10000))*1,[1]OUT_TransportEnergyCons!I$4:I$10000))*1000</f>
        <v>0</v>
      </c>
      <c r="L2205" s="1" cm="1">
        <f t="array" ref="L2205">(SUMPRODUCT(("var_ncap"=[1]OUT_TransportEnergyCons!$B$4:$B$10000)*1,ISNUMBER(SEARCH("T_b_c*ICE*DSL*s2",[1]OUT_TransportEnergyCons!$A$4:$A$10000))*1,[1]OUT_TransportEnergyCons!J$4:J$10000))*1000</f>
        <v>0</v>
      </c>
      <c r="M2205" s="1" cm="1">
        <f t="array" ref="M2205">(SUMPRODUCT(("var_ncap"=[1]OUT_TransportEnergyCons!$B$4:$B$10000)*1,ISNUMBER(SEARCH("T_b_c*ICE*DSL*s2",[1]OUT_TransportEnergyCons!$A$4:$A$10000))*1,[1]OUT_TransportEnergyCons!K$4:K$10000))*1000</f>
        <v>0</v>
      </c>
      <c r="N2205" s="1" cm="1">
        <f t="array" ref="N2205">(SUMPRODUCT(("var_ncap"=[1]OUT_TransportEnergyCons!$B$4:$B$10000)*1,ISNUMBER(SEARCH("T_b_c*ICE*DSL*s2",[1]OUT_TransportEnergyCons!$A$4:$A$10000))*1,[1]OUT_TransportEnergyCons!L$4:L$10000))*1000</f>
        <v>0</v>
      </c>
      <c r="O2205" s="1" cm="1">
        <f t="array" ref="O2205">(SUMPRODUCT(("var_ncap"=[1]OUT_TransportEnergyCons!$B$4:$B$10000)*1,ISNUMBER(SEARCH("T_b_c*ICE*DSL*s2",[1]OUT_TransportEnergyCons!$A$4:$A$10000))*1,[1]OUT_TransportEnergyCons!M$4:M$10000))*1000</f>
        <v>0</v>
      </c>
      <c r="P2205" s="1" cm="1">
        <f t="array" ref="P2205">(SUMPRODUCT(("var_ncap"=[1]OUT_TransportEnergyCons!$B$4:$B$10000)*1,ISNUMBER(SEARCH("T_b_c*ICE*DSL*s2",[1]OUT_TransportEnergyCons!$A$4:$A$10000))*1,[1]OUT_TransportEnergyCons!N$4:N$10000))*1000</f>
        <v>0</v>
      </c>
      <c r="Q2205" s="1" cm="1">
        <f t="array" ref="Q2205">(SUMPRODUCT(("var_ncap"=[1]OUT_TransportEnergyCons!$B$4:$B$10000)*1,ISNUMBER(SEARCH("T_b_c*ICE*DSL*s2",[1]OUT_TransportEnergyCons!$A$4:$A$10000))*1,[1]OUT_TransportEnergyCons!O$4:O$10000))*1000</f>
        <v>0</v>
      </c>
      <c r="S2205" s="3"/>
    </row>
    <row r="2206" spans="2:19" x14ac:dyDescent="0.5">
      <c r="B2206" s="5" t="str">
        <f t="shared" si="2251"/>
        <v>SPS1</v>
      </c>
      <c r="C2206" s="5" t="str">
        <f t="shared" si="2252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1.0788523273644199E-4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1.2841842438826801E-4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(SUMPRODUCT(("var_ncap"=[1]OUT_TransportEnergyCons!$B$4:$B$10000)*1,ISNUMBER(SEARCH("T_b_c*ICE*DSL*s3",[1]OUT_TransportEnergyCons!$A$4:$A$10000))*1,[1]OUT_TransportEnergyCons!H$4:H$10000))*1000</f>
        <v>0</v>
      </c>
      <c r="K2206" s="1" cm="1">
        <f t="array" ref="K2206">(SUMPRODUCT(("var_ncap"=[1]OUT_TransportEnergyCons!$B$4:$B$10000)*1,ISNUMBER(SEARCH("T_b_c*ICE*DSL*s3",[1]OUT_TransportEnergyCons!$A$4:$A$10000))*1,[1]OUT_TransportEnergyCons!I$4:I$10000))*1000</f>
        <v>0</v>
      </c>
      <c r="L2206" s="1" cm="1">
        <f t="array" ref="L2206">(SUMPRODUCT(("var_ncap"=[1]OUT_TransportEnergyCons!$B$4:$B$10000)*1,ISNUMBER(SEARCH("T_b_c*ICE*DSL*s3",[1]OUT_TransportEnergyCons!$A$4:$A$10000))*1,[1]OUT_TransportEnergyCons!J$4:J$10000))*1000</f>
        <v>0</v>
      </c>
      <c r="M2206" s="1" cm="1">
        <f t="array" ref="M2206">(SUMPRODUCT(("var_ncap"=[1]OUT_TransportEnergyCons!$B$4:$B$10000)*1,ISNUMBER(SEARCH("T_b_c*ICE*DSL*s3",[1]OUT_TransportEnergyCons!$A$4:$A$10000))*1,[1]OUT_TransportEnergyCons!K$4:K$10000))*1000</f>
        <v>0</v>
      </c>
      <c r="N2206" s="1" cm="1">
        <f t="array" ref="N2206">(SUMPRODUCT(("var_ncap"=[1]OUT_TransportEnergyCons!$B$4:$B$10000)*1,ISNUMBER(SEARCH("T_b_c*ICE*DSL*s3",[1]OUT_TransportEnergyCons!$A$4:$A$10000))*1,[1]OUT_TransportEnergyCons!L$4:L$10000))*1000</f>
        <v>0</v>
      </c>
      <c r="O2206" s="1" cm="1">
        <f t="array" ref="O2206">(SUMPRODUCT(("var_ncap"=[1]OUT_TransportEnergyCons!$B$4:$B$10000)*1,ISNUMBER(SEARCH("T_b_c*ICE*DSL*s3",[1]OUT_TransportEnergyCons!$A$4:$A$10000))*1,[1]OUT_TransportEnergyCons!M$4:M$10000))*1000</f>
        <v>0</v>
      </c>
      <c r="P2206" s="1" cm="1">
        <f t="array" ref="P2206">(SUMPRODUCT(("var_ncap"=[1]OUT_TransportEnergyCons!$B$4:$B$10000)*1,ISNUMBER(SEARCH("T_b_c*ICE*DSL*s3",[1]OUT_TransportEnergyCons!$A$4:$A$10000))*1,[1]OUT_TransportEnergyCons!N$4:N$10000))*1000</f>
        <v>0</v>
      </c>
      <c r="Q2206" s="1" cm="1">
        <f t="array" ref="Q2206">(SUMPRODUCT(("var_ncap"=[1]OUT_TransportEnergyCons!$B$4:$B$10000)*1,ISNUMBER(SEARCH("T_b_c*ICE*DSL*s3",[1]OUT_TransportEnergyCons!$A$4:$A$10000))*1,[1]OUT_TransportEnergyCons!O$4:O$10000))*1000</f>
        <v>0</v>
      </c>
      <c r="S2206" s="3"/>
    </row>
    <row r="2207" spans="2:19" x14ac:dyDescent="0.5">
      <c r="B2207" s="5" t="str">
        <f t="shared" si="2251"/>
        <v>SPS1</v>
      </c>
      <c r="C2207" s="5" t="str">
        <f t="shared" si="2252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2.0852443216095799E-5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1.9384868234920099E-5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(SUMPRODUCT(("var_ncap"=[1]OUT_TransportEnergyCons!$B$4:$B$10000)*1,ISNUMBER(SEARCH("T_b_c*ICE*DSL*s4",[1]OUT_TransportEnergyCons!$A$4:$A$10000))*1,[1]OUT_TransportEnergyCons!H$4:H$10000))*1000</f>
        <v>0</v>
      </c>
      <c r="K2207" s="1" cm="1">
        <f t="array" ref="K2207">(SUMPRODUCT(("var_ncap"=[1]OUT_TransportEnergyCons!$B$4:$B$10000)*1,ISNUMBER(SEARCH("T_b_c*ICE*DSL*s4",[1]OUT_TransportEnergyCons!$A$4:$A$10000))*1,[1]OUT_TransportEnergyCons!I$4:I$10000))*1000</f>
        <v>0</v>
      </c>
      <c r="L2207" s="1" cm="1">
        <f t="array" ref="L2207">(SUMPRODUCT(("var_ncap"=[1]OUT_TransportEnergyCons!$B$4:$B$10000)*1,ISNUMBER(SEARCH("T_b_c*ICE*DSL*s4",[1]OUT_TransportEnergyCons!$A$4:$A$10000))*1,[1]OUT_TransportEnergyCons!J$4:J$10000))*1000</f>
        <v>0</v>
      </c>
      <c r="M2207" s="1" cm="1">
        <f t="array" ref="M2207">(SUMPRODUCT(("var_ncap"=[1]OUT_TransportEnergyCons!$B$4:$B$10000)*1,ISNUMBER(SEARCH("T_b_c*ICE*DSL*s4",[1]OUT_TransportEnergyCons!$A$4:$A$10000))*1,[1]OUT_TransportEnergyCons!K$4:K$10000))*1000</f>
        <v>0</v>
      </c>
      <c r="N2207" s="1" cm="1">
        <f t="array" ref="N2207">(SUMPRODUCT(("var_ncap"=[1]OUT_TransportEnergyCons!$B$4:$B$10000)*1,ISNUMBER(SEARCH("T_b_c*ICE*DSL*s4",[1]OUT_TransportEnergyCons!$A$4:$A$10000))*1,[1]OUT_TransportEnergyCons!L$4:L$10000))*1000</f>
        <v>0</v>
      </c>
      <c r="O2207" s="1" cm="1">
        <f t="array" ref="O2207">(SUMPRODUCT(("var_ncap"=[1]OUT_TransportEnergyCons!$B$4:$B$10000)*1,ISNUMBER(SEARCH("T_b_c*ICE*DSL*s4",[1]OUT_TransportEnergyCons!$A$4:$A$10000))*1,[1]OUT_TransportEnergyCons!M$4:M$10000))*1000</f>
        <v>0</v>
      </c>
      <c r="P2207" s="1" cm="1">
        <f t="array" ref="P2207">(SUMPRODUCT(("var_ncap"=[1]OUT_TransportEnergyCons!$B$4:$B$10000)*1,ISNUMBER(SEARCH("T_b_c*ICE*DSL*s4",[1]OUT_TransportEnergyCons!$A$4:$A$10000))*1,[1]OUT_TransportEnergyCons!N$4:N$10000))*1000</f>
        <v>0</v>
      </c>
      <c r="Q2207" s="1" cm="1">
        <f t="array" ref="Q2207">(SUMPRODUCT(("var_ncap"=[1]OUT_TransportEnergyCons!$B$4:$B$10000)*1,ISNUMBER(SEARCH("T_b_c*ICE*DSL*s4",[1]OUT_TransportEnergyCons!$A$4:$A$10000))*1,[1]OUT_TransportEnergyCons!O$4:O$10000))*1000</f>
        <v>0</v>
      </c>
      <c r="S2207" s="3"/>
    </row>
    <row r="2208" spans="2:19" x14ac:dyDescent="0.5">
      <c r="B2208" s="5" t="str">
        <f t="shared" si="2251"/>
        <v>SPS1</v>
      </c>
      <c r="C2208" s="5" t="str">
        <f t="shared" si="2252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(SUMPRODUCT(("var_ncap"=[1]OUT_TransportEnergyCons!$B$4:$B$10000)*1,ISNUMBER(SEARCH("T_b_c*ICE*nga*ext",[1]OUT_TransportEnergyCons!$A$4:$A$10000))*1,[1]OUT_TransportEnergyCons!H$4:H$10000))*1000</f>
        <v>0</v>
      </c>
      <c r="K2208" s="1" cm="1">
        <f t="array" ref="K2208">(SUMPRODUCT(("var_ncap"=[1]OUT_TransportEnergyCons!$B$4:$B$10000)*1,ISNUMBER(SEARCH("T_b_c*ICE*nga*ext",[1]OUT_TransportEnergyCons!$A$4:$A$10000))*1,[1]OUT_TransportEnergyCons!I$4:I$10000))*1000</f>
        <v>0</v>
      </c>
      <c r="L2208" s="1" cm="1">
        <f t="array" ref="L2208">(SUMPRODUCT(("var_ncap"=[1]OUT_TransportEnergyCons!$B$4:$B$10000)*1,ISNUMBER(SEARCH("T_b_c*ICE*nga*ext",[1]OUT_TransportEnergyCons!$A$4:$A$10000))*1,[1]OUT_TransportEnergyCons!J$4:J$10000))*1000</f>
        <v>0</v>
      </c>
      <c r="M2208" s="1" cm="1">
        <f t="array" ref="M2208">(SUMPRODUCT(("var_ncap"=[1]OUT_TransportEnergyCons!$B$4:$B$10000)*1,ISNUMBER(SEARCH("T_b_c*ICE*nga*ext",[1]OUT_TransportEnergyCons!$A$4:$A$10000))*1,[1]OUT_TransportEnergyCons!K$4:K$10000))*1000</f>
        <v>0</v>
      </c>
      <c r="N2208" s="1" cm="1">
        <f t="array" ref="N2208">(SUMPRODUCT(("var_ncap"=[1]OUT_TransportEnergyCons!$B$4:$B$10000)*1,ISNUMBER(SEARCH("T_b_c*ICE*nga*ext",[1]OUT_TransportEnergyCons!$A$4:$A$10000))*1,[1]OUT_TransportEnergyCons!L$4:L$10000))*1000</f>
        <v>0</v>
      </c>
      <c r="O2208" s="1" cm="1">
        <f t="array" ref="O2208">(SUMPRODUCT(("var_ncap"=[1]OUT_TransportEnergyCons!$B$4:$B$10000)*1,ISNUMBER(SEARCH("T_b_c*ICE*nga*ext",[1]OUT_TransportEnergyCons!$A$4:$A$10000))*1,[1]OUT_TransportEnergyCons!M$4:M$10000))*1000</f>
        <v>0</v>
      </c>
      <c r="P2208" s="1" cm="1">
        <f t="array" ref="P2208">(SUMPRODUCT(("var_ncap"=[1]OUT_TransportEnergyCons!$B$4:$B$10000)*1,ISNUMBER(SEARCH("T_b_c*ICE*nga*ext",[1]OUT_TransportEnergyCons!$A$4:$A$10000))*1,[1]OUT_TransportEnergyCons!N$4:N$10000))*1000</f>
        <v>0</v>
      </c>
      <c r="Q2208" s="1" cm="1">
        <f t="array" ref="Q2208">(SUMPRODUCT(("var_ncap"=[1]OUT_TransportEnergyCons!$B$4:$B$10000)*1,ISNUMBER(SEARCH("T_b_c*ICE*nga*ext",[1]OUT_TransportEnergyCons!$A$4:$A$10000))*1,[1]OUT_TransportEnergyCons!O$4:O$10000))*1000</f>
        <v>0</v>
      </c>
      <c r="S2208" s="3"/>
    </row>
    <row r="2209" spans="2:19" x14ac:dyDescent="0.5">
      <c r="B2209" s="5" t="str">
        <f t="shared" si="2251"/>
        <v>SPS1</v>
      </c>
      <c r="C2209" s="5" t="str">
        <f t="shared" si="2252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3.3218738363998096E-4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2.5927031721357498E-2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1.3329170570313799E-3</v>
      </c>
      <c r="J2209" s="1" cm="1">
        <f t="array" ref="J2209">(SUMPRODUCT(("var_ncap"=[1]OUT_TransportEnergyCons!$B$4:$B$10000)*1,ISNUMBER(SEARCH("T_b_c*ICE*nga*s1",[1]OUT_TransportEnergyCons!$A$4:$A$10000))*1,[1]OUT_TransportEnergyCons!H$4:H$10000))*1000</f>
        <v>0</v>
      </c>
      <c r="K2209" s="1" cm="1">
        <f t="array" ref="K2209">(SUMPRODUCT(("var_ncap"=[1]OUT_TransportEnergyCons!$B$4:$B$10000)*1,ISNUMBER(SEARCH("T_b_c*ICE*nga*s1",[1]OUT_TransportEnergyCons!$A$4:$A$10000))*1,[1]OUT_TransportEnergyCons!I$4:I$10000))*1000</f>
        <v>0</v>
      </c>
      <c r="L2209" s="1" cm="1">
        <f t="array" ref="L2209">(SUMPRODUCT(("var_ncap"=[1]OUT_TransportEnergyCons!$B$4:$B$10000)*1,ISNUMBER(SEARCH("T_b_c*ICE*nga*s1",[1]OUT_TransportEnergyCons!$A$4:$A$10000))*1,[1]OUT_TransportEnergyCons!J$4:J$10000))*1000</f>
        <v>4.8120178639716599E-3</v>
      </c>
      <c r="M2209" s="1" cm="1">
        <f t="array" ref="M2209">(SUMPRODUCT(("var_ncap"=[1]OUT_TransportEnergyCons!$B$4:$B$10000)*1,ISNUMBER(SEARCH("T_b_c*ICE*nga*s1",[1]OUT_TransportEnergyCons!$A$4:$A$10000))*1,[1]OUT_TransportEnergyCons!K$4:K$10000))*1000</f>
        <v>0</v>
      </c>
      <c r="N2209" s="1" cm="1">
        <f t="array" ref="N2209">(SUMPRODUCT(("var_ncap"=[1]OUT_TransportEnergyCons!$B$4:$B$10000)*1,ISNUMBER(SEARCH("T_b_c*ICE*nga*s1",[1]OUT_TransportEnergyCons!$A$4:$A$10000))*1,[1]OUT_TransportEnergyCons!L$4:L$10000))*1000</f>
        <v>0</v>
      </c>
      <c r="O2209" s="1" cm="1">
        <f t="array" ref="O2209">(SUMPRODUCT(("var_ncap"=[1]OUT_TransportEnergyCons!$B$4:$B$10000)*1,ISNUMBER(SEARCH("T_b_c*ICE*nga*s1",[1]OUT_TransportEnergyCons!$A$4:$A$10000))*1,[1]OUT_TransportEnergyCons!M$4:M$10000))*1000</f>
        <v>0</v>
      </c>
      <c r="P2209" s="1" cm="1">
        <f t="array" ref="P2209">(SUMPRODUCT(("var_ncap"=[1]OUT_TransportEnergyCons!$B$4:$B$10000)*1,ISNUMBER(SEARCH("T_b_c*ICE*nga*s1",[1]OUT_TransportEnergyCons!$A$4:$A$10000))*1,[1]OUT_TransportEnergyCons!N$4:N$10000))*1000</f>
        <v>0</v>
      </c>
      <c r="Q2209" s="1" cm="1">
        <f t="array" ref="Q2209">(SUMPRODUCT(("var_ncap"=[1]OUT_TransportEnergyCons!$B$4:$B$10000)*1,ISNUMBER(SEARCH("T_b_c*ICE*nga*s1",[1]OUT_TransportEnergyCons!$A$4:$A$10000))*1,[1]OUT_TransportEnergyCons!O$4:O$10000))*1000</f>
        <v>0</v>
      </c>
      <c r="S2209" s="3"/>
    </row>
    <row r="2210" spans="2:19" x14ac:dyDescent="0.5">
      <c r="B2210" s="5" t="str">
        <f t="shared" si="2251"/>
        <v>SPS1</v>
      </c>
      <c r="C2210" s="5" t="str">
        <f t="shared" si="2252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8.3943119908762098E-5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2.3869836592390202E-4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(SUMPRODUCT(("var_ncap"=[1]OUT_TransportEnergyCons!$B$4:$B$10000)*1,ISNUMBER(SEARCH("T_b_c*ICE*nga*s2",[1]OUT_TransportEnergyCons!$A$4:$A$10000))*1,[1]OUT_TransportEnergyCons!H$4:H$10000))*1000</f>
        <v>0</v>
      </c>
      <c r="K2210" s="1" cm="1">
        <f t="array" ref="K2210">(SUMPRODUCT(("var_ncap"=[1]OUT_TransportEnergyCons!$B$4:$B$10000)*1,ISNUMBER(SEARCH("T_b_c*ICE*nga*s2",[1]OUT_TransportEnergyCons!$A$4:$A$10000))*1,[1]OUT_TransportEnergyCons!I$4:I$10000))*1000</f>
        <v>0</v>
      </c>
      <c r="L2210" s="1" cm="1">
        <f t="array" ref="L2210">(SUMPRODUCT(("var_ncap"=[1]OUT_TransportEnergyCons!$B$4:$B$10000)*1,ISNUMBER(SEARCH("T_b_c*ICE*nga*s2",[1]OUT_TransportEnergyCons!$A$4:$A$10000))*1,[1]OUT_TransportEnergyCons!J$4:J$10000))*1000</f>
        <v>1.4693135018044401E-5</v>
      </c>
      <c r="M2210" s="1" cm="1">
        <f t="array" ref="M2210">(SUMPRODUCT(("var_ncap"=[1]OUT_TransportEnergyCons!$B$4:$B$10000)*1,ISNUMBER(SEARCH("T_b_c*ICE*nga*s2",[1]OUT_TransportEnergyCons!$A$4:$A$10000))*1,[1]OUT_TransportEnergyCons!K$4:K$10000))*1000</f>
        <v>0</v>
      </c>
      <c r="N2210" s="1" cm="1">
        <f t="array" ref="N2210">(SUMPRODUCT(("var_ncap"=[1]OUT_TransportEnergyCons!$B$4:$B$10000)*1,ISNUMBER(SEARCH("T_b_c*ICE*nga*s2",[1]OUT_TransportEnergyCons!$A$4:$A$10000))*1,[1]OUT_TransportEnergyCons!L$4:L$10000))*1000</f>
        <v>0</v>
      </c>
      <c r="O2210" s="1" cm="1">
        <f t="array" ref="O2210">(SUMPRODUCT(("var_ncap"=[1]OUT_TransportEnergyCons!$B$4:$B$10000)*1,ISNUMBER(SEARCH("T_b_c*ICE*nga*s2",[1]OUT_TransportEnergyCons!$A$4:$A$10000))*1,[1]OUT_TransportEnergyCons!M$4:M$10000))*1000</f>
        <v>0</v>
      </c>
      <c r="P2210" s="1" cm="1">
        <f t="array" ref="P2210">(SUMPRODUCT(("var_ncap"=[1]OUT_TransportEnergyCons!$B$4:$B$10000)*1,ISNUMBER(SEARCH("T_b_c*ICE*nga*s2",[1]OUT_TransportEnergyCons!$A$4:$A$10000))*1,[1]OUT_TransportEnergyCons!N$4:N$10000))*1000</f>
        <v>0</v>
      </c>
      <c r="Q2210" s="1" cm="1">
        <f t="array" ref="Q2210">(SUMPRODUCT(("var_ncap"=[1]OUT_TransportEnergyCons!$B$4:$B$10000)*1,ISNUMBER(SEARCH("T_b_c*ICE*nga*s2",[1]OUT_TransportEnergyCons!$A$4:$A$10000))*1,[1]OUT_TransportEnergyCons!O$4:O$10000))*1000</f>
        <v>0</v>
      </c>
      <c r="S2210" s="3"/>
    </row>
    <row r="2211" spans="2:19" x14ac:dyDescent="0.5">
      <c r="B2211" s="5" t="str">
        <f t="shared" si="2251"/>
        <v>SPS1</v>
      </c>
      <c r="C2211" s="5" t="str">
        <f t="shared" si="2252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4.7773913372694696E-5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1.05429597036227E-4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(SUMPRODUCT(("var_ncap"=[1]OUT_TransportEnergyCons!$B$4:$B$10000)*1,ISNUMBER(SEARCH("T_b_c*ICE*nga*s3",[1]OUT_TransportEnergyCons!$A$4:$A$10000))*1,[1]OUT_TransportEnergyCons!H$4:H$10000))*1000</f>
        <v>0</v>
      </c>
      <c r="K2211" s="1" cm="1">
        <f t="array" ref="K2211">(SUMPRODUCT(("var_ncap"=[1]OUT_TransportEnergyCons!$B$4:$B$10000)*1,ISNUMBER(SEARCH("T_b_c*ICE*nga*s3",[1]OUT_TransportEnergyCons!$A$4:$A$10000))*1,[1]OUT_TransportEnergyCons!I$4:I$10000))*1000</f>
        <v>0</v>
      </c>
      <c r="L2211" s="1" cm="1">
        <f t="array" ref="L2211">(SUMPRODUCT(("var_ncap"=[1]OUT_TransportEnergyCons!$B$4:$B$10000)*1,ISNUMBER(SEARCH("T_b_c*ICE*nga*s3",[1]OUT_TransportEnergyCons!$A$4:$A$10000))*1,[1]OUT_TransportEnergyCons!J$4:J$10000))*1000</f>
        <v>0</v>
      </c>
      <c r="M2211" s="1" cm="1">
        <f t="array" ref="M2211">(SUMPRODUCT(("var_ncap"=[1]OUT_TransportEnergyCons!$B$4:$B$10000)*1,ISNUMBER(SEARCH("T_b_c*ICE*nga*s3",[1]OUT_TransportEnergyCons!$A$4:$A$10000))*1,[1]OUT_TransportEnergyCons!K$4:K$10000))*1000</f>
        <v>0</v>
      </c>
      <c r="N2211" s="1" cm="1">
        <f t="array" ref="N2211">(SUMPRODUCT(("var_ncap"=[1]OUT_TransportEnergyCons!$B$4:$B$10000)*1,ISNUMBER(SEARCH("T_b_c*ICE*nga*s3",[1]OUT_TransportEnergyCons!$A$4:$A$10000))*1,[1]OUT_TransportEnergyCons!L$4:L$10000))*1000</f>
        <v>0</v>
      </c>
      <c r="O2211" s="1" cm="1">
        <f t="array" ref="O2211">(SUMPRODUCT(("var_ncap"=[1]OUT_TransportEnergyCons!$B$4:$B$10000)*1,ISNUMBER(SEARCH("T_b_c*ICE*nga*s3",[1]OUT_TransportEnergyCons!$A$4:$A$10000))*1,[1]OUT_TransportEnergyCons!M$4:M$10000))*1000</f>
        <v>0</v>
      </c>
      <c r="P2211" s="1" cm="1">
        <f t="array" ref="P2211">(SUMPRODUCT(("var_ncap"=[1]OUT_TransportEnergyCons!$B$4:$B$10000)*1,ISNUMBER(SEARCH("T_b_c*ICE*nga*s3",[1]OUT_TransportEnergyCons!$A$4:$A$10000))*1,[1]OUT_TransportEnergyCons!N$4:N$10000))*1000</f>
        <v>0</v>
      </c>
      <c r="Q2211" s="1" cm="1">
        <f t="array" ref="Q2211">(SUMPRODUCT(("var_ncap"=[1]OUT_TransportEnergyCons!$B$4:$B$10000)*1,ISNUMBER(SEARCH("T_b_c*ICE*nga*s3",[1]OUT_TransportEnergyCons!$A$4:$A$10000))*1,[1]OUT_TransportEnergyCons!O$4:O$10000))*1000</f>
        <v>0</v>
      </c>
      <c r="S2211" s="3"/>
    </row>
    <row r="2212" spans="2:19" x14ac:dyDescent="0.5">
      <c r="B2212" s="5" t="str">
        <f t="shared" si="2251"/>
        <v>SPS1</v>
      </c>
      <c r="C2212" s="5" t="str">
        <f t="shared" si="2252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1.2833191925151501E-5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1.7792909006024801E-5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(SUMPRODUCT(("var_ncap"=[1]OUT_TransportEnergyCons!$B$4:$B$10000)*1,ISNUMBER(SEARCH("T_b_c*ICE*nga*s4",[1]OUT_TransportEnergyCons!$A$4:$A$10000))*1,[1]OUT_TransportEnergyCons!H$4:H$10000))*1000</f>
        <v>0</v>
      </c>
      <c r="K2212" s="1" cm="1">
        <f t="array" ref="K2212">(SUMPRODUCT(("var_ncap"=[1]OUT_TransportEnergyCons!$B$4:$B$10000)*1,ISNUMBER(SEARCH("T_b_c*ICE*nga*s4",[1]OUT_TransportEnergyCons!$A$4:$A$10000))*1,[1]OUT_TransportEnergyCons!I$4:I$10000))*1000</f>
        <v>0</v>
      </c>
      <c r="L2212" s="1" cm="1">
        <f t="array" ref="L2212">(SUMPRODUCT(("var_ncap"=[1]OUT_TransportEnergyCons!$B$4:$B$10000)*1,ISNUMBER(SEARCH("T_b_c*ICE*nga*s4",[1]OUT_TransportEnergyCons!$A$4:$A$10000))*1,[1]OUT_TransportEnergyCons!J$4:J$10000))*1000</f>
        <v>0</v>
      </c>
      <c r="M2212" s="1" cm="1">
        <f t="array" ref="M2212">(SUMPRODUCT(("var_ncap"=[1]OUT_TransportEnergyCons!$B$4:$B$10000)*1,ISNUMBER(SEARCH("T_b_c*ICE*nga*s4",[1]OUT_TransportEnergyCons!$A$4:$A$10000))*1,[1]OUT_TransportEnergyCons!K$4:K$10000))*1000</f>
        <v>0</v>
      </c>
      <c r="N2212" s="1" cm="1">
        <f t="array" ref="N2212">(SUMPRODUCT(("var_ncap"=[1]OUT_TransportEnergyCons!$B$4:$B$10000)*1,ISNUMBER(SEARCH("T_b_c*ICE*nga*s4",[1]OUT_TransportEnergyCons!$A$4:$A$10000))*1,[1]OUT_TransportEnergyCons!L$4:L$10000))*1000</f>
        <v>0</v>
      </c>
      <c r="O2212" s="1" cm="1">
        <f t="array" ref="O2212">(SUMPRODUCT(("var_ncap"=[1]OUT_TransportEnergyCons!$B$4:$B$10000)*1,ISNUMBER(SEARCH("T_b_c*ICE*nga*s4",[1]OUT_TransportEnergyCons!$A$4:$A$10000))*1,[1]OUT_TransportEnergyCons!M$4:M$10000))*1000</f>
        <v>0</v>
      </c>
      <c r="P2212" s="1" cm="1">
        <f t="array" ref="P2212">(SUMPRODUCT(("var_ncap"=[1]OUT_TransportEnergyCons!$B$4:$B$10000)*1,ISNUMBER(SEARCH("T_b_c*ICE*nga*s4",[1]OUT_TransportEnergyCons!$A$4:$A$10000))*1,[1]OUT_TransportEnergyCons!N$4:N$10000))*1000</f>
        <v>0</v>
      </c>
      <c r="Q2212" s="1" cm="1">
        <f t="array" ref="Q2212">(SUMPRODUCT(("var_ncap"=[1]OUT_TransportEnergyCons!$B$4:$B$10000)*1,ISNUMBER(SEARCH("T_b_c*ICE*nga*s4",[1]OUT_TransportEnergyCons!$A$4:$A$10000))*1,[1]OUT_TransportEnergyCons!O$4:O$10000))*1000</f>
        <v>0</v>
      </c>
      <c r="S2212" s="3"/>
    </row>
    <row r="2213" spans="2:19" x14ac:dyDescent="0.5">
      <c r="B2213" s="5" t="str">
        <f t="shared" si="2251"/>
        <v>SPS1</v>
      </c>
      <c r="C2213" s="5" t="str">
        <f t="shared" si="2252"/>
        <v>CH</v>
      </c>
      <c r="D2213" s="2" t="s">
        <v>2342</v>
      </c>
      <c r="E2213" s="2" t="s">
        <v>1999</v>
      </c>
      <c r="F2213" s="3">
        <f t="shared" ref="F2213:K2213" si="2253">SUM(F2214:F2222)</f>
        <v>0</v>
      </c>
      <c r="G2213" s="3">
        <f t="shared" si="2253"/>
        <v>15.040989477298218</v>
      </c>
      <c r="H2213" s="3">
        <f t="shared" si="2253"/>
        <v>63.474381345713311</v>
      </c>
      <c r="I2213" s="3">
        <f t="shared" si="2253"/>
        <v>170.73220359361204</v>
      </c>
      <c r="J2213" s="3">
        <f t="shared" si="2253"/>
        <v>240.66148127951411</v>
      </c>
      <c r="K2213" s="3">
        <f t="shared" si="2253"/>
        <v>214.08519008523371</v>
      </c>
      <c r="L2213" s="3">
        <f t="shared" ref="L2213:O2213" si="2254">SUM(L2214:L2222)</f>
        <v>163.47597740174302</v>
      </c>
      <c r="M2213" s="3">
        <f t="shared" si="2254"/>
        <v>301.76302097269019</v>
      </c>
      <c r="N2213" s="3">
        <f t="shared" si="2254"/>
        <v>181.4403356232699</v>
      </c>
      <c r="O2213" s="3">
        <f t="shared" si="2254"/>
        <v>237.11630344455884</v>
      </c>
      <c r="P2213" s="3">
        <f>SUM(P2214:P2222)</f>
        <v>319.79001449788308</v>
      </c>
      <c r="Q2213" s="3">
        <f>SUM(Q2214:Q2222)</f>
        <v>124.44401027039194</v>
      </c>
      <c r="S2213" s="3"/>
    </row>
    <row r="2214" spans="2:19" x14ac:dyDescent="0.5">
      <c r="B2214" s="5" t="str">
        <f t="shared" si="2251"/>
        <v>SPS1</v>
      </c>
      <c r="C2214" s="5" t="str">
        <f t="shared" si="2252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(SUMPRODUCT(("var_ncap"=[1]OUT_TransportEnergyCons!$B$4:$B$10000)*1,("-"=[1]OUT_TransportEnergyCons!$C$4:$C$10000)*1,ISNUMBER(SEARCH("tfl*bev*ext",[1]OUT_TransportEnergyCons!$A$4:$A$10000))*1,[1]OUT_TransportEnergyCons!H$4:H$10000))*1000</f>
        <v>0</v>
      </c>
      <c r="K2214" s="1" cm="1">
        <f t="array" ref="K2214">(SUMPRODUCT(("var_ncap"=[1]OUT_TransportEnergyCons!$B$4:$B$10000)*1,("-"=[1]OUT_TransportEnergyCons!$C$4:$C$10000)*1,ISNUMBER(SEARCH("tfl*bev*ext",[1]OUT_TransportEnergyCons!$A$4:$A$10000))*1,[1]OUT_TransportEnergyCons!I$4:I$10000))*1000</f>
        <v>0</v>
      </c>
      <c r="L2214" s="1" cm="1">
        <f t="array" ref="L2214">(SUMPRODUCT(("var_ncap"=[1]OUT_TransportEnergyCons!$B$4:$B$10000)*1,("-"=[1]OUT_TransportEnergyCons!$C$4:$C$10000)*1,ISNUMBER(SEARCH("tfl*bev*ext",[1]OUT_TransportEnergyCons!$A$4:$A$10000))*1,[1]OUT_TransportEnergyCons!J$4:J$10000))*1000</f>
        <v>0</v>
      </c>
      <c r="M2214" s="1" cm="1">
        <f t="array" ref="M2214">(SUMPRODUCT(("var_ncap"=[1]OUT_TransportEnergyCons!$B$4:$B$10000)*1,("-"=[1]OUT_TransportEnergyCons!$C$4:$C$10000)*1,ISNUMBER(SEARCH("tfl*bev*ext",[1]OUT_TransportEnergyCons!$A$4:$A$10000))*1,[1]OUT_TransportEnergyCons!K$4:K$10000))*1000</f>
        <v>0</v>
      </c>
      <c r="N2214" s="1" cm="1">
        <f t="array" ref="N2214">(SUMPRODUCT(("var_ncap"=[1]OUT_TransportEnergyCons!$B$4:$B$10000)*1,("-"=[1]OUT_TransportEnergyCons!$C$4:$C$10000)*1,ISNUMBER(SEARCH("tfl*bev*ext",[1]OUT_TransportEnergyCons!$A$4:$A$10000))*1,[1]OUT_TransportEnergyCons!L$4:L$10000))*1000</f>
        <v>0</v>
      </c>
      <c r="O2214" s="1" cm="1">
        <f t="array" ref="O2214">(SUMPRODUCT(("var_ncap"=[1]OUT_TransportEnergyCons!$B$4:$B$10000)*1,("-"=[1]OUT_TransportEnergyCons!$C$4:$C$10000)*1,ISNUMBER(SEARCH("tfl*bev*ext",[1]OUT_TransportEnergyCons!$A$4:$A$10000))*1,[1]OUT_TransportEnergyCons!M$4:M$10000))*1000</f>
        <v>0</v>
      </c>
      <c r="P2214" s="1" cm="1">
        <f t="array" ref="P2214">(SUMPRODUCT(("var_ncap"=[1]OUT_TransportEnergyCons!$B$4:$B$10000)*1,("-"=[1]OUT_TransportEnergyCons!$C$4:$C$10000)*1,ISNUMBER(SEARCH("tfl*bev*ext",[1]OUT_TransportEnergyCons!$A$4:$A$10000))*1,[1]OUT_TransportEnergyCons!N$4:N$10000))*1000</f>
        <v>0</v>
      </c>
      <c r="Q2214" s="1" cm="1">
        <f t="array" ref="Q2214">(SUMPRODUCT(("var_ncap"=[1]OUT_TransportEnergyCons!$B$4:$B$10000)*1,("-"=[1]OUT_TransportEnergyCons!$C$4:$C$10000)*1,ISNUMBER(SEARCH("tfl*bev*ext",[1]OUT_TransportEnergyCons!$A$4:$A$10000))*1,[1]OUT_TransportEnergyCons!O$4:O$10000))*1000</f>
        <v>0</v>
      </c>
      <c r="S2214" s="3"/>
    </row>
    <row r="2215" spans="2:19" x14ac:dyDescent="0.5">
      <c r="B2215" s="5" t="str">
        <f t="shared" si="2251"/>
        <v>SPS1</v>
      </c>
      <c r="C2215" s="5" t="str">
        <f t="shared" si="2252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1.1450179676941499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1.80522907393988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76.189664959177009</v>
      </c>
      <c r="J2215" s="1" cm="1">
        <f t="array" ref="J2215">(SUMPRODUCT(("var_ncap"=[1]OUT_TransportEnergyCons!$B$4:$B$10000)*1,("-"=[1]OUT_TransportEnergyCons!$C$4:$C$10000)*1,ISNUMBER(SEARCH("tfl*bev*",[1]OUT_TransportEnergyCons!$A$4:$A$10000))*1,[1]OUT_TransportEnergyCons!H$4:H$10000))*1000-J2214</f>
        <v>240.66144243351999</v>
      </c>
      <c r="K2215" s="1" cm="1">
        <f t="array" ref="K2215">(SUMPRODUCT(("var_ncap"=[1]OUT_TransportEnergyCons!$B$4:$B$10000)*1,("-"=[1]OUT_TransportEnergyCons!$C$4:$C$10000)*1,ISNUMBER(SEARCH("tfl*bev*",[1]OUT_TransportEnergyCons!$A$4:$A$10000))*1,[1]OUT_TransportEnergyCons!I$4:I$10000))*1000-K2214</f>
        <v>214.085148131587</v>
      </c>
      <c r="L2215" s="1" cm="1">
        <f t="array" ref="L2215">(SUMPRODUCT(("var_ncap"=[1]OUT_TransportEnergyCons!$B$4:$B$10000)*1,("-"=[1]OUT_TransportEnergyCons!$C$4:$C$10000)*1,ISNUMBER(SEARCH("tfl*bev*",[1]OUT_TransportEnergyCons!$A$4:$A$10000))*1,[1]OUT_TransportEnergyCons!J$4:J$10000))*1000-L2214</f>
        <v>163.47594250756899</v>
      </c>
      <c r="M2215" s="1" cm="1">
        <f t="array" ref="M2215">(SUMPRODUCT(("var_ncap"=[1]OUT_TransportEnergyCons!$B$4:$B$10000)*1,("-"=[1]OUT_TransportEnergyCons!$C$4:$C$10000)*1,ISNUMBER(SEARCH("tfl*bev*",[1]OUT_TransportEnergyCons!$A$4:$A$10000))*1,[1]OUT_TransportEnergyCons!K$4:K$10000))*1000-M2214</f>
        <v>301.762981317602</v>
      </c>
      <c r="N2215" s="1" cm="1">
        <f t="array" ref="N2215">(SUMPRODUCT(("var_ncap"=[1]OUT_TransportEnergyCons!$B$4:$B$10000)*1,("-"=[1]OUT_TransportEnergyCons!$C$4:$C$10000)*1,ISNUMBER(SEARCH("tfl*bev*",[1]OUT_TransportEnergyCons!$A$4:$A$10000))*1,[1]OUT_TransportEnergyCons!L$4:L$10000))*1000-N2214</f>
        <v>181.440302517102</v>
      </c>
      <c r="O2215" s="1" cm="1">
        <f t="array" ref="O2215">(SUMPRODUCT(("var_ncap"=[1]OUT_TransportEnergyCons!$B$4:$B$10000)*1,("-"=[1]OUT_TransportEnergyCons!$C$4:$C$10000)*1,ISNUMBER(SEARCH("tfl*bev*",[1]OUT_TransportEnergyCons!$A$4:$A$10000))*1,[1]OUT_TransportEnergyCons!M$4:M$10000))*1000-O2214</f>
        <v>237.116271576386</v>
      </c>
      <c r="P2215" s="1" cm="1">
        <f t="array" ref="P2215">(SUMPRODUCT(("var_ncap"=[1]OUT_TransportEnergyCons!$B$4:$B$10000)*1,("-"=[1]OUT_TransportEnergyCons!$C$4:$C$10000)*1,ISNUMBER(SEARCH("tfl*bev*",[1]OUT_TransportEnergyCons!$A$4:$A$10000))*1,[1]OUT_TransportEnergyCons!N$4:N$10000))*1000-P2214</f>
        <v>319.78997622051605</v>
      </c>
      <c r="Q2215" s="1" cm="1">
        <f t="array" ref="Q2215">(SUMPRODUCT(("var_ncap"=[1]OUT_TransportEnergyCons!$B$4:$B$10000)*1,("-"=[1]OUT_TransportEnergyCons!$C$4:$C$10000)*1,ISNUMBER(SEARCH("tfl*bev*",[1]OUT_TransportEnergyCons!$A$4:$A$10000))*1,[1]OUT_TransportEnergyCons!O$4:O$10000))*1000-Q2214</f>
        <v>124.443927169806</v>
      </c>
      <c r="S2215" s="3"/>
    </row>
    <row r="2216" spans="2:19" x14ac:dyDescent="0.5">
      <c r="B2216" s="5" t="str">
        <f t="shared" si="2251"/>
        <v>SPS1</v>
      </c>
      <c r="C2216" s="5" t="str">
        <f t="shared" si="2252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7.04125393970276E-4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3.12594819645466E-4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3.6492009782770604E-5</v>
      </c>
      <c r="J2216" s="1" cm="1">
        <f t="array" ref="J2216">(SUMPRODUCT(("var_ncap"=[1]OUT_TransportEnergyCons!$B$4:$B$10000)*1,("-"=[1]OUT_TransportEnergyCons!$C$4:$C$10000)*1,ISNUMBER(SEARCH("tfl*h2o*",[1]OUT_TransportEnergyCons!$A$4:$A$10000))*1,[1]OUT_TransportEnergyCons!H$4:H$10000))*1000</f>
        <v>3.8845994105968203E-5</v>
      </c>
      <c r="K2216" s="1" cm="1">
        <f t="array" ref="K2216">(SUMPRODUCT(("var_ncap"=[1]OUT_TransportEnergyCons!$B$4:$B$10000)*1,("-"=[1]OUT_TransportEnergyCons!$C$4:$C$10000)*1,ISNUMBER(SEARCH("tfl*h2o*",[1]OUT_TransportEnergyCons!$A$4:$A$10000))*1,[1]OUT_TransportEnergyCons!I$4:I$10000))*1000</f>
        <v>4.19536466971127E-5</v>
      </c>
      <c r="L2216" s="1" cm="1">
        <f t="array" ref="L2216">(SUMPRODUCT(("var_ncap"=[1]OUT_TransportEnergyCons!$B$4:$B$10000)*1,("-"=[1]OUT_TransportEnergyCons!$C$4:$C$10000)*1,ISNUMBER(SEARCH("tfl*h2o*",[1]OUT_TransportEnergyCons!$A$4:$A$10000))*1,[1]OUT_TransportEnergyCons!J$4:J$10000))*1000</f>
        <v>3.4894174030223902E-5</v>
      </c>
      <c r="M2216" s="1" cm="1">
        <f t="array" ref="M2216">(SUMPRODUCT(("var_ncap"=[1]OUT_TransportEnergyCons!$B$4:$B$10000)*1,("-"=[1]OUT_TransportEnergyCons!$C$4:$C$10000)*1,ISNUMBER(SEARCH("tfl*h2o*",[1]OUT_TransportEnergyCons!$A$4:$A$10000))*1,[1]OUT_TransportEnergyCons!K$4:K$10000))*1000</f>
        <v>3.96550881597463E-5</v>
      </c>
      <c r="N2216" s="1" cm="1">
        <f t="array" ref="N2216">(SUMPRODUCT(("var_ncap"=[1]OUT_TransportEnergyCons!$B$4:$B$10000)*1,("-"=[1]OUT_TransportEnergyCons!$C$4:$C$10000)*1,ISNUMBER(SEARCH("tfl*h2o*",[1]OUT_TransportEnergyCons!$A$4:$A$10000))*1,[1]OUT_TransportEnergyCons!L$4:L$10000))*1000</f>
        <v>3.3106167905469304E-5</v>
      </c>
      <c r="O2216" s="1" cm="1">
        <f t="array" ref="O2216">(SUMPRODUCT(("var_ncap"=[1]OUT_TransportEnergyCons!$B$4:$B$10000)*1,("-"=[1]OUT_TransportEnergyCons!$C$4:$C$10000)*1,ISNUMBER(SEARCH("tfl*h2o*",[1]OUT_TransportEnergyCons!$A$4:$A$10000))*1,[1]OUT_TransportEnergyCons!M$4:M$10000))*1000</f>
        <v>3.1868172826684801E-5</v>
      </c>
      <c r="P2216" s="1" cm="1">
        <f t="array" ref="P2216">(SUMPRODUCT(("var_ncap"=[1]OUT_TransportEnergyCons!$B$4:$B$10000)*1,("-"=[1]OUT_TransportEnergyCons!$C$4:$C$10000)*1,ISNUMBER(SEARCH("tfl*h2o*",[1]OUT_TransportEnergyCons!$A$4:$A$10000))*1,[1]OUT_TransportEnergyCons!N$4:N$10000))*1000</f>
        <v>3.8277367025812702E-5</v>
      </c>
      <c r="Q2216" s="1" cm="1">
        <f t="array" ref="Q2216">(SUMPRODUCT(("var_ncap"=[1]OUT_TransportEnergyCons!$B$4:$B$10000)*1,("-"=[1]OUT_TransportEnergyCons!$C$4:$C$10000)*1,ISNUMBER(SEARCH("tfl*h2o*",[1]OUT_TransportEnergyCons!$A$4:$A$10000))*1,[1]OUT_TransportEnergyCons!O$4:O$10000))*1000</f>
        <v>8.3100585943604306E-5</v>
      </c>
      <c r="S2216" s="3"/>
    </row>
    <row r="2217" spans="2:19" x14ac:dyDescent="0.5">
      <c r="B2217" s="5" t="str">
        <f t="shared" si="2251"/>
        <v>SPS1</v>
      </c>
      <c r="C2217" s="5" t="str">
        <f t="shared" si="2252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(SUMPRODUCT(("var_ncap"=[1]OUT_TransportEnergyCons!$B$4:$B$10000)*1,("-"=[1]OUT_TransportEnergyCons!$C$4:$C$10000)*1,ISNUMBER(SEARCH("TfL*ICE*GSL*ext",[1]OUT_TransportEnergyCons!$A$4:$A$10000))*1,[1]OUT_TransportEnergyCons!H$4:H$10000))*1000</f>
        <v>0</v>
      </c>
      <c r="K2217" s="1" cm="1">
        <f t="array" ref="K2217">(SUMPRODUCT(("var_ncap"=[1]OUT_TransportEnergyCons!$B$4:$B$10000)*1,("-"=[1]OUT_TransportEnergyCons!$C$4:$C$10000)*1,ISNUMBER(SEARCH("TfL*ICE*GSL*ext",[1]OUT_TransportEnergyCons!$A$4:$A$10000))*1,[1]OUT_TransportEnergyCons!I$4:I$10000))*1000</f>
        <v>0</v>
      </c>
      <c r="L2217" s="1" cm="1">
        <f t="array" ref="L2217">(SUMPRODUCT(("var_ncap"=[1]OUT_TransportEnergyCons!$B$4:$B$10000)*1,("-"=[1]OUT_TransportEnergyCons!$C$4:$C$10000)*1,ISNUMBER(SEARCH("TfL*ICE*GSL*ext",[1]OUT_TransportEnergyCons!$A$4:$A$10000))*1,[1]OUT_TransportEnergyCons!J$4:J$10000))*1000</f>
        <v>0</v>
      </c>
      <c r="M2217" s="1" cm="1">
        <f t="array" ref="M2217">(SUMPRODUCT(("var_ncap"=[1]OUT_TransportEnergyCons!$B$4:$B$10000)*1,("-"=[1]OUT_TransportEnergyCons!$C$4:$C$10000)*1,ISNUMBER(SEARCH("TfL*ICE*GSL*ext",[1]OUT_TransportEnergyCons!$A$4:$A$10000))*1,[1]OUT_TransportEnergyCons!K$4:K$10000))*1000</f>
        <v>0</v>
      </c>
      <c r="N2217" s="1" cm="1">
        <f t="array" ref="N2217">(SUMPRODUCT(("var_ncap"=[1]OUT_TransportEnergyCons!$B$4:$B$10000)*1,("-"=[1]OUT_TransportEnergyCons!$C$4:$C$10000)*1,ISNUMBER(SEARCH("TfL*ICE*GSL*ext",[1]OUT_TransportEnergyCons!$A$4:$A$10000))*1,[1]OUT_TransportEnergyCons!L$4:L$10000))*1000</f>
        <v>0</v>
      </c>
      <c r="O2217" s="1" cm="1">
        <f t="array" ref="O2217">(SUMPRODUCT(("var_ncap"=[1]OUT_TransportEnergyCons!$B$4:$B$10000)*1,("-"=[1]OUT_TransportEnergyCons!$C$4:$C$10000)*1,ISNUMBER(SEARCH("TfL*ICE*GSL*ext",[1]OUT_TransportEnergyCons!$A$4:$A$10000))*1,[1]OUT_TransportEnergyCons!M$4:M$10000))*1000</f>
        <v>0</v>
      </c>
      <c r="P2217" s="1" cm="1">
        <f t="array" ref="P2217">(SUMPRODUCT(("var_ncap"=[1]OUT_TransportEnergyCons!$B$4:$B$10000)*1,("-"=[1]OUT_TransportEnergyCons!$C$4:$C$10000)*1,ISNUMBER(SEARCH("TfL*ICE*GSL*ext",[1]OUT_TransportEnergyCons!$A$4:$A$10000))*1,[1]OUT_TransportEnergyCons!N$4:N$10000))*1000</f>
        <v>0</v>
      </c>
      <c r="Q2217" s="1" cm="1">
        <f t="array" ref="Q2217">(SUMPRODUCT(("var_ncap"=[1]OUT_TransportEnergyCons!$B$4:$B$10000)*1,("-"=[1]OUT_TransportEnergyCons!$C$4:$C$10000)*1,ISNUMBER(SEARCH("TfL*ICE*GSL*ext",[1]OUT_TransportEnergyCons!$A$4:$A$10000))*1,[1]OUT_TransportEnergyCons!O$4:O$10000))*1000</f>
        <v>0</v>
      </c>
      <c r="S2217" s="3"/>
    </row>
    <row r="2218" spans="2:19" x14ac:dyDescent="0.5">
      <c r="B2218" s="5" t="str">
        <f t="shared" si="2251"/>
        <v>SPS1</v>
      </c>
      <c r="C2218" s="5" t="str">
        <f t="shared" si="2252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8.05492587176216E-3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12.3793577479679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27.479920998682001</v>
      </c>
      <c r="J2218" s="1" cm="1">
        <f t="array" ref="J2218">(SUMPRODUCT(("var_ncap"=[1]OUT_TransportEnergyCons!$B$4:$B$10000)*1,("-"=[1]OUT_TransportEnergyCons!$C$4:$C$10000)*1,ISNUMBER(SEARCH("TfL*ICE*GSL*",[1]OUT_TransportEnergyCons!$A$4:$A$10000))*1,[1]OUT_TransportEnergyCons!H$4:H$10000))*1000-J2217</f>
        <v>0</v>
      </c>
      <c r="K2218" s="1" cm="1">
        <f t="array" ref="K2218">(SUMPRODUCT(("var_ncap"=[1]OUT_TransportEnergyCons!$B$4:$B$10000)*1,("-"=[1]OUT_TransportEnergyCons!$C$4:$C$10000)*1,ISNUMBER(SEARCH("TfL*ICE*GSL*",[1]OUT_TransportEnergyCons!$A$4:$A$10000))*1,[1]OUT_TransportEnergyCons!I$4:I$10000))*1000-K2217</f>
        <v>0</v>
      </c>
      <c r="L2218" s="1" cm="1">
        <f t="array" ref="L2218">(SUMPRODUCT(("var_ncap"=[1]OUT_TransportEnergyCons!$B$4:$B$10000)*1,("-"=[1]OUT_TransportEnergyCons!$C$4:$C$10000)*1,ISNUMBER(SEARCH("TfL*ICE*GSL*",[1]OUT_TransportEnergyCons!$A$4:$A$10000))*1,[1]OUT_TransportEnergyCons!J$4:J$10000))*1000-L2217</f>
        <v>0</v>
      </c>
      <c r="M2218" s="1" cm="1">
        <f t="array" ref="M2218">(SUMPRODUCT(("var_ncap"=[1]OUT_TransportEnergyCons!$B$4:$B$10000)*1,("-"=[1]OUT_TransportEnergyCons!$C$4:$C$10000)*1,ISNUMBER(SEARCH("TfL*ICE*GSL*",[1]OUT_TransportEnergyCons!$A$4:$A$10000))*1,[1]OUT_TransportEnergyCons!K$4:K$10000))*1000-M2217</f>
        <v>0</v>
      </c>
      <c r="N2218" s="1" cm="1">
        <f t="array" ref="N2218">(SUMPRODUCT(("var_ncap"=[1]OUT_TransportEnergyCons!$B$4:$B$10000)*1,("-"=[1]OUT_TransportEnergyCons!$C$4:$C$10000)*1,ISNUMBER(SEARCH("TfL*ICE*GSL*",[1]OUT_TransportEnergyCons!$A$4:$A$10000))*1,[1]OUT_TransportEnergyCons!L$4:L$10000))*1000-N2217</f>
        <v>0</v>
      </c>
      <c r="O2218" s="1" cm="1">
        <f t="array" ref="O2218">(SUMPRODUCT(("var_ncap"=[1]OUT_TransportEnergyCons!$B$4:$B$10000)*1,("-"=[1]OUT_TransportEnergyCons!$C$4:$C$10000)*1,ISNUMBER(SEARCH("TfL*ICE*GSL*",[1]OUT_TransportEnergyCons!$A$4:$A$10000))*1,[1]OUT_TransportEnergyCons!M$4:M$10000))*1000-O2217</f>
        <v>0</v>
      </c>
      <c r="P2218" s="1" cm="1">
        <f t="array" ref="P2218">(SUMPRODUCT(("var_ncap"=[1]OUT_TransportEnergyCons!$B$4:$B$10000)*1,("-"=[1]OUT_TransportEnergyCons!$C$4:$C$10000)*1,ISNUMBER(SEARCH("TfL*ICE*GSL*",[1]OUT_TransportEnergyCons!$A$4:$A$10000))*1,[1]OUT_TransportEnergyCons!N$4:N$10000))*1000-P2217</f>
        <v>0</v>
      </c>
      <c r="Q2218" s="1" cm="1">
        <f t="array" ref="Q2218">(SUMPRODUCT(("var_ncap"=[1]OUT_TransportEnergyCons!$B$4:$B$10000)*1,("-"=[1]OUT_TransportEnergyCons!$C$4:$C$10000)*1,ISNUMBER(SEARCH("TfL*ICE*GSL*",[1]OUT_TransportEnergyCons!$A$4:$A$10000))*1,[1]OUT_TransportEnergyCons!O$4:O$10000))*1000-Q2217</f>
        <v>0</v>
      </c>
      <c r="S2218" s="3"/>
    </row>
    <row r="2219" spans="2:19" x14ac:dyDescent="0.5">
      <c r="B2219" s="5" t="str">
        <f t="shared" si="2251"/>
        <v>SPS1</v>
      </c>
      <c r="C2219" s="5" t="str">
        <f t="shared" si="2252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(SUMPRODUCT(("var_ncap"=[1]OUT_TransportEnergyCons!$B$4:$B$10000)*1,("-"=[1]OUT_TransportEnergyCons!$C$4:$C$10000)*1,ISNUMBER(SEARCH("tfl*ICE*DSL*ext",[1]OUT_TransportEnergyCons!$A$4:$A$10000))*1,[1]OUT_TransportEnergyCons!H$4:H$10000))*1000</f>
        <v>0</v>
      </c>
      <c r="K2219" s="1" cm="1">
        <f t="array" ref="K2219">(SUMPRODUCT(("var_ncap"=[1]OUT_TransportEnergyCons!$B$4:$B$10000)*1,("-"=[1]OUT_TransportEnergyCons!$C$4:$C$10000)*1,ISNUMBER(SEARCH("tfl*ICE*DSL*ext",[1]OUT_TransportEnergyCons!$A$4:$A$10000))*1,[1]OUT_TransportEnergyCons!I$4:I$10000))*1000</f>
        <v>0</v>
      </c>
      <c r="L2219" s="1" cm="1">
        <f t="array" ref="L2219">(SUMPRODUCT(("var_ncap"=[1]OUT_TransportEnergyCons!$B$4:$B$10000)*1,("-"=[1]OUT_TransportEnergyCons!$C$4:$C$10000)*1,ISNUMBER(SEARCH("tfl*ICE*DSL*ext",[1]OUT_TransportEnergyCons!$A$4:$A$10000))*1,[1]OUT_TransportEnergyCons!J$4:J$10000))*1000</f>
        <v>0</v>
      </c>
      <c r="M2219" s="1" cm="1">
        <f t="array" ref="M2219">(SUMPRODUCT(("var_ncap"=[1]OUT_TransportEnergyCons!$B$4:$B$10000)*1,("-"=[1]OUT_TransportEnergyCons!$C$4:$C$10000)*1,ISNUMBER(SEARCH("tfl*ICE*DSL*ext",[1]OUT_TransportEnergyCons!$A$4:$A$10000))*1,[1]OUT_TransportEnergyCons!K$4:K$10000))*1000</f>
        <v>0</v>
      </c>
      <c r="N2219" s="1" cm="1">
        <f t="array" ref="N2219">(SUMPRODUCT(("var_ncap"=[1]OUT_TransportEnergyCons!$B$4:$B$10000)*1,("-"=[1]OUT_TransportEnergyCons!$C$4:$C$10000)*1,ISNUMBER(SEARCH("tfl*ICE*DSL*ext",[1]OUT_TransportEnergyCons!$A$4:$A$10000))*1,[1]OUT_TransportEnergyCons!L$4:L$10000))*1000</f>
        <v>0</v>
      </c>
      <c r="O2219" s="1" cm="1">
        <f t="array" ref="O2219">(SUMPRODUCT(("var_ncap"=[1]OUT_TransportEnergyCons!$B$4:$B$10000)*1,("-"=[1]OUT_TransportEnergyCons!$C$4:$C$10000)*1,ISNUMBER(SEARCH("tfl*ICE*DSL*ext",[1]OUT_TransportEnergyCons!$A$4:$A$10000))*1,[1]OUT_TransportEnergyCons!M$4:M$10000))*1000</f>
        <v>0</v>
      </c>
      <c r="P2219" s="1" cm="1">
        <f t="array" ref="P2219">(SUMPRODUCT(("var_ncap"=[1]OUT_TransportEnergyCons!$B$4:$B$10000)*1,("-"=[1]OUT_TransportEnergyCons!$C$4:$C$10000)*1,ISNUMBER(SEARCH("tfl*ICE*DSL*ext",[1]OUT_TransportEnergyCons!$A$4:$A$10000))*1,[1]OUT_TransportEnergyCons!N$4:N$10000))*1000</f>
        <v>0</v>
      </c>
      <c r="Q2219" s="1" cm="1">
        <f t="array" ref="Q2219">(SUMPRODUCT(("var_ncap"=[1]OUT_TransportEnergyCons!$B$4:$B$10000)*1,("-"=[1]OUT_TransportEnergyCons!$C$4:$C$10000)*1,ISNUMBER(SEARCH("tfl*ICE*DSL*ext",[1]OUT_TransportEnergyCons!$A$4:$A$10000))*1,[1]OUT_TransportEnergyCons!O$4:O$10000))*1000</f>
        <v>0</v>
      </c>
      <c r="S2219" s="3"/>
    </row>
    <row r="2220" spans="2:19" x14ac:dyDescent="0.5">
      <c r="B2220" s="5" t="str">
        <f t="shared" si="2251"/>
        <v>SPS1</v>
      </c>
      <c r="C2220" s="5" t="str">
        <f t="shared" si="2252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4.6844704826511895E-3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3.0985380252450602E-2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1.4604462842948199E-2</v>
      </c>
      <c r="J2220" s="1" cm="1">
        <f t="array" ref="J2220">(SUMPRODUCT(("var_ncap"=[1]OUT_TransportEnergyCons!$B$4:$B$10000)*1,("-"=[1]OUT_TransportEnergyCons!$C$4:$C$10000)*1,ISNUMBER(SEARCH("tfl*ICE*DSL*",[1]OUT_TransportEnergyCons!$A$4:$A$10000))*1,[1]OUT_TransportEnergyCons!H$4:H$10000))*1000-J2219</f>
        <v>0</v>
      </c>
      <c r="K2220" s="1" cm="1">
        <f t="array" ref="K2220">(SUMPRODUCT(("var_ncap"=[1]OUT_TransportEnergyCons!$B$4:$B$10000)*1,("-"=[1]OUT_TransportEnergyCons!$C$4:$C$10000)*1,ISNUMBER(SEARCH("tfl*ICE*DSL*",[1]OUT_TransportEnergyCons!$A$4:$A$10000))*1,[1]OUT_TransportEnergyCons!I$4:I$10000))*1000-K2219</f>
        <v>0</v>
      </c>
      <c r="L2220" s="1" cm="1">
        <f t="array" ref="L2220">(SUMPRODUCT(("var_ncap"=[1]OUT_TransportEnergyCons!$B$4:$B$10000)*1,("-"=[1]OUT_TransportEnergyCons!$C$4:$C$10000)*1,ISNUMBER(SEARCH("tfl*ICE*DSL*",[1]OUT_TransportEnergyCons!$A$4:$A$10000))*1,[1]OUT_TransportEnergyCons!J$4:J$10000))*1000-L2219</f>
        <v>0</v>
      </c>
      <c r="M2220" s="1" cm="1">
        <f t="array" ref="M2220">(SUMPRODUCT(("var_ncap"=[1]OUT_TransportEnergyCons!$B$4:$B$10000)*1,("-"=[1]OUT_TransportEnergyCons!$C$4:$C$10000)*1,ISNUMBER(SEARCH("tfl*ICE*DSL*",[1]OUT_TransportEnergyCons!$A$4:$A$10000))*1,[1]OUT_TransportEnergyCons!K$4:K$10000))*1000-M2219</f>
        <v>0</v>
      </c>
      <c r="N2220" s="1" cm="1">
        <f t="array" ref="N2220">(SUMPRODUCT(("var_ncap"=[1]OUT_TransportEnergyCons!$B$4:$B$10000)*1,("-"=[1]OUT_TransportEnergyCons!$C$4:$C$10000)*1,ISNUMBER(SEARCH("tfl*ICE*DSL*",[1]OUT_TransportEnergyCons!$A$4:$A$10000))*1,[1]OUT_TransportEnergyCons!L$4:L$10000))*1000-N2219</f>
        <v>0</v>
      </c>
      <c r="O2220" s="1" cm="1">
        <f t="array" ref="O2220">(SUMPRODUCT(("var_ncap"=[1]OUT_TransportEnergyCons!$B$4:$B$10000)*1,("-"=[1]OUT_TransportEnergyCons!$C$4:$C$10000)*1,ISNUMBER(SEARCH("tfl*ICE*DSL*",[1]OUT_TransportEnergyCons!$A$4:$A$10000))*1,[1]OUT_TransportEnergyCons!M$4:M$10000))*1000-O2219</f>
        <v>0</v>
      </c>
      <c r="P2220" s="1" cm="1">
        <f t="array" ref="P2220">(SUMPRODUCT(("var_ncap"=[1]OUT_TransportEnergyCons!$B$4:$B$10000)*1,("-"=[1]OUT_TransportEnergyCons!$C$4:$C$10000)*1,ISNUMBER(SEARCH("tfl*ICE*DSL*",[1]OUT_TransportEnergyCons!$A$4:$A$10000))*1,[1]OUT_TransportEnergyCons!N$4:N$10000))*1000-P2219</f>
        <v>0</v>
      </c>
      <c r="Q2220" s="1" cm="1">
        <f t="array" ref="Q2220">(SUMPRODUCT(("var_ncap"=[1]OUT_TransportEnergyCons!$B$4:$B$10000)*1,("-"=[1]OUT_TransportEnergyCons!$C$4:$C$10000)*1,ISNUMBER(SEARCH("tfl*ICE*DSL*",[1]OUT_TransportEnergyCons!$A$4:$A$10000))*1,[1]OUT_TransportEnergyCons!O$4:O$10000))*1000-Q2219</f>
        <v>0</v>
      </c>
      <c r="S2220" s="3"/>
    </row>
    <row r="2221" spans="2:19" x14ac:dyDescent="0.5">
      <c r="B2221" s="5" t="str">
        <f t="shared" si="2251"/>
        <v>SPS1</v>
      </c>
      <c r="C2221" s="5" t="str">
        <f t="shared" si="2252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13.881897696897299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49.258074689066603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67.047976680900305</v>
      </c>
      <c r="J2221" s="1" cm="1">
        <f t="array" ref="J2221">(SUMPRODUCT(("var_ncap"=[1]OUT_TransportEnergyCons!$B$4:$B$10000)*1,("-"=[1]OUT_TransportEnergyCons!$C$4:$C$10000)*1,ISNUMBER(SEARCH("tfl*hyb*DSL*",[1]OUT_TransportEnergyCons!$A$4:$A$10000))*1,[1]OUT_TransportEnergyCons!H$4:H$10000))*1000</f>
        <v>0</v>
      </c>
      <c r="K2221" s="1" cm="1">
        <f t="array" ref="K2221">(SUMPRODUCT(("var_ncap"=[1]OUT_TransportEnergyCons!$B$4:$B$10000)*1,("-"=[1]OUT_TransportEnergyCons!$C$4:$C$10000)*1,ISNUMBER(SEARCH("tfl*hyb*DSL*",[1]OUT_TransportEnergyCons!$A$4:$A$10000))*1,[1]OUT_TransportEnergyCons!I$4:I$10000))*1000</f>
        <v>0</v>
      </c>
      <c r="L2221" s="1" cm="1">
        <f t="array" ref="L2221">(SUMPRODUCT(("var_ncap"=[1]OUT_TransportEnergyCons!$B$4:$B$10000)*1,("-"=[1]OUT_TransportEnergyCons!$C$4:$C$10000)*1,ISNUMBER(SEARCH("tfl*hyb*DSL*",[1]OUT_TransportEnergyCons!$A$4:$A$10000))*1,[1]OUT_TransportEnergyCons!J$4:J$10000))*1000</f>
        <v>0</v>
      </c>
      <c r="M2221" s="1" cm="1">
        <f t="array" ref="M2221">(SUMPRODUCT(("var_ncap"=[1]OUT_TransportEnergyCons!$B$4:$B$10000)*1,("-"=[1]OUT_TransportEnergyCons!$C$4:$C$10000)*1,ISNUMBER(SEARCH("tfl*hyb*DSL*",[1]OUT_TransportEnergyCons!$A$4:$A$10000))*1,[1]OUT_TransportEnergyCons!K$4:K$10000))*1000</f>
        <v>0</v>
      </c>
      <c r="N2221" s="1" cm="1">
        <f t="array" ref="N2221">(SUMPRODUCT(("var_ncap"=[1]OUT_TransportEnergyCons!$B$4:$B$10000)*1,("-"=[1]OUT_TransportEnergyCons!$C$4:$C$10000)*1,ISNUMBER(SEARCH("tfl*hyb*DSL*",[1]OUT_TransportEnergyCons!$A$4:$A$10000))*1,[1]OUT_TransportEnergyCons!L$4:L$10000))*1000</f>
        <v>0</v>
      </c>
      <c r="O2221" s="1" cm="1">
        <f t="array" ref="O2221">(SUMPRODUCT(("var_ncap"=[1]OUT_TransportEnergyCons!$B$4:$B$10000)*1,("-"=[1]OUT_TransportEnergyCons!$C$4:$C$10000)*1,ISNUMBER(SEARCH("tfl*hyb*DSL*",[1]OUT_TransportEnergyCons!$A$4:$A$10000))*1,[1]OUT_TransportEnergyCons!M$4:M$10000))*1000</f>
        <v>0</v>
      </c>
      <c r="P2221" s="1" cm="1">
        <f t="array" ref="P2221">(SUMPRODUCT(("var_ncap"=[1]OUT_TransportEnergyCons!$B$4:$B$10000)*1,("-"=[1]OUT_TransportEnergyCons!$C$4:$C$10000)*1,ISNUMBER(SEARCH("tfl*hyb*DSL*",[1]OUT_TransportEnergyCons!$A$4:$A$10000))*1,[1]OUT_TransportEnergyCons!N$4:N$10000))*1000</f>
        <v>0</v>
      </c>
      <c r="Q2221" s="1" cm="1">
        <f t="array" ref="Q2221">(SUMPRODUCT(("var_ncap"=[1]OUT_TransportEnergyCons!$B$4:$B$10000)*1,("-"=[1]OUT_TransportEnergyCons!$C$4:$C$10000)*1,ISNUMBER(SEARCH("tfl*hyb*DSL*",[1]OUT_TransportEnergyCons!$A$4:$A$10000))*1,[1]OUT_TransportEnergyCons!O$4:O$10000))*1000</f>
        <v>0</v>
      </c>
      <c r="S2221" s="3"/>
    </row>
    <row r="2222" spans="2:19" x14ac:dyDescent="0.5">
      <c r="B2222" s="5" t="str">
        <f t="shared" si="2251"/>
        <v>SPS1</v>
      </c>
      <c r="C2222" s="5" t="str">
        <f t="shared" si="2252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0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6.3029095838554295E-4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4.2185966682765398E-4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0</v>
      </c>
      <c r="J2222" s="1" cm="1">
        <f t="array" ref="J2222">(SUMPRODUCT(("var_ncap"=[1]OUT_TransportEnergyCons!$B$4:$B$10000)*1,("-"=[1]OUT_TransportEnergyCons!$C$4:$C$10000)*1,ISNUMBER(SEARCH("tfl*ice*nga*",[1]OUT_TransportEnergyCons!$A$4:$A$10000))*1,[1]OUT_TransportEnergyCons!H$4:H$10000))*1000</f>
        <v>0</v>
      </c>
      <c r="K2222" s="1" cm="1">
        <f t="array" ref="K2222">(SUMPRODUCT(("var_ncap"=[1]OUT_TransportEnergyCons!$B$4:$B$10000)*1,("-"=[1]OUT_TransportEnergyCons!$C$4:$C$10000)*1,ISNUMBER(SEARCH("tfl*ice*nga*",[1]OUT_TransportEnergyCons!$A$4:$A$10000))*1,[1]OUT_TransportEnergyCons!I$4:I$10000))*1000</f>
        <v>0</v>
      </c>
      <c r="L2222" s="1" cm="1">
        <f t="array" ref="L2222">(SUMPRODUCT(("var_ncap"=[1]OUT_TransportEnergyCons!$B$4:$B$10000)*1,("-"=[1]OUT_TransportEnergyCons!$C$4:$C$10000)*1,ISNUMBER(SEARCH("tfl*ice*nga*",[1]OUT_TransportEnergyCons!$A$4:$A$10000))*1,[1]OUT_TransportEnergyCons!J$4:J$10000))*1000</f>
        <v>0</v>
      </c>
      <c r="M2222" s="1" cm="1">
        <f t="array" ref="M2222">(SUMPRODUCT(("var_ncap"=[1]OUT_TransportEnergyCons!$B$4:$B$10000)*1,("-"=[1]OUT_TransportEnergyCons!$C$4:$C$10000)*1,ISNUMBER(SEARCH("tfl*ice*nga*",[1]OUT_TransportEnergyCons!$A$4:$A$10000))*1,[1]OUT_TransportEnergyCons!K$4:K$10000))*1000</f>
        <v>0</v>
      </c>
      <c r="N2222" s="1" cm="1">
        <f t="array" ref="N2222">(SUMPRODUCT(("var_ncap"=[1]OUT_TransportEnergyCons!$B$4:$B$10000)*1,("-"=[1]OUT_TransportEnergyCons!$C$4:$C$10000)*1,ISNUMBER(SEARCH("tfl*ice*nga*",[1]OUT_TransportEnergyCons!$A$4:$A$10000))*1,[1]OUT_TransportEnergyCons!L$4:L$10000))*1000</f>
        <v>0</v>
      </c>
      <c r="O2222" s="1" cm="1">
        <f t="array" ref="O2222">(SUMPRODUCT(("var_ncap"=[1]OUT_TransportEnergyCons!$B$4:$B$10000)*1,("-"=[1]OUT_TransportEnergyCons!$C$4:$C$10000)*1,ISNUMBER(SEARCH("tfl*ice*nga*",[1]OUT_TransportEnergyCons!$A$4:$A$10000))*1,[1]OUT_TransportEnergyCons!M$4:M$10000))*1000</f>
        <v>0</v>
      </c>
      <c r="P2222" s="1" cm="1">
        <f t="array" ref="P2222">(SUMPRODUCT(("var_ncap"=[1]OUT_TransportEnergyCons!$B$4:$B$10000)*1,("-"=[1]OUT_TransportEnergyCons!$C$4:$C$10000)*1,ISNUMBER(SEARCH("tfl*ice*nga*",[1]OUT_TransportEnergyCons!$A$4:$A$10000))*1,[1]OUT_TransportEnergyCons!N$4:N$10000))*1000</f>
        <v>0</v>
      </c>
      <c r="Q2222" s="1" cm="1">
        <f t="array" ref="Q2222">(SUMPRODUCT(("var_ncap"=[1]OUT_TransportEnergyCons!$B$4:$B$10000)*1,("-"=[1]OUT_TransportEnergyCons!$C$4:$C$10000)*1,ISNUMBER(SEARCH("tfl*ice*nga*",[1]OUT_TransportEnergyCons!$A$4:$A$10000))*1,[1]OUT_TransportEnergyCons!O$4:O$10000))*1000</f>
        <v>0</v>
      </c>
      <c r="S2222" s="3"/>
    </row>
    <row r="2223" spans="2:19" x14ac:dyDescent="0.5">
      <c r="B2223" s="5" t="str">
        <f t="shared" si="2251"/>
        <v>SPS1</v>
      </c>
      <c r="C2223" s="5" t="str">
        <f t="shared" si="2252"/>
        <v>CH</v>
      </c>
      <c r="D2223" s="2" t="s">
        <v>2352</v>
      </c>
      <c r="E2223" s="2" t="s">
        <v>1999</v>
      </c>
      <c r="F2223" s="3">
        <f t="shared" ref="F2223:K2223" si="2255">SUM(F2224:F2232)</f>
        <v>0</v>
      </c>
      <c r="G2223" s="3">
        <f t="shared" si="2255"/>
        <v>9.4603265143429631</v>
      </c>
      <c r="H2223" s="3">
        <f t="shared" si="2255"/>
        <v>3.5029178132088563</v>
      </c>
      <c r="I2223" s="3">
        <f t="shared" si="2255"/>
        <v>29.086484488278973</v>
      </c>
      <c r="J2223" s="3">
        <f t="shared" si="2255"/>
        <v>39.83464454705063</v>
      </c>
      <c r="K2223" s="3">
        <f t="shared" si="2255"/>
        <v>17.102314297375742</v>
      </c>
      <c r="L2223" s="3">
        <f t="shared" ref="L2223:O2223" si="2256">SUM(L2224:L2232)</f>
        <v>42.496183984907063</v>
      </c>
      <c r="M2223" s="3">
        <f t="shared" si="2256"/>
        <v>24.689765289413181</v>
      </c>
      <c r="N2223" s="3">
        <f t="shared" si="2256"/>
        <v>37.204711596200227</v>
      </c>
      <c r="O2223" s="3">
        <f t="shared" si="2256"/>
        <v>47.546597767800044</v>
      </c>
      <c r="P2223" s="3">
        <f>SUM(P2224:P2232)</f>
        <v>26.75865417301819</v>
      </c>
      <c r="Q2223" s="3">
        <f>SUM(Q2224:Q2232)</f>
        <v>43.491811018232355</v>
      </c>
      <c r="S2223" s="3"/>
    </row>
    <row r="2224" spans="2:19" x14ac:dyDescent="0.5">
      <c r="B2224" s="5" t="str">
        <f t="shared" si="2251"/>
        <v>SPS1</v>
      </c>
      <c r="C2224" s="5" t="str">
        <f t="shared" si="2252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(SUMPRODUCT(("var_ncap"=[1]OUT_TransportEnergyCons!$B$4:$B$10000)*1,("-"=[1]OUT_TransportEnergyCons!$C$4:$C$10000)*1,ISNUMBER(SEARCH("tfh*bev*ext",[1]OUT_TransportEnergyCons!$A$4:$A$10000))*1,[1]OUT_TransportEnergyCons!H$4:H$10000))*1000</f>
        <v>0</v>
      </c>
      <c r="K2224" s="1" cm="1">
        <f t="array" ref="K2224">(SUMPRODUCT(("var_ncap"=[1]OUT_TransportEnergyCons!$B$4:$B$10000)*1,("-"=[1]OUT_TransportEnergyCons!$C$4:$C$10000)*1,ISNUMBER(SEARCH("tfh*bev*ext",[1]OUT_TransportEnergyCons!$A$4:$A$10000))*1,[1]OUT_TransportEnergyCons!I$4:I$10000))*1000</f>
        <v>0</v>
      </c>
      <c r="L2224" s="1" cm="1">
        <f t="array" ref="L2224">(SUMPRODUCT(("var_ncap"=[1]OUT_TransportEnergyCons!$B$4:$B$10000)*1,("-"=[1]OUT_TransportEnergyCons!$C$4:$C$10000)*1,ISNUMBER(SEARCH("tfh*bev*ext",[1]OUT_TransportEnergyCons!$A$4:$A$10000))*1,[1]OUT_TransportEnergyCons!J$4:J$10000))*1000</f>
        <v>0</v>
      </c>
      <c r="M2224" s="1" cm="1">
        <f t="array" ref="M2224">(SUMPRODUCT(("var_ncap"=[1]OUT_TransportEnergyCons!$B$4:$B$10000)*1,("-"=[1]OUT_TransportEnergyCons!$C$4:$C$10000)*1,ISNUMBER(SEARCH("tfh*bev*ext",[1]OUT_TransportEnergyCons!$A$4:$A$10000))*1,[1]OUT_TransportEnergyCons!K$4:K$10000))*1000</f>
        <v>0</v>
      </c>
      <c r="N2224" s="1" cm="1">
        <f t="array" ref="N2224">(SUMPRODUCT(("var_ncap"=[1]OUT_TransportEnergyCons!$B$4:$B$10000)*1,("-"=[1]OUT_TransportEnergyCons!$C$4:$C$10000)*1,ISNUMBER(SEARCH("tfh*bev*ext",[1]OUT_TransportEnergyCons!$A$4:$A$10000))*1,[1]OUT_TransportEnergyCons!L$4:L$10000))*1000</f>
        <v>0</v>
      </c>
      <c r="O2224" s="1" cm="1">
        <f t="array" ref="O2224">(SUMPRODUCT(("var_ncap"=[1]OUT_TransportEnergyCons!$B$4:$B$10000)*1,("-"=[1]OUT_TransportEnergyCons!$C$4:$C$10000)*1,ISNUMBER(SEARCH("tfh*bev*ext",[1]OUT_TransportEnergyCons!$A$4:$A$10000))*1,[1]OUT_TransportEnergyCons!M$4:M$10000))*1000</f>
        <v>0</v>
      </c>
      <c r="P2224" s="1" cm="1">
        <f t="array" ref="P2224">(SUMPRODUCT(("var_ncap"=[1]OUT_TransportEnergyCons!$B$4:$B$10000)*1,("-"=[1]OUT_TransportEnergyCons!$C$4:$C$10000)*1,ISNUMBER(SEARCH("tfh*bev*ext",[1]OUT_TransportEnergyCons!$A$4:$A$10000))*1,[1]OUT_TransportEnergyCons!N$4:N$10000))*1000</f>
        <v>0</v>
      </c>
      <c r="Q2224" s="1" cm="1">
        <f t="array" ref="Q2224">(SUMPRODUCT(("var_ncap"=[1]OUT_TransportEnergyCons!$B$4:$B$10000)*1,("-"=[1]OUT_TransportEnergyCons!$C$4:$C$10000)*1,ISNUMBER(SEARCH("tfh*bev*ext",[1]OUT_TransportEnergyCons!$A$4:$A$10000))*1,[1]OUT_TransportEnergyCons!O$4:O$10000))*1000</f>
        <v>0</v>
      </c>
      <c r="S2224" s="3"/>
    </row>
    <row r="2225" spans="2:19" x14ac:dyDescent="0.5">
      <c r="B2225" s="5" t="str">
        <f t="shared" si="2251"/>
        <v>SPS1</v>
      </c>
      <c r="C2225" s="5" t="str">
        <f t="shared" si="2252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5.8790662904343498E-4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1.44192336581294E-3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1.2474280885317901E-3</v>
      </c>
      <c r="J2225" s="1" cm="1">
        <f t="array" ref="J2225">(SUMPRODUCT(("var_ncap"=[1]OUT_TransportEnergyCons!$B$4:$B$10000)*1,("-"=[1]OUT_TransportEnergyCons!$C$4:$C$10000)*1,ISNUMBER(SEARCH("tfh*bev*",[1]OUT_TransportEnergyCons!$A$4:$A$10000))*1,[1]OUT_TransportEnergyCons!H$4:H$10000))*1000-J2224</f>
        <v>8.2328499328346201</v>
      </c>
      <c r="K2225" s="1" cm="1">
        <f t="array" ref="K2225">(SUMPRODUCT(("var_ncap"=[1]OUT_TransportEnergyCons!$B$4:$B$10000)*1,("-"=[1]OUT_TransportEnergyCons!$C$4:$C$10000)*1,ISNUMBER(SEARCH("tfh*bev*",[1]OUT_TransportEnergyCons!$A$4:$A$10000))*1,[1]OUT_TransportEnergyCons!I$4:I$10000))*1000-K2224</f>
        <v>7.5215622230500694</v>
      </c>
      <c r="L2225" s="1" cm="1">
        <f t="array" ref="L2225">(SUMPRODUCT(("var_ncap"=[1]OUT_TransportEnergyCons!$B$4:$B$10000)*1,("-"=[1]OUT_TransportEnergyCons!$C$4:$C$10000)*1,ISNUMBER(SEARCH("tfh*bev*",[1]OUT_TransportEnergyCons!$A$4:$A$10000))*1,[1]OUT_TransportEnergyCons!J$4:J$10000))*1000-L2224</f>
        <v>30.285957072155799</v>
      </c>
      <c r="M2225" s="1" cm="1">
        <f t="array" ref="M2225">(SUMPRODUCT(("var_ncap"=[1]OUT_TransportEnergyCons!$B$4:$B$10000)*1,("-"=[1]OUT_TransportEnergyCons!$C$4:$C$10000)*1,ISNUMBER(SEARCH("tfh*bev*",[1]OUT_TransportEnergyCons!$A$4:$A$10000))*1,[1]OUT_TransportEnergyCons!K$4:K$10000))*1000-M2224</f>
        <v>24.689709541039598</v>
      </c>
      <c r="N2225" s="1" cm="1">
        <f t="array" ref="N2225">(SUMPRODUCT(("var_ncap"=[1]OUT_TransportEnergyCons!$B$4:$B$10000)*1,("-"=[1]OUT_TransportEnergyCons!$C$4:$C$10000)*1,ISNUMBER(SEARCH("tfh*bev*",[1]OUT_TransportEnergyCons!$A$4:$A$10000))*1,[1]OUT_TransportEnergyCons!L$4:L$10000))*1000-N2224</f>
        <v>37.204647579441101</v>
      </c>
      <c r="O2225" s="1" cm="1">
        <f t="array" ref="O2225">(SUMPRODUCT(("var_ncap"=[1]OUT_TransportEnergyCons!$B$4:$B$10000)*1,("-"=[1]OUT_TransportEnergyCons!$C$4:$C$10000)*1,ISNUMBER(SEARCH("tfh*bev*",[1]OUT_TransportEnergyCons!$A$4:$A$10000))*1,[1]OUT_TransportEnergyCons!M$4:M$10000))*1000-O2224</f>
        <v>47.546513402617997</v>
      </c>
      <c r="P2225" s="1" cm="1">
        <f t="array" ref="P2225">(SUMPRODUCT(("var_ncap"=[1]OUT_TransportEnergyCons!$B$4:$B$10000)*1,("-"=[1]OUT_TransportEnergyCons!$C$4:$C$10000)*1,ISNUMBER(SEARCH("tfh*bev*",[1]OUT_TransportEnergyCons!$A$4:$A$10000))*1,[1]OUT_TransportEnergyCons!N$4:N$10000))*1000-P2224</f>
        <v>26.758595769221497</v>
      </c>
      <c r="Q2225" s="1" cm="1">
        <f t="array" ref="Q2225">(SUMPRODUCT(("var_ncap"=[1]OUT_TransportEnergyCons!$B$4:$B$10000)*1,("-"=[1]OUT_TransportEnergyCons!$C$4:$C$10000)*1,ISNUMBER(SEARCH("tfh*bev*",[1]OUT_TransportEnergyCons!$A$4:$A$10000))*1,[1]OUT_TransportEnergyCons!O$4:O$10000))*1000-Q2224</f>
        <v>43.491718124561103</v>
      </c>
      <c r="S2225" s="3"/>
    </row>
    <row r="2226" spans="2:19" x14ac:dyDescent="0.5">
      <c r="B2226" s="5" t="str">
        <f t="shared" si="2251"/>
        <v>SPS1</v>
      </c>
      <c r="C2226" s="5" t="str">
        <f t="shared" si="2252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5.1844595670991001E-5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3.53995894781867E-5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3.55683045553873E-5</v>
      </c>
      <c r="J2226" s="1" cm="1">
        <f t="array" ref="J2226">(SUMPRODUCT(("var_ncap"=[1]OUT_TransportEnergyCons!$B$4:$B$10000)*1,("-"=[1]OUT_TransportEnergyCons!$C$4:$C$10000)*1,ISNUMBER(SEARCH("tfh*h2o*",[1]OUT_TransportEnergyCons!$A$4:$A$10000))*1,[1]OUT_TransportEnergyCons!H$4:H$10000))*1000</f>
        <v>1.15370376973253E-4</v>
      </c>
      <c r="K2226" s="1" cm="1">
        <f t="array" ref="K2226">(SUMPRODUCT(("var_ncap"=[1]OUT_TransportEnergyCons!$B$4:$B$10000)*1,("-"=[1]OUT_TransportEnergyCons!$C$4:$C$10000)*1,ISNUMBER(SEARCH("tfh*h2o*",[1]OUT_TransportEnergyCons!$A$4:$A$10000))*1,[1]OUT_TransportEnergyCons!I$4:I$10000))*1000</f>
        <v>6.7545624951853198E-5</v>
      </c>
      <c r="L2226" s="1" cm="1">
        <f t="array" ref="L2226">(SUMPRODUCT(("var_ncap"=[1]OUT_TransportEnergyCons!$B$4:$B$10000)*1,("-"=[1]OUT_TransportEnergyCons!$C$4:$C$10000)*1,ISNUMBER(SEARCH("tfh*h2o*",[1]OUT_TransportEnergyCons!$A$4:$A$10000))*1,[1]OUT_TransportEnergyCons!J$4:J$10000))*1000</f>
        <v>8.1978335263929107E-5</v>
      </c>
      <c r="M2226" s="1" cm="1">
        <f t="array" ref="M2226">(SUMPRODUCT(("var_ncap"=[1]OUT_TransportEnergyCons!$B$4:$B$10000)*1,("-"=[1]OUT_TransportEnergyCons!$C$4:$C$10000)*1,ISNUMBER(SEARCH("tfh*h2o*",[1]OUT_TransportEnergyCons!$A$4:$A$10000))*1,[1]OUT_TransportEnergyCons!K$4:K$10000))*1000</f>
        <v>5.5748373584677701E-5</v>
      </c>
      <c r="N2226" s="1" cm="1">
        <f t="array" ref="N2226">(SUMPRODUCT(("var_ncap"=[1]OUT_TransportEnergyCons!$B$4:$B$10000)*1,("-"=[1]OUT_TransportEnergyCons!$C$4:$C$10000)*1,ISNUMBER(SEARCH("tfh*h2o*",[1]OUT_TransportEnergyCons!$A$4:$A$10000))*1,[1]OUT_TransportEnergyCons!L$4:L$10000))*1000</f>
        <v>6.4016759127181002E-5</v>
      </c>
      <c r="O2226" s="1" cm="1">
        <f t="array" ref="O2226">(SUMPRODUCT(("var_ncap"=[1]OUT_TransportEnergyCons!$B$4:$B$10000)*1,("-"=[1]OUT_TransportEnergyCons!$C$4:$C$10000)*1,ISNUMBER(SEARCH("tfh*h2o*",[1]OUT_TransportEnergyCons!$A$4:$A$10000))*1,[1]OUT_TransportEnergyCons!M$4:M$10000))*1000</f>
        <v>8.4365182045818601E-5</v>
      </c>
      <c r="P2226" s="1" cm="1">
        <f t="array" ref="P2226">(SUMPRODUCT(("var_ncap"=[1]OUT_TransportEnergyCons!$B$4:$B$10000)*1,("-"=[1]OUT_TransportEnergyCons!$C$4:$C$10000)*1,ISNUMBER(SEARCH("tfh*h2o*",[1]OUT_TransportEnergyCons!$A$4:$A$10000))*1,[1]OUT_TransportEnergyCons!N$4:N$10000))*1000</f>
        <v>5.8403796693848801E-5</v>
      </c>
      <c r="Q2226" s="1" cm="1">
        <f t="array" ref="Q2226">(SUMPRODUCT(("var_ncap"=[1]OUT_TransportEnergyCons!$B$4:$B$10000)*1,("-"=[1]OUT_TransportEnergyCons!$C$4:$C$10000)*1,ISNUMBER(SEARCH("tfh*h2o*",[1]OUT_TransportEnergyCons!$A$4:$A$10000))*1,[1]OUT_TransportEnergyCons!O$4:O$10000))*1000</f>
        <v>9.28936712531293E-5</v>
      </c>
      <c r="S2226" s="3"/>
    </row>
    <row r="2227" spans="2:19" x14ac:dyDescent="0.5">
      <c r="B2227" s="5" t="str">
        <f t="shared" si="2251"/>
        <v>SPS1</v>
      </c>
      <c r="C2227" s="5" t="str">
        <f t="shared" si="2252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(SUMPRODUCT(("var_ncap"=[1]OUT_TransportEnergyCons!$B$4:$B$10000)*1,("-"=[1]OUT_TransportEnergyCons!$C$4:$C$10000)*1,ISNUMBER(SEARCH("tfh*ICE*GSL*ext",[1]OUT_TransportEnergyCons!$A$4:$A$10000))*1,[1]OUT_TransportEnergyCons!H$4:H$10000))*1000</f>
        <v>0</v>
      </c>
      <c r="K2227" s="1" cm="1">
        <f t="array" ref="K2227">(SUMPRODUCT(("var_ncap"=[1]OUT_TransportEnergyCons!$B$4:$B$10000)*1,("-"=[1]OUT_TransportEnergyCons!$C$4:$C$10000)*1,ISNUMBER(SEARCH("tfh*ICE*GSL*ext",[1]OUT_TransportEnergyCons!$A$4:$A$10000))*1,[1]OUT_TransportEnergyCons!I$4:I$10000))*1000</f>
        <v>0</v>
      </c>
      <c r="L2227" s="1" cm="1">
        <f t="array" ref="L2227">(SUMPRODUCT(("var_ncap"=[1]OUT_TransportEnergyCons!$B$4:$B$10000)*1,("-"=[1]OUT_TransportEnergyCons!$C$4:$C$10000)*1,ISNUMBER(SEARCH("tfh*ICE*GSL*ext",[1]OUT_TransportEnergyCons!$A$4:$A$10000))*1,[1]OUT_TransportEnergyCons!J$4:J$10000))*1000</f>
        <v>0</v>
      </c>
      <c r="M2227" s="1" cm="1">
        <f t="array" ref="M2227">(SUMPRODUCT(("var_ncap"=[1]OUT_TransportEnergyCons!$B$4:$B$10000)*1,("-"=[1]OUT_TransportEnergyCons!$C$4:$C$10000)*1,ISNUMBER(SEARCH("tfh*ICE*GSL*ext",[1]OUT_TransportEnergyCons!$A$4:$A$10000))*1,[1]OUT_TransportEnergyCons!K$4:K$10000))*1000</f>
        <v>0</v>
      </c>
      <c r="N2227" s="1" cm="1">
        <f t="array" ref="N2227">(SUMPRODUCT(("var_ncap"=[1]OUT_TransportEnergyCons!$B$4:$B$10000)*1,("-"=[1]OUT_TransportEnergyCons!$C$4:$C$10000)*1,ISNUMBER(SEARCH("tfh*ICE*GSL*ext",[1]OUT_TransportEnergyCons!$A$4:$A$10000))*1,[1]OUT_TransportEnergyCons!L$4:L$10000))*1000</f>
        <v>0</v>
      </c>
      <c r="O2227" s="1" cm="1">
        <f t="array" ref="O2227">(SUMPRODUCT(("var_ncap"=[1]OUT_TransportEnergyCons!$B$4:$B$10000)*1,("-"=[1]OUT_TransportEnergyCons!$C$4:$C$10000)*1,ISNUMBER(SEARCH("tfh*ICE*GSL*ext",[1]OUT_TransportEnergyCons!$A$4:$A$10000))*1,[1]OUT_TransportEnergyCons!M$4:M$10000))*1000</f>
        <v>0</v>
      </c>
      <c r="P2227" s="1" cm="1">
        <f t="array" ref="P2227">(SUMPRODUCT(("var_ncap"=[1]OUT_TransportEnergyCons!$B$4:$B$10000)*1,("-"=[1]OUT_TransportEnergyCons!$C$4:$C$10000)*1,ISNUMBER(SEARCH("tfh*ICE*GSL*ext",[1]OUT_TransportEnergyCons!$A$4:$A$10000))*1,[1]OUT_TransportEnergyCons!N$4:N$10000))*1000</f>
        <v>0</v>
      </c>
      <c r="Q2227" s="1" cm="1">
        <f t="array" ref="Q2227">(SUMPRODUCT(("var_ncap"=[1]OUT_TransportEnergyCons!$B$4:$B$10000)*1,("-"=[1]OUT_TransportEnergyCons!$C$4:$C$10000)*1,ISNUMBER(SEARCH("tfh*ICE*GSL*ext",[1]OUT_TransportEnergyCons!$A$4:$A$10000))*1,[1]OUT_TransportEnergyCons!O$4:O$10000))*1000</f>
        <v>0</v>
      </c>
      <c r="S2227" s="3"/>
    </row>
    <row r="2228" spans="2:19" x14ac:dyDescent="0.5">
      <c r="B2228" s="5" t="str">
        <f t="shared" si="2251"/>
        <v>SPS1</v>
      </c>
      <c r="C2228" s="5" t="str">
        <f t="shared" si="2252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(SUMPRODUCT(("var_ncap"=[1]OUT_TransportEnergyCons!$B$4:$B$10000)*1,("-"=[1]OUT_TransportEnergyCons!$C$4:$C$10000)*1,ISNUMBER(SEARCH("tfh*ICE*GSL*",[1]OUT_TransportEnergyCons!$A$4:$A$10000))*1,[1]OUT_TransportEnergyCons!H$4:H$10000))*1000-J2227</f>
        <v>0</v>
      </c>
      <c r="K2228" s="1" cm="1">
        <f t="array" ref="K2228">(SUMPRODUCT(("var_ncap"=[1]OUT_TransportEnergyCons!$B$4:$B$10000)*1,("-"=[1]OUT_TransportEnergyCons!$C$4:$C$10000)*1,ISNUMBER(SEARCH("tfh*ICE*GSL*",[1]OUT_TransportEnergyCons!$A$4:$A$10000))*1,[1]OUT_TransportEnergyCons!I$4:I$10000))*1000-K2227</f>
        <v>0</v>
      </c>
      <c r="L2228" s="1" cm="1">
        <f t="array" ref="L2228">(SUMPRODUCT(("var_ncap"=[1]OUT_TransportEnergyCons!$B$4:$B$10000)*1,("-"=[1]OUT_TransportEnergyCons!$C$4:$C$10000)*1,ISNUMBER(SEARCH("tfh*ICE*GSL*",[1]OUT_TransportEnergyCons!$A$4:$A$10000))*1,[1]OUT_TransportEnergyCons!J$4:J$10000))*1000-L2227</f>
        <v>0</v>
      </c>
      <c r="M2228" s="1" cm="1">
        <f t="array" ref="M2228">(SUMPRODUCT(("var_ncap"=[1]OUT_TransportEnergyCons!$B$4:$B$10000)*1,("-"=[1]OUT_TransportEnergyCons!$C$4:$C$10000)*1,ISNUMBER(SEARCH("tfh*ICE*GSL*",[1]OUT_TransportEnergyCons!$A$4:$A$10000))*1,[1]OUT_TransportEnergyCons!K$4:K$10000))*1000-M2227</f>
        <v>0</v>
      </c>
      <c r="N2228" s="1" cm="1">
        <f t="array" ref="N2228">(SUMPRODUCT(("var_ncap"=[1]OUT_TransportEnergyCons!$B$4:$B$10000)*1,("-"=[1]OUT_TransportEnergyCons!$C$4:$C$10000)*1,ISNUMBER(SEARCH("tfh*ICE*GSL*",[1]OUT_TransportEnergyCons!$A$4:$A$10000))*1,[1]OUT_TransportEnergyCons!L$4:L$10000))*1000-N2227</f>
        <v>0</v>
      </c>
      <c r="O2228" s="1" cm="1">
        <f t="array" ref="O2228">(SUMPRODUCT(("var_ncap"=[1]OUT_TransportEnergyCons!$B$4:$B$10000)*1,("-"=[1]OUT_TransportEnergyCons!$C$4:$C$10000)*1,ISNUMBER(SEARCH("tfh*ICE*GSL*",[1]OUT_TransportEnergyCons!$A$4:$A$10000))*1,[1]OUT_TransportEnergyCons!M$4:M$10000))*1000-O2227</f>
        <v>0</v>
      </c>
      <c r="P2228" s="1" cm="1">
        <f t="array" ref="P2228">(SUMPRODUCT(("var_ncap"=[1]OUT_TransportEnergyCons!$B$4:$B$10000)*1,("-"=[1]OUT_TransportEnergyCons!$C$4:$C$10000)*1,ISNUMBER(SEARCH("tfh*ICE*GSL*",[1]OUT_TransportEnergyCons!$A$4:$A$10000))*1,[1]OUT_TransportEnergyCons!N$4:N$10000))*1000-P2227</f>
        <v>0</v>
      </c>
      <c r="Q2228" s="1" cm="1">
        <f t="array" ref="Q2228">(SUMPRODUCT(("var_ncap"=[1]OUT_TransportEnergyCons!$B$4:$B$10000)*1,("-"=[1]OUT_TransportEnergyCons!$C$4:$C$10000)*1,ISNUMBER(SEARCH("tfh*ICE*GSL*",[1]OUT_TransportEnergyCons!$A$4:$A$10000))*1,[1]OUT_TransportEnergyCons!O$4:O$10000))*1000-Q2227</f>
        <v>0</v>
      </c>
      <c r="S2228" s="3"/>
    </row>
    <row r="2229" spans="2:19" x14ac:dyDescent="0.5">
      <c r="B2229" s="5" t="str">
        <f t="shared" si="2251"/>
        <v>SPS1</v>
      </c>
      <c r="C2229" s="5" t="str">
        <f t="shared" si="2252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(SUMPRODUCT(("var_ncap"=[1]OUT_TransportEnergyCons!$B$4:$B$10000)*1,("-"=[1]OUT_TransportEnergyCons!$C$4:$C$10000)*1,ISNUMBER(SEARCH("tfh*ICE*DSL*ext",[1]OUT_TransportEnergyCons!$A$4:$A$10000))*1,[1]OUT_TransportEnergyCons!H$4:H$10000))*1000</f>
        <v>0</v>
      </c>
      <c r="K2229" s="1" cm="1">
        <f t="array" ref="K2229">(SUMPRODUCT(("var_ncap"=[1]OUT_TransportEnergyCons!$B$4:$B$10000)*1,("-"=[1]OUT_TransportEnergyCons!$C$4:$C$10000)*1,ISNUMBER(SEARCH("tfh*ICE*DSL*ext",[1]OUT_TransportEnergyCons!$A$4:$A$10000))*1,[1]OUT_TransportEnergyCons!I$4:I$10000))*1000</f>
        <v>0</v>
      </c>
      <c r="L2229" s="1" cm="1">
        <f t="array" ref="L2229">(SUMPRODUCT(("var_ncap"=[1]OUT_TransportEnergyCons!$B$4:$B$10000)*1,("-"=[1]OUT_TransportEnergyCons!$C$4:$C$10000)*1,ISNUMBER(SEARCH("tfh*ICE*DSL*ext",[1]OUT_TransportEnergyCons!$A$4:$A$10000))*1,[1]OUT_TransportEnergyCons!J$4:J$10000))*1000</f>
        <v>0</v>
      </c>
      <c r="M2229" s="1" cm="1">
        <f t="array" ref="M2229">(SUMPRODUCT(("var_ncap"=[1]OUT_TransportEnergyCons!$B$4:$B$10000)*1,("-"=[1]OUT_TransportEnergyCons!$C$4:$C$10000)*1,ISNUMBER(SEARCH("tfh*ICE*DSL*ext",[1]OUT_TransportEnergyCons!$A$4:$A$10000))*1,[1]OUT_TransportEnergyCons!K$4:K$10000))*1000</f>
        <v>0</v>
      </c>
      <c r="N2229" s="1" cm="1">
        <f t="array" ref="N2229">(SUMPRODUCT(("var_ncap"=[1]OUT_TransportEnergyCons!$B$4:$B$10000)*1,("-"=[1]OUT_TransportEnergyCons!$C$4:$C$10000)*1,ISNUMBER(SEARCH("tfh*ICE*DSL*ext",[1]OUT_TransportEnergyCons!$A$4:$A$10000))*1,[1]OUT_TransportEnergyCons!L$4:L$10000))*1000</f>
        <v>0</v>
      </c>
      <c r="O2229" s="1" cm="1">
        <f t="array" ref="O2229">(SUMPRODUCT(("var_ncap"=[1]OUT_TransportEnergyCons!$B$4:$B$10000)*1,("-"=[1]OUT_TransportEnergyCons!$C$4:$C$10000)*1,ISNUMBER(SEARCH("tfh*ICE*DSL*ext",[1]OUT_TransportEnergyCons!$A$4:$A$10000))*1,[1]OUT_TransportEnergyCons!M$4:M$10000))*1000</f>
        <v>0</v>
      </c>
      <c r="P2229" s="1" cm="1">
        <f t="array" ref="P2229">(SUMPRODUCT(("var_ncap"=[1]OUT_TransportEnergyCons!$B$4:$B$10000)*1,("-"=[1]OUT_TransportEnergyCons!$C$4:$C$10000)*1,ISNUMBER(SEARCH("tfh*ICE*DSL*ext",[1]OUT_TransportEnergyCons!$A$4:$A$10000))*1,[1]OUT_TransportEnergyCons!N$4:N$10000))*1000</f>
        <v>0</v>
      </c>
      <c r="Q2229" s="1" cm="1">
        <f t="array" ref="Q2229">(SUMPRODUCT(("var_ncap"=[1]OUT_TransportEnergyCons!$B$4:$B$10000)*1,("-"=[1]OUT_TransportEnergyCons!$C$4:$C$10000)*1,ISNUMBER(SEARCH("tfh*ICE*DSL*ext",[1]OUT_TransportEnergyCons!$A$4:$A$10000))*1,[1]OUT_TransportEnergyCons!O$4:O$10000))*1000</f>
        <v>0</v>
      </c>
      <c r="S2229" s="3"/>
    </row>
    <row r="2230" spans="2:19" x14ac:dyDescent="0.5">
      <c r="B2230" s="5" t="str">
        <f t="shared" si="2251"/>
        <v>SPS1</v>
      </c>
      <c r="C2230" s="5" t="str">
        <f t="shared" si="2252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4.1448955395646098E-4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1.4501310218235101E-3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1.40642844217855E-3</v>
      </c>
      <c r="J2230" s="1" cm="1">
        <f t="array" ref="J2230">(SUMPRODUCT(("var_ncap"=[1]OUT_TransportEnergyCons!$B$4:$B$10000)*1,("-"=[1]OUT_TransportEnergyCons!$C$4:$C$10000)*1,ISNUMBER(SEARCH("tfh*ICE*DSL*",[1]OUT_TransportEnergyCons!$A$4:$A$10000))*1,[1]OUT_TransportEnergyCons!H$4:H$10000))*1000-J2229</f>
        <v>4.1738139661498503E-4</v>
      </c>
      <c r="K2230" s="1" cm="1">
        <f t="array" ref="K2230">(SUMPRODUCT(("var_ncap"=[1]OUT_TransportEnergyCons!$B$4:$B$10000)*1,("-"=[1]OUT_TransportEnergyCons!$C$4:$C$10000)*1,ISNUMBER(SEARCH("tfh*ICE*DSL*",[1]OUT_TransportEnergyCons!$A$4:$A$10000))*1,[1]OUT_TransportEnergyCons!I$4:I$10000))*1000-K2229</f>
        <v>4.7453609030658302E-4</v>
      </c>
      <c r="L2230" s="1" cm="1">
        <f t="array" ref="L2230">(SUMPRODUCT(("var_ncap"=[1]OUT_TransportEnergyCons!$B$4:$B$10000)*1,("-"=[1]OUT_TransportEnergyCons!$C$4:$C$10000)*1,ISNUMBER(SEARCH("tfh*ICE*DSL*",[1]OUT_TransportEnergyCons!$A$4:$A$10000))*1,[1]OUT_TransportEnergyCons!J$4:J$10000))*1000-L2229</f>
        <v>6.0094191759465197E-4</v>
      </c>
      <c r="M2230" s="1" cm="1">
        <f t="array" ref="M2230">(SUMPRODUCT(("var_ncap"=[1]OUT_TransportEnergyCons!$B$4:$B$10000)*1,("-"=[1]OUT_TransportEnergyCons!$C$4:$C$10000)*1,ISNUMBER(SEARCH("tfh*ICE*DSL*",[1]OUT_TransportEnergyCons!$A$4:$A$10000))*1,[1]OUT_TransportEnergyCons!K$4:K$10000))*1000-M2229</f>
        <v>0</v>
      </c>
      <c r="N2230" s="1" cm="1">
        <f t="array" ref="N2230">(SUMPRODUCT(("var_ncap"=[1]OUT_TransportEnergyCons!$B$4:$B$10000)*1,("-"=[1]OUT_TransportEnergyCons!$C$4:$C$10000)*1,ISNUMBER(SEARCH("tfh*ICE*DSL*",[1]OUT_TransportEnergyCons!$A$4:$A$10000))*1,[1]OUT_TransportEnergyCons!L$4:L$10000))*1000-N2229</f>
        <v>0</v>
      </c>
      <c r="O2230" s="1" cm="1">
        <f t="array" ref="O2230">(SUMPRODUCT(("var_ncap"=[1]OUT_TransportEnergyCons!$B$4:$B$10000)*1,("-"=[1]OUT_TransportEnergyCons!$C$4:$C$10000)*1,ISNUMBER(SEARCH("tfh*ICE*DSL*",[1]OUT_TransportEnergyCons!$A$4:$A$10000))*1,[1]OUT_TransportEnergyCons!M$4:M$10000))*1000-O2229</f>
        <v>0</v>
      </c>
      <c r="P2230" s="1" cm="1">
        <f t="array" ref="P2230">(SUMPRODUCT(("var_ncap"=[1]OUT_TransportEnergyCons!$B$4:$B$10000)*1,("-"=[1]OUT_TransportEnergyCons!$C$4:$C$10000)*1,ISNUMBER(SEARCH("tfh*ICE*DSL*",[1]OUT_TransportEnergyCons!$A$4:$A$10000))*1,[1]OUT_TransportEnergyCons!N$4:N$10000))*1000-P2229</f>
        <v>0</v>
      </c>
      <c r="Q2230" s="1" cm="1">
        <f t="array" ref="Q2230">(SUMPRODUCT(("var_ncap"=[1]OUT_TransportEnergyCons!$B$4:$B$10000)*1,("-"=[1]OUT_TransportEnergyCons!$C$4:$C$10000)*1,ISNUMBER(SEARCH("tfh*ICE*DSL*",[1]OUT_TransportEnergyCons!$A$4:$A$10000))*1,[1]OUT_TransportEnergyCons!O$4:O$10000))*1000-Q2229</f>
        <v>0</v>
      </c>
      <c r="S2230" s="3"/>
    </row>
    <row r="2231" spans="2:19" x14ac:dyDescent="0.5">
      <c r="B2231" s="5" t="str">
        <f t="shared" si="2251"/>
        <v>SPS1</v>
      </c>
      <c r="C2231" s="5" t="str">
        <f t="shared" si="2252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9.4591337671948406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3.49972499349962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29.081982853071299</v>
      </c>
      <c r="J2231" s="1" cm="1">
        <f t="array" ref="J2231">(SUMPRODUCT(("var_ncap"=[1]OUT_TransportEnergyCons!$B$4:$B$10000)*1,("-"=[1]OUT_TransportEnergyCons!$C$4:$C$10000)*1,ISNUMBER(SEARCH("tfh*hyb*DSL*",[1]OUT_TransportEnergyCons!$A$4:$A$10000))*1,[1]OUT_TransportEnergyCons!H$4:H$10000))*1000</f>
        <v>31.599312124113503</v>
      </c>
      <c r="K2231" s="1" cm="1">
        <f t="array" ref="K2231">(SUMPRODUCT(("var_ncap"=[1]OUT_TransportEnergyCons!$B$4:$B$10000)*1,("-"=[1]OUT_TransportEnergyCons!$C$4:$C$10000)*1,ISNUMBER(SEARCH("tfh*hyb*DSL*",[1]OUT_TransportEnergyCons!$A$4:$A$10000))*1,[1]OUT_TransportEnergyCons!I$4:I$10000))*1000</f>
        <v>9.5793644865312402</v>
      </c>
      <c r="L2231" s="1" cm="1">
        <f t="array" ref="L2231">(SUMPRODUCT(("var_ncap"=[1]OUT_TransportEnergyCons!$B$4:$B$10000)*1,("-"=[1]OUT_TransportEnergyCons!$C$4:$C$10000)*1,ISNUMBER(SEARCH("tfh*hyb*DSL*",[1]OUT_TransportEnergyCons!$A$4:$A$10000))*1,[1]OUT_TransportEnergyCons!J$4:J$10000))*1000</f>
        <v>12.207556874244199</v>
      </c>
      <c r="M2231" s="1" cm="1">
        <f t="array" ref="M2231">(SUMPRODUCT(("var_ncap"=[1]OUT_TransportEnergyCons!$B$4:$B$10000)*1,("-"=[1]OUT_TransportEnergyCons!$C$4:$C$10000)*1,ISNUMBER(SEARCH("tfh*hyb*DSL*",[1]OUT_TransportEnergyCons!$A$4:$A$10000))*1,[1]OUT_TransportEnergyCons!K$4:K$10000))*1000</f>
        <v>0</v>
      </c>
      <c r="N2231" s="1" cm="1">
        <f t="array" ref="N2231">(SUMPRODUCT(("var_ncap"=[1]OUT_TransportEnergyCons!$B$4:$B$10000)*1,("-"=[1]OUT_TransportEnergyCons!$C$4:$C$10000)*1,ISNUMBER(SEARCH("tfh*hyb*DSL*",[1]OUT_TransportEnergyCons!$A$4:$A$10000))*1,[1]OUT_TransportEnergyCons!L$4:L$10000))*1000</f>
        <v>0</v>
      </c>
      <c r="O2231" s="1" cm="1">
        <f t="array" ref="O2231">(SUMPRODUCT(("var_ncap"=[1]OUT_TransportEnergyCons!$B$4:$B$10000)*1,("-"=[1]OUT_TransportEnergyCons!$C$4:$C$10000)*1,ISNUMBER(SEARCH("tfh*hyb*DSL*",[1]OUT_TransportEnergyCons!$A$4:$A$10000))*1,[1]OUT_TransportEnergyCons!M$4:M$10000))*1000</f>
        <v>0</v>
      </c>
      <c r="P2231" s="1" cm="1">
        <f t="array" ref="P2231">(SUMPRODUCT(("var_ncap"=[1]OUT_TransportEnergyCons!$B$4:$B$10000)*1,("-"=[1]OUT_TransportEnergyCons!$C$4:$C$10000)*1,ISNUMBER(SEARCH("tfh*hyb*DSL*",[1]OUT_TransportEnergyCons!$A$4:$A$10000))*1,[1]OUT_TransportEnergyCons!N$4:N$10000))*1000</f>
        <v>0</v>
      </c>
      <c r="Q2231" s="1" cm="1">
        <f t="array" ref="Q2231">(SUMPRODUCT(("var_ncap"=[1]OUT_TransportEnergyCons!$B$4:$B$10000)*1,("-"=[1]OUT_TransportEnergyCons!$C$4:$C$10000)*1,ISNUMBER(SEARCH("tfh*hyb*DSL*",[1]OUT_TransportEnergyCons!$A$4:$A$10000))*1,[1]OUT_TransportEnergyCons!O$4:O$10000))*1000</f>
        <v>0</v>
      </c>
      <c r="S2231" s="3"/>
    </row>
    <row r="2232" spans="2:19" x14ac:dyDescent="0.5">
      <c r="B2232" s="5" t="str">
        <f t="shared" si="2251"/>
        <v>SPS1</v>
      </c>
      <c r="C2232" s="5" t="str">
        <f t="shared" si="2252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1.3850636945134302E-4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2.6536573212180702E-4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1.81221037240944E-3</v>
      </c>
      <c r="J2232" s="1" cm="1">
        <f t="array" ref="J2232">(SUMPRODUCT(("var_ncap"=[1]OUT_TransportEnergyCons!$B$4:$B$10000)*1,("-"=[1]OUT_TransportEnergyCons!$C$4:$C$10000)*1,ISNUMBER(SEARCH("tfh*ice*nga*",[1]OUT_TransportEnergyCons!$A$4:$A$10000))*1,[1]OUT_TransportEnergyCons!H$4:H$10000))*1000</f>
        <v>1.9497383289165599E-3</v>
      </c>
      <c r="K2232" s="1" cm="1">
        <f t="array" ref="K2232">(SUMPRODUCT(("var_ncap"=[1]OUT_TransportEnergyCons!$B$4:$B$10000)*1,("-"=[1]OUT_TransportEnergyCons!$C$4:$C$10000)*1,ISNUMBER(SEARCH("tfh*ice*nga*",[1]OUT_TransportEnergyCons!$A$4:$A$10000))*1,[1]OUT_TransportEnergyCons!I$4:I$10000))*1000</f>
        <v>8.4550607917448293E-4</v>
      </c>
      <c r="L2232" s="1" cm="1">
        <f t="array" ref="L2232">(SUMPRODUCT(("var_ncap"=[1]OUT_TransportEnergyCons!$B$4:$B$10000)*1,("-"=[1]OUT_TransportEnergyCons!$C$4:$C$10000)*1,ISNUMBER(SEARCH("tfh*ice*nga*",[1]OUT_TransportEnergyCons!$A$4:$A$10000))*1,[1]OUT_TransportEnergyCons!J$4:J$10000))*1000</f>
        <v>1.9871182542084897E-3</v>
      </c>
      <c r="M2232" s="1" cm="1">
        <f t="array" ref="M2232">(SUMPRODUCT(("var_ncap"=[1]OUT_TransportEnergyCons!$B$4:$B$10000)*1,("-"=[1]OUT_TransportEnergyCons!$C$4:$C$10000)*1,ISNUMBER(SEARCH("tfh*ice*nga*",[1]OUT_TransportEnergyCons!$A$4:$A$10000))*1,[1]OUT_TransportEnergyCons!K$4:K$10000))*1000</f>
        <v>0</v>
      </c>
      <c r="N2232" s="1" cm="1">
        <f t="array" ref="N2232">(SUMPRODUCT(("var_ncap"=[1]OUT_TransportEnergyCons!$B$4:$B$10000)*1,("-"=[1]OUT_TransportEnergyCons!$C$4:$C$10000)*1,ISNUMBER(SEARCH("tfh*ice*nga*",[1]OUT_TransportEnergyCons!$A$4:$A$10000))*1,[1]OUT_TransportEnergyCons!L$4:L$10000))*1000</f>
        <v>0</v>
      </c>
      <c r="O2232" s="1" cm="1">
        <f t="array" ref="O2232">(SUMPRODUCT(("var_ncap"=[1]OUT_TransportEnergyCons!$B$4:$B$10000)*1,("-"=[1]OUT_TransportEnergyCons!$C$4:$C$10000)*1,ISNUMBER(SEARCH("tfh*ice*nga*",[1]OUT_TransportEnergyCons!$A$4:$A$10000))*1,[1]OUT_TransportEnergyCons!M$4:M$10000))*1000</f>
        <v>0</v>
      </c>
      <c r="P2232" s="1" cm="1">
        <f t="array" ref="P2232">(SUMPRODUCT(("var_ncap"=[1]OUT_TransportEnergyCons!$B$4:$B$10000)*1,("-"=[1]OUT_TransportEnergyCons!$C$4:$C$10000)*1,ISNUMBER(SEARCH("tfh*ice*nga*",[1]OUT_TransportEnergyCons!$A$4:$A$10000))*1,[1]OUT_TransportEnergyCons!N$4:N$10000))*1000</f>
        <v>0</v>
      </c>
      <c r="Q2232" s="1" cm="1">
        <f t="array" ref="Q2232">(SUMPRODUCT(("var_ncap"=[1]OUT_TransportEnergyCons!$B$4:$B$10000)*1,("-"=[1]OUT_TransportEnergyCons!$C$4:$C$10000)*1,ISNUMBER(SEARCH("tfh*ice*nga*",[1]OUT_TransportEnergyCons!$A$4:$A$10000))*1,[1]OUT_TransportEnergyCons!O$4:O$10000))*1000</f>
        <v>0</v>
      </c>
      <c r="S2232" s="3"/>
    </row>
    <row r="2233" spans="2:19" x14ac:dyDescent="0.5">
      <c r="B2233" s="5" t="str">
        <f>'SPS1'!B1822</f>
        <v>SPS1</v>
      </c>
      <c r="C2233" s="5" t="str">
        <f>'SPS1'!C1822</f>
        <v>CH</v>
      </c>
      <c r="D2233" s="2" t="s">
        <v>2367</v>
      </c>
      <c r="E2233" s="2" t="s">
        <v>1858</v>
      </c>
      <c r="F2233" s="3">
        <f t="shared" ref="F2233:K2233" si="2257">SUM(F2234,F2253)</f>
        <v>9.5686096018059557E-5</v>
      </c>
      <c r="G2233" s="3">
        <f t="shared" si="2257"/>
        <v>0.75962293684590276</v>
      </c>
      <c r="H2233" s="3">
        <f t="shared" si="2257"/>
        <v>0.2606288744299543</v>
      </c>
      <c r="I2233" s="3">
        <f t="shared" si="2257"/>
        <v>1.0617486452216847</v>
      </c>
      <c r="J2233" s="3">
        <f t="shared" si="2257"/>
        <v>6.6824829792216578</v>
      </c>
      <c r="K2233" s="3">
        <f t="shared" si="2257"/>
        <v>2.7153957637819564</v>
      </c>
      <c r="L2233" s="3">
        <f t="shared" ref="L2233:O2233" si="2258">SUM(L2234,L2253)</f>
        <v>1.7203929760755794</v>
      </c>
      <c r="M2233" s="3">
        <f t="shared" si="2258"/>
        <v>6.2828894946290079</v>
      </c>
      <c r="N2233" s="3">
        <f t="shared" si="2258"/>
        <v>2.2866773198932937</v>
      </c>
      <c r="O2233" s="3">
        <f t="shared" si="2258"/>
        <v>1.8264503416373141</v>
      </c>
      <c r="P2233" s="3">
        <f>SUM(P2234,P2253)</f>
        <v>5.525873754631105</v>
      </c>
      <c r="Q2233" s="3">
        <f>SUM(Q2234,Q2253)</f>
        <v>2.188608536896512</v>
      </c>
      <c r="S2233" s="3"/>
    </row>
    <row r="2234" spans="2:19" x14ac:dyDescent="0.5">
      <c r="B2234" s="5" t="str">
        <f>'SPS1'!B1822</f>
        <v>SPS1</v>
      </c>
      <c r="C2234" s="5" t="str">
        <f>'SPS1'!C1822</f>
        <v>CH</v>
      </c>
      <c r="D2234" t="s">
        <v>2368</v>
      </c>
      <c r="E2234" t="str">
        <f>E2233</f>
        <v>GWth/yr.</v>
      </c>
      <c r="F2234" s="1">
        <f t="shared" ref="F2234:K2234" si="2259">SUM(F2235,F2238,F2240,F2243,F2245,F2247,F2249,F2251)</f>
        <v>9.2402029165874523E-5</v>
      </c>
      <c r="G2234" s="1">
        <f t="shared" si="2259"/>
        <v>0.60198905827420846</v>
      </c>
      <c r="H2234" s="1">
        <f t="shared" si="2259"/>
        <v>0.1669736672563823</v>
      </c>
      <c r="I2234" s="1">
        <f t="shared" si="2259"/>
        <v>0.66154688445314613</v>
      </c>
      <c r="J2234" s="1">
        <f t="shared" si="2259"/>
        <v>5.7775041114346326</v>
      </c>
      <c r="K2234" s="1">
        <f t="shared" si="2259"/>
        <v>2.2070856549806104</v>
      </c>
      <c r="L2234" s="1">
        <f t="shared" ref="L2234:O2234" si="2260">SUM(L2235,L2238,L2240,L2243,L2245,L2247,L2249,L2251)</f>
        <v>1.3028317625471839</v>
      </c>
      <c r="M2234" s="1">
        <f t="shared" si="2260"/>
        <v>5.0562466274503661</v>
      </c>
      <c r="N2234" s="1">
        <f t="shared" si="2260"/>
        <v>1.8009455014042659</v>
      </c>
      <c r="O2234" s="1">
        <f t="shared" si="2260"/>
        <v>1.3880401221446661</v>
      </c>
      <c r="P2234" s="1">
        <f>SUM(P2235,P2238,P2240,P2243,P2245,P2247,P2249,P2251)</f>
        <v>4.5521277427738545</v>
      </c>
      <c r="Q2234" s="1">
        <f>SUM(Q2235,Q2238,Q2240,Q2243,Q2245,Q2247,Q2249,Q2251)</f>
        <v>1.7148283902940984</v>
      </c>
      <c r="S2234" s="3"/>
    </row>
    <row r="2235" spans="2:19" x14ac:dyDescent="0.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261">SUM(F2236:F2237)</f>
        <v>5.546723521227385E-7</v>
      </c>
      <c r="G2235" s="1">
        <f t="shared" si="2261"/>
        <v>0.30308797498706674</v>
      </c>
      <c r="H2235" s="1">
        <f t="shared" si="2261"/>
        <v>0.1576859393433386</v>
      </c>
      <c r="I2235" s="1">
        <f t="shared" si="2261"/>
        <v>0.61116257543539476</v>
      </c>
      <c r="J2235" s="1">
        <f t="shared" si="2261"/>
        <v>2.2840161418152425</v>
      </c>
      <c r="K2235" s="1">
        <f t="shared" si="2261"/>
        <v>0.85228317259534536</v>
      </c>
      <c r="L2235" s="1">
        <f t="shared" ref="L2235:O2235" si="2262">SUM(L2236:L2237)</f>
        <v>1.2621538386372018</v>
      </c>
      <c r="M2235" s="1">
        <f t="shared" si="2262"/>
        <v>3.3518530014118735</v>
      </c>
      <c r="N2235" s="1">
        <f t="shared" si="2262"/>
        <v>1.346108741904896</v>
      </c>
      <c r="O2235" s="1">
        <f t="shared" si="2262"/>
        <v>1.3235649407280081</v>
      </c>
      <c r="P2235" s="1">
        <f>SUM(P2236:P2237)</f>
        <v>3.2538865794029679</v>
      </c>
      <c r="Q2235" s="1">
        <f>SUM(Q2236:Q2237)</f>
        <v>1.4362516822750953</v>
      </c>
      <c r="S2235" s="3"/>
    </row>
    <row r="2236" spans="2:19" x14ac:dyDescent="0.5">
      <c r="B2236" s="5" t="str">
        <f t="shared" ref="B2236:B2267" si="2263">B2235</f>
        <v>SPS1</v>
      </c>
      <c r="C2236" s="5" t="str">
        <f t="shared" ref="C2236:C2267" si="2264">C2235</f>
        <v>CH</v>
      </c>
      <c r="D2236" t="s">
        <v>2370</v>
      </c>
      <c r="E2236" t="str">
        <f t="shared" ref="E2236:E2267" si="2265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2.349386721649957E-7</v>
      </c>
      <c r="G2236" s="1" cm="1">
        <f t="array" ref="G2236">SUMPRODUCT(([1]OUT_FinalEnergyCons!$B$4:$B$10000="var_ncap")*1,(ISNUMBER(SEARCH("RH*-SHELCBR",[1]OUT_FinalEnergyCons!$A$4:$A$10000)))*1,[1]OUT_FinalEnergyCons!E$4:E$10000)</f>
        <v>3.0198747088868817E-2</v>
      </c>
      <c r="H2236" s="1" cm="1">
        <f t="array" ref="H2236">SUMPRODUCT(([1]OUT_FinalEnergyCons!$B$4:$B$10000="var_ncap")*1,(ISNUMBER(SEARCH("RH*-SHELCBR",[1]OUT_FinalEnergyCons!$A$4:$A$10000)))*1,[1]OUT_FinalEnergyCons!F$4:F$10000)</f>
        <v>5.8123102578155903E-7</v>
      </c>
      <c r="I2236" s="1" cm="1">
        <f t="array" ref="I2236">SUMPRODUCT(([1]OUT_FinalEnergyCons!$B$4:$B$10000="var_ncap")*1,(ISNUMBER(SEARCH("RH*-SHELCBR",[1]OUT_FinalEnergyCons!$A$4:$A$10000)))*1,[1]OUT_FinalEnergyCons!G$4:G$10000)</f>
        <v>6.3532968769724204E-7</v>
      </c>
      <c r="J2236" s="1" cm="1">
        <f t="array" ref="J2236">SUMPRODUCT(([1]OUT_FinalEnergyCons!$B$4:$B$10000="var_ncap")*1,(ISNUMBER(SEARCH("RH*-SHELCBR",[1]OUT_FinalEnergyCons!$A$4:$A$10000)))*1,[1]OUT_FinalEnergyCons!H$4:H$10000)</f>
        <v>8.7195324531264412E-2</v>
      </c>
      <c r="K2236" s="1" cm="1">
        <f t="array" ref="K2236">SUMPRODUCT(([1]OUT_FinalEnergyCons!$B$4:$B$10000="var_ncap")*1,(ISNUMBER(SEARCH("RH*-SHELCBR",[1]OUT_FinalEnergyCons!$A$4:$A$10000)))*1,[1]OUT_FinalEnergyCons!I$4:I$10000)</f>
        <v>0.1024372062894955</v>
      </c>
      <c r="L2236" s="1" cm="1">
        <f t="array" ref="L2236">SUMPRODUCT(([1]OUT_FinalEnergyCons!$B$4:$B$10000="var_ncap")*1,(ISNUMBER(SEARCH("RH*-SHELCBR",[1]OUT_FinalEnergyCons!$A$4:$A$10000)))*1,[1]OUT_FinalEnergyCons!J$4:J$10000)</f>
        <v>1.2205233463238471E-2</v>
      </c>
      <c r="M2236" s="1" cm="1">
        <f t="array" ref="M2236">SUMPRODUCT(([1]OUT_FinalEnergyCons!$B$4:$B$10000="var_ncap")*1,(ISNUMBER(SEARCH("RH*-SHELCBR",[1]OUT_FinalEnergyCons!$A$4:$A$10000)))*1,[1]OUT_FinalEnergyCons!K$4:K$10000)</f>
        <v>0.11143405202193271</v>
      </c>
      <c r="N2236" s="1" cm="1">
        <f t="array" ref="N2236">SUMPRODUCT(([1]OUT_FinalEnergyCons!$B$4:$B$10000="var_ncap")*1,(ISNUMBER(SEARCH("RH*-SHELCBR",[1]OUT_FinalEnergyCons!$A$4:$A$10000)))*1,[1]OUT_FinalEnergyCons!L$4:L$10000)</f>
        <v>7.1584862597152063E-2</v>
      </c>
      <c r="O2236" s="1" cm="1">
        <f t="array" ref="O2236">SUMPRODUCT(([1]OUT_FinalEnergyCons!$B$4:$B$10000="var_ncap")*1,(ISNUMBER(SEARCH("RH*-SHELCBR",[1]OUT_FinalEnergyCons!$A$4:$A$10000)))*1,[1]OUT_FinalEnergyCons!M$4:M$10000)</f>
        <v>2.3513073832827282E-2</v>
      </c>
      <c r="P2236" s="1" cm="1">
        <f t="array" ref="P2236">SUMPRODUCT(([1]OUT_FinalEnergyCons!$B$4:$B$10000="var_ncap")*1,(ISNUMBER(SEARCH("RH*-SHELCBR",[1]OUT_FinalEnergyCons!$A$4:$A$10000)))*1,[1]OUT_FinalEnergyCons!N$4:N$10000)</f>
        <v>0.17832741813930897</v>
      </c>
      <c r="Q2236" s="1" cm="1">
        <f t="array" ref="Q2236">SUMPRODUCT(([1]OUT_FinalEnergyCons!$B$4:$B$10000="var_ncap")*1,(ISNUMBER(SEARCH("RH*-SHELCBR",[1]OUT_FinalEnergyCons!$A$4:$A$10000)))*1,[1]OUT_FinalEnergyCons!O$4:O$10000)</f>
        <v>1.5936465919804793E-4</v>
      </c>
      <c r="S2236" s="3"/>
    </row>
    <row r="2237" spans="2:19" x14ac:dyDescent="0.5">
      <c r="B2237" s="5" t="str">
        <f t="shared" si="2263"/>
        <v>SPS1</v>
      </c>
      <c r="C2237" s="5" t="str">
        <f t="shared" si="2264"/>
        <v>CH</v>
      </c>
      <c r="D2237" t="s">
        <v>2371</v>
      </c>
      <c r="E2237" t="str">
        <f t="shared" si="2265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3.1973367995774277E-7</v>
      </c>
      <c r="G2237" s="1" cm="1">
        <f t="array" ref="G2237">SUMPRODUCT(([1]OUT_FinalEnergyCons!$B$4:$B$10000="var_ncap")*1,ISNUMBER(SEARCH("RH*-SHELCHP",[1]OUT_FinalEnergyCons!$A$4:$A$10000))*1,[1]OUT_FinalEnergyCons!E$4:E$10000)</f>
        <v>0.27288922789819792</v>
      </c>
      <c r="H2237" s="1" cm="1">
        <f t="array" ref="H2237">SUMPRODUCT(([1]OUT_FinalEnergyCons!$B$4:$B$10000="var_ncap")*1,ISNUMBER(SEARCH("RH*-SHELCHP",[1]OUT_FinalEnergyCons!$A$4:$A$10000))*1,[1]OUT_FinalEnergyCons!F$4:F$10000)</f>
        <v>0.15768535811231282</v>
      </c>
      <c r="I2237" s="1" cm="1">
        <f t="array" ref="I2237">SUMPRODUCT(([1]OUT_FinalEnergyCons!$B$4:$B$10000="var_ncap")*1,ISNUMBER(SEARCH("RH*-SHELCHP",[1]OUT_FinalEnergyCons!$A$4:$A$10000))*1,[1]OUT_FinalEnergyCons!G$4:G$10000)</f>
        <v>0.61116194010570701</v>
      </c>
      <c r="J2237" s="1" cm="1">
        <f t="array" ref="J2237">SUMPRODUCT(([1]OUT_FinalEnergyCons!$B$4:$B$10000="var_ncap")*1,ISNUMBER(SEARCH("RH*-SHELCHP",[1]OUT_FinalEnergyCons!$A$4:$A$10000))*1,[1]OUT_FinalEnergyCons!H$4:H$10000)</f>
        <v>2.196820817283978</v>
      </c>
      <c r="K2237" s="1" cm="1">
        <f t="array" ref="K2237">SUMPRODUCT(([1]OUT_FinalEnergyCons!$B$4:$B$10000="var_ncap")*1,ISNUMBER(SEARCH("RH*-SHELCHP",[1]OUT_FinalEnergyCons!$A$4:$A$10000))*1,[1]OUT_FinalEnergyCons!I$4:I$10000)</f>
        <v>0.74984596630584988</v>
      </c>
      <c r="L2237" s="1" cm="1">
        <f t="array" ref="L2237">SUMPRODUCT(([1]OUT_FinalEnergyCons!$B$4:$B$10000="var_ncap")*1,ISNUMBER(SEARCH("RH*-SHELCHP",[1]OUT_FinalEnergyCons!$A$4:$A$10000))*1,[1]OUT_FinalEnergyCons!J$4:J$10000)</f>
        <v>1.2499486051739632</v>
      </c>
      <c r="M2237" s="1" cm="1">
        <f t="array" ref="M2237">SUMPRODUCT(([1]OUT_FinalEnergyCons!$B$4:$B$10000="var_ncap")*1,ISNUMBER(SEARCH("RH*-SHELCHP",[1]OUT_FinalEnergyCons!$A$4:$A$10000))*1,[1]OUT_FinalEnergyCons!K$4:K$10000)</f>
        <v>3.2404189493899409</v>
      </c>
      <c r="N2237" s="1" cm="1">
        <f t="array" ref="N2237">SUMPRODUCT(([1]OUT_FinalEnergyCons!$B$4:$B$10000="var_ncap")*1,ISNUMBER(SEARCH("RH*-SHELCHP",[1]OUT_FinalEnergyCons!$A$4:$A$10000))*1,[1]OUT_FinalEnergyCons!L$4:L$10000)</f>
        <v>1.274523879307744</v>
      </c>
      <c r="O2237" s="1" cm="1">
        <f t="array" ref="O2237">SUMPRODUCT(([1]OUT_FinalEnergyCons!$B$4:$B$10000="var_ncap")*1,ISNUMBER(SEARCH("RH*-SHELCHP",[1]OUT_FinalEnergyCons!$A$4:$A$10000))*1,[1]OUT_FinalEnergyCons!M$4:M$10000)</f>
        <v>1.3000518668951808</v>
      </c>
      <c r="P2237" s="1" cm="1">
        <f t="array" ref="P2237">SUMPRODUCT(([1]OUT_FinalEnergyCons!$B$4:$B$10000="var_ncap")*1,ISNUMBER(SEARCH("RH*-SHELCHP",[1]OUT_FinalEnergyCons!$A$4:$A$10000))*1,[1]OUT_FinalEnergyCons!N$4:N$10000)</f>
        <v>3.075559161263659</v>
      </c>
      <c r="Q2237" s="1" cm="1">
        <f t="array" ref="Q2237">SUMPRODUCT(([1]OUT_FinalEnergyCons!$B$4:$B$10000="var_ncap")*1,ISNUMBER(SEARCH("RH*-SHELCHP",[1]OUT_FinalEnergyCons!$A$4:$A$10000))*1,[1]OUT_FinalEnergyCons!O$4:O$10000)</f>
        <v>1.4360923176158973</v>
      </c>
      <c r="S2237" s="3"/>
    </row>
    <row r="2238" spans="2:19" x14ac:dyDescent="0.5">
      <c r="B2238" s="5" t="str">
        <f t="shared" si="2263"/>
        <v>SPS1</v>
      </c>
      <c r="C2238" s="5" t="str">
        <f t="shared" si="2264"/>
        <v>CH</v>
      </c>
      <c r="D2238" t="s">
        <v>2372</v>
      </c>
      <c r="E2238" t="str">
        <f t="shared" si="2265"/>
        <v>GWth/yr.</v>
      </c>
      <c r="F2238" s="1">
        <f t="shared" ref="F2238:O2238" si="2266">F2239</f>
        <v>0</v>
      </c>
      <c r="G2238" s="1">
        <f t="shared" si="2266"/>
        <v>6.8014643695675696E-8</v>
      </c>
      <c r="H2238" s="1">
        <f t="shared" si="2266"/>
        <v>7.1479873900696605E-8</v>
      </c>
      <c r="I2238" s="1">
        <f t="shared" si="2266"/>
        <v>1.7996835223673639E-7</v>
      </c>
      <c r="J2238" s="1">
        <f t="shared" si="2266"/>
        <v>0.53511221212325899</v>
      </c>
      <c r="K2238" s="1">
        <f t="shared" si="2266"/>
        <v>0.26692666984941932</v>
      </c>
      <c r="L2238" s="1">
        <f t="shared" si="2266"/>
        <v>1.4601934573370212E-6</v>
      </c>
      <c r="M2238" s="1">
        <f t="shared" si="2266"/>
        <v>0.37443020744804922</v>
      </c>
      <c r="N2238" s="1">
        <f t="shared" si="2266"/>
        <v>0.23460172492579162</v>
      </c>
      <c r="O2238" s="1">
        <f t="shared" si="2266"/>
        <v>1.2616567668327501E-6</v>
      </c>
      <c r="P2238" s="1">
        <f>P2239</f>
        <v>0.16175565075387613</v>
      </c>
      <c r="Q2238" s="1">
        <f>Q2239</f>
        <v>5.9824504223185797E-7</v>
      </c>
      <c r="S2238" s="3"/>
    </row>
    <row r="2239" spans="2:19" x14ac:dyDescent="0.5">
      <c r="B2239" s="5" t="str">
        <f t="shared" si="2263"/>
        <v>SPS1</v>
      </c>
      <c r="C2239" s="5" t="str">
        <f t="shared" si="2264"/>
        <v>CH</v>
      </c>
      <c r="D2239" t="s">
        <v>2373</v>
      </c>
      <c r="E2239" t="str">
        <f t="shared" si="2265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6.8014643695675696E-8</v>
      </c>
      <c r="H2239" s="1" cm="1">
        <f t="array" ref="H2239">SUMPRODUCT(([1]OUT_FinalEnergyCons!$B$4:$B$10000="var_ncap")*1, (ISNUMBER(SEARCH("RH*-SHLFOBR",[1]OUT_FinalEnergyCons!$A$4:$A$10000)))*1,[1]OUT_FinalEnergyCons!F$4:F$10000)</f>
        <v>7.1479873900696605E-8</v>
      </c>
      <c r="I2239" s="1" cm="1">
        <f t="array" ref="I2239">SUMPRODUCT(([1]OUT_FinalEnergyCons!$B$4:$B$10000="var_ncap")*1, (ISNUMBER(SEARCH("RH*-SHLFOBR",[1]OUT_FinalEnergyCons!$A$4:$A$10000)))*1,[1]OUT_FinalEnergyCons!G$4:G$10000)</f>
        <v>1.7996835223673639E-7</v>
      </c>
      <c r="J2239" s="1" cm="1">
        <f t="array" ref="J2239">SUMPRODUCT(([1]OUT_FinalEnergyCons!$B$4:$B$10000="var_ncap")*1, (ISNUMBER(SEARCH("RH*-SHLFOBR",[1]OUT_FinalEnergyCons!$A$4:$A$10000)))*1,[1]OUT_FinalEnergyCons!H$4:H$10000)</f>
        <v>0.53511221212325899</v>
      </c>
      <c r="K2239" s="1" cm="1">
        <f t="array" ref="K2239">SUMPRODUCT(([1]OUT_FinalEnergyCons!$B$4:$B$10000="var_ncap")*1, (ISNUMBER(SEARCH("RH*-SHLFOBR",[1]OUT_FinalEnergyCons!$A$4:$A$10000)))*1,[1]OUT_FinalEnergyCons!I$4:I$10000)</f>
        <v>0.26692666984941932</v>
      </c>
      <c r="L2239" s="1" cm="1">
        <f t="array" ref="L2239">SUMPRODUCT(([1]OUT_FinalEnergyCons!$B$4:$B$10000="var_ncap")*1, (ISNUMBER(SEARCH("RH*-SHLFOBR",[1]OUT_FinalEnergyCons!$A$4:$A$10000)))*1,[1]OUT_FinalEnergyCons!J$4:J$10000)</f>
        <v>1.4601934573370212E-6</v>
      </c>
      <c r="M2239" s="1" cm="1">
        <f t="array" ref="M2239">SUMPRODUCT(([1]OUT_FinalEnergyCons!$B$4:$B$10000="var_ncap")*1, (ISNUMBER(SEARCH("RH*-SHLFOBR",[1]OUT_FinalEnergyCons!$A$4:$A$10000)))*1,[1]OUT_FinalEnergyCons!K$4:K$10000)</f>
        <v>0.37443020744804922</v>
      </c>
      <c r="N2239" s="1" cm="1">
        <f t="array" ref="N2239">SUMPRODUCT(([1]OUT_FinalEnergyCons!$B$4:$B$10000="var_ncap")*1, (ISNUMBER(SEARCH("RH*-SHLFOBR",[1]OUT_FinalEnergyCons!$A$4:$A$10000)))*1,[1]OUT_FinalEnergyCons!L$4:L$10000)</f>
        <v>0.23460172492579162</v>
      </c>
      <c r="O2239" s="1" cm="1">
        <f t="array" ref="O2239">SUMPRODUCT(([1]OUT_FinalEnergyCons!$B$4:$B$10000="var_ncap")*1, (ISNUMBER(SEARCH("RH*-SHLFOBR",[1]OUT_FinalEnergyCons!$A$4:$A$10000)))*1,[1]OUT_FinalEnergyCons!M$4:M$10000)</f>
        <v>1.2616567668327501E-6</v>
      </c>
      <c r="P2239" s="1" cm="1">
        <f t="array" ref="P2239">SUMPRODUCT(([1]OUT_FinalEnergyCons!$B$4:$B$10000="var_ncap")*1, (ISNUMBER(SEARCH("RH*-SHLFOBR",[1]OUT_FinalEnergyCons!$A$4:$A$10000)))*1,[1]OUT_FinalEnergyCons!N$4:N$10000)</f>
        <v>0.16175565075387613</v>
      </c>
      <c r="Q2239" s="1" cm="1">
        <f t="array" ref="Q2239">SUMPRODUCT(([1]OUT_FinalEnergyCons!$B$4:$B$10000="var_ncap")*1, (ISNUMBER(SEARCH("RH*-SHLFOBR",[1]OUT_FinalEnergyCons!$A$4:$A$10000)))*1,[1]OUT_FinalEnergyCons!O$4:O$10000)</f>
        <v>5.9824504223185797E-7</v>
      </c>
      <c r="S2239" s="3"/>
    </row>
    <row r="2240" spans="2:19" x14ac:dyDescent="0.5">
      <c r="B2240" s="5" t="str">
        <f t="shared" si="2263"/>
        <v>SPS1</v>
      </c>
      <c r="C2240" s="5" t="str">
        <f t="shared" si="2264"/>
        <v>CH</v>
      </c>
      <c r="D2240" t="s">
        <v>2374</v>
      </c>
      <c r="E2240" t="str">
        <f t="shared" si="2265"/>
        <v>GWth/yr.</v>
      </c>
      <c r="F2240" s="1">
        <f t="shared" ref="F2240:K2240" si="2267">SUM(F2241:F2242)</f>
        <v>3.42308964733841E-8</v>
      </c>
      <c r="G2240" s="1">
        <f t="shared" si="2267"/>
        <v>0.23151702768377919</v>
      </c>
      <c r="H2240" s="1">
        <f t="shared" si="2267"/>
        <v>2.8646093078820299E-3</v>
      </c>
      <c r="I2240" s="1">
        <f t="shared" si="2267"/>
        <v>1.3380683425298906E-2</v>
      </c>
      <c r="J2240" s="1">
        <f t="shared" si="2267"/>
        <v>2.4133073652962871</v>
      </c>
      <c r="K2240" s="1">
        <f t="shared" si="2267"/>
        <v>0.90536337312118409</v>
      </c>
      <c r="L2240" s="1">
        <f t="shared" ref="L2240:O2240" si="2268">SUM(L2241:L2242)</f>
        <v>2.2089281995668612E-6</v>
      </c>
      <c r="M2240" s="1">
        <f t="shared" si="2268"/>
        <v>0.50590091596427111</v>
      </c>
      <c r="N2240" s="1">
        <f t="shared" si="2268"/>
        <v>9.1326464238084382E-2</v>
      </c>
      <c r="O2240" s="1">
        <f t="shared" si="2268"/>
        <v>3.7473054450465429E-4</v>
      </c>
      <c r="P2240" s="1">
        <f>SUM(P2241:P2242)</f>
        <v>0.43424947993795104</v>
      </c>
      <c r="Q2240" s="1">
        <f>SUM(Q2241:Q2242)</f>
        <v>7.8849297240335306E-2</v>
      </c>
      <c r="S2240" s="3"/>
    </row>
    <row r="2241" spans="2:19" x14ac:dyDescent="0.5">
      <c r="B2241" s="5" t="str">
        <f t="shared" si="2263"/>
        <v>SPS1</v>
      </c>
      <c r="C2241" s="5" t="str">
        <f t="shared" si="2264"/>
        <v>CH</v>
      </c>
      <c r="D2241" t="s">
        <v>2375</v>
      </c>
      <c r="E2241" t="str">
        <f t="shared" si="2265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0.23151670096162727</v>
      </c>
      <c r="H2241" s="1" cm="1">
        <f t="array" ref="H2241">SUMPRODUCT(([1]OUT_FinalEnergyCons!$B$4:$B$10000="var_ncap")*1, (ISNUMBER(SEARCH("RH*-SHNGABR",[1]OUT_FinalEnergyCons!$A$4:$A$10000)))*1,[1]OUT_FinalEnergyCons!F$4:F$10000)</f>
        <v>2.5673472079762363E-3</v>
      </c>
      <c r="I2241" s="1" cm="1">
        <f t="array" ref="I2241">SUMPRODUCT(([1]OUT_FinalEnergyCons!$B$4:$B$10000="var_ncap")*1, (ISNUMBER(SEARCH("RH*-SHNGABR",[1]OUT_FinalEnergyCons!$A$4:$A$10000)))*1,[1]OUT_FinalEnergyCons!G$4:G$10000)</f>
        <v>1.3354867030068942E-2</v>
      </c>
      <c r="J2241" s="1" cm="1">
        <f t="array" ref="J2241">SUMPRODUCT(([1]OUT_FinalEnergyCons!$B$4:$B$10000="var_ncap")*1, (ISNUMBER(SEARCH("RH*-SHNGABR",[1]OUT_FinalEnergyCons!$A$4:$A$10000)))*1,[1]OUT_FinalEnergyCons!H$4:H$10000)</f>
        <v>1.964843438352919</v>
      </c>
      <c r="K2241" s="1" cm="1">
        <f t="array" ref="K2241">SUMPRODUCT(([1]OUT_FinalEnergyCons!$B$4:$B$10000="var_ncap")*1, (ISNUMBER(SEARCH("RH*-SHNGABR",[1]OUT_FinalEnergyCons!$A$4:$A$10000)))*1,[1]OUT_FinalEnergyCons!I$4:I$10000)</f>
        <v>0.43924420970352895</v>
      </c>
      <c r="L2241" s="1" cm="1">
        <f t="array" ref="L2241">SUMPRODUCT(([1]OUT_FinalEnergyCons!$B$4:$B$10000="var_ncap")*1, (ISNUMBER(SEARCH("RH*-SHNGABR",[1]OUT_FinalEnergyCons!$A$4:$A$10000)))*1,[1]OUT_FinalEnergyCons!J$4:J$10000)</f>
        <v>5.3898289821173002E-7</v>
      </c>
      <c r="M2241" s="1" cm="1">
        <f t="array" ref="M2241">SUMPRODUCT(([1]OUT_FinalEnergyCons!$B$4:$B$10000="var_ncap")*1, (ISNUMBER(SEARCH("RH*-SHNGABR",[1]OUT_FinalEnergyCons!$A$4:$A$10000)))*1,[1]OUT_FinalEnergyCons!K$4:K$10000)</f>
        <v>0.16659913058816139</v>
      </c>
      <c r="N2241" s="1" cm="1">
        <f t="array" ref="N2241">SUMPRODUCT(([1]OUT_FinalEnergyCons!$B$4:$B$10000="var_ncap")*1, (ISNUMBER(SEARCH("RH*-SHNGABR",[1]OUT_FinalEnergyCons!$A$4:$A$10000)))*1,[1]OUT_FinalEnergyCons!L$4:L$10000)</f>
        <v>9.0874012229951506E-2</v>
      </c>
      <c r="O2241" s="1" cm="1">
        <f t="array" ref="O2241">SUMPRODUCT(([1]OUT_FinalEnergyCons!$B$4:$B$10000="var_ncap")*1, (ISNUMBER(SEARCH("RH*-SHNGABR",[1]OUT_FinalEnergyCons!$A$4:$A$10000)))*1,[1]OUT_FinalEnergyCons!M$4:M$10000)</f>
        <v>2.176920936489386E-6</v>
      </c>
      <c r="P2241" s="1" cm="1">
        <f t="array" ref="P2241">SUMPRODUCT(([1]OUT_FinalEnergyCons!$B$4:$B$10000="var_ncap")*1, (ISNUMBER(SEARCH("RH*-SHNGABR",[1]OUT_FinalEnergyCons!$A$4:$A$10000)))*1,[1]OUT_FinalEnergyCons!N$4:N$10000)</f>
        <v>0.15263143887165367</v>
      </c>
      <c r="Q2241" s="1" cm="1">
        <f t="array" ref="Q2241">SUMPRODUCT(([1]OUT_FinalEnergyCons!$B$4:$B$10000="var_ncap")*1, (ISNUMBER(SEARCH("RH*-SHNGABR",[1]OUT_FinalEnergyCons!$A$4:$A$10000)))*1,[1]OUT_FinalEnergyCons!O$4:O$10000)</f>
        <v>1.8363408210254374E-2</v>
      </c>
      <c r="S2241" s="3"/>
    </row>
    <row r="2242" spans="2:19" x14ac:dyDescent="0.5">
      <c r="B2242" s="5" t="str">
        <f t="shared" si="2263"/>
        <v>SPS1</v>
      </c>
      <c r="C2242" s="5" t="str">
        <f t="shared" si="2264"/>
        <v>CH</v>
      </c>
      <c r="D2242" t="s">
        <v>2376</v>
      </c>
      <c r="E2242" t="str">
        <f t="shared" si="2265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3.42308964733841E-8</v>
      </c>
      <c r="G2242" s="1" cm="1">
        <f t="array" ref="G2242">SUMPRODUCT(([1]OUT_FinalEnergyCons!$B$4:$B$10000="var_ncap")*1,ISNUMBER(SEARCH("RH*-SHngahp",[1]OUT_FinalEnergyCons!$A$4:$A$10000))*1,[1]OUT_FinalEnergyCons!E$4:E$10000)</f>
        <v>3.2672215192892306E-7</v>
      </c>
      <c r="H2242" s="1" cm="1">
        <f t="array" ref="H2242">SUMPRODUCT(([1]OUT_FinalEnergyCons!$B$4:$B$10000="var_ncap")*1,ISNUMBER(SEARCH("RH*-SHngahp",[1]OUT_FinalEnergyCons!$A$4:$A$10000))*1,[1]OUT_FinalEnergyCons!F$4:F$10000)</f>
        <v>2.972620999057935E-4</v>
      </c>
      <c r="I2242" s="1" cm="1">
        <f t="array" ref="I2242">SUMPRODUCT(([1]OUT_FinalEnergyCons!$B$4:$B$10000="var_ncap")*1,ISNUMBER(SEARCH("RH*-SHngahp",[1]OUT_FinalEnergyCons!$A$4:$A$10000))*1,[1]OUT_FinalEnergyCons!G$4:G$10000)</f>
        <v>2.5816395229964097E-5</v>
      </c>
      <c r="J2242" s="1" cm="1">
        <f t="array" ref="J2242">SUMPRODUCT(([1]OUT_FinalEnergyCons!$B$4:$B$10000="var_ncap")*1,ISNUMBER(SEARCH("RH*-SHngahp",[1]OUT_FinalEnergyCons!$A$4:$A$10000))*1,[1]OUT_FinalEnergyCons!H$4:H$10000)</f>
        <v>0.44846392694336823</v>
      </c>
      <c r="K2242" s="1" cm="1">
        <f t="array" ref="K2242">SUMPRODUCT(([1]OUT_FinalEnergyCons!$B$4:$B$10000="var_ncap")*1,ISNUMBER(SEARCH("RH*-SHngahp",[1]OUT_FinalEnergyCons!$A$4:$A$10000))*1,[1]OUT_FinalEnergyCons!I$4:I$10000)</f>
        <v>0.46611916341765514</v>
      </c>
      <c r="L2242" s="1" cm="1">
        <f t="array" ref="L2242">SUMPRODUCT(([1]OUT_FinalEnergyCons!$B$4:$B$10000="var_ncap")*1,ISNUMBER(SEARCH("RH*-SHngahp",[1]OUT_FinalEnergyCons!$A$4:$A$10000))*1,[1]OUT_FinalEnergyCons!J$4:J$10000)</f>
        <v>1.6699453013551311E-6</v>
      </c>
      <c r="M2242" s="1" cm="1">
        <f t="array" ref="M2242">SUMPRODUCT(([1]OUT_FinalEnergyCons!$B$4:$B$10000="var_ncap")*1,ISNUMBER(SEARCH("RH*-SHngahp",[1]OUT_FinalEnergyCons!$A$4:$A$10000))*1,[1]OUT_FinalEnergyCons!K$4:K$10000)</f>
        <v>0.33930178537610967</v>
      </c>
      <c r="N2242" s="1" cm="1">
        <f t="array" ref="N2242">SUMPRODUCT(([1]OUT_FinalEnergyCons!$B$4:$B$10000="var_ncap")*1,ISNUMBER(SEARCH("RH*-SHngahp",[1]OUT_FinalEnergyCons!$A$4:$A$10000))*1,[1]OUT_FinalEnergyCons!L$4:L$10000)</f>
        <v>4.5245200813287415E-4</v>
      </c>
      <c r="O2242" s="1" cm="1">
        <f t="array" ref="O2242">SUMPRODUCT(([1]OUT_FinalEnergyCons!$B$4:$B$10000="var_ncap")*1,ISNUMBER(SEARCH("RH*-SHngahp",[1]OUT_FinalEnergyCons!$A$4:$A$10000))*1,[1]OUT_FinalEnergyCons!M$4:M$10000)</f>
        <v>3.725536235681649E-4</v>
      </c>
      <c r="P2242" s="1" cm="1">
        <f t="array" ref="P2242">SUMPRODUCT(([1]OUT_FinalEnergyCons!$B$4:$B$10000="var_ncap")*1,ISNUMBER(SEARCH("RH*-SHngahp",[1]OUT_FinalEnergyCons!$A$4:$A$10000))*1,[1]OUT_FinalEnergyCons!N$4:N$10000)</f>
        <v>0.28161804106629734</v>
      </c>
      <c r="Q2242" s="1" cm="1">
        <f t="array" ref="Q2242">SUMPRODUCT(([1]OUT_FinalEnergyCons!$B$4:$B$10000="var_ncap")*1,ISNUMBER(SEARCH("RH*-SHngahp",[1]OUT_FinalEnergyCons!$A$4:$A$10000))*1,[1]OUT_FinalEnergyCons!O$4:O$10000)</f>
        <v>6.0485889030080932E-2</v>
      </c>
      <c r="S2242" s="3"/>
    </row>
    <row r="2243" spans="2:19" x14ac:dyDescent="0.5">
      <c r="B2243" s="5" t="str">
        <f t="shared" si="2263"/>
        <v>SPS1</v>
      </c>
      <c r="C2243" s="5" t="str">
        <f t="shared" si="2264"/>
        <v>CH</v>
      </c>
      <c r="D2243" t="s">
        <v>2377</v>
      </c>
      <c r="E2243" t="str">
        <f t="shared" si="2265"/>
        <v>GWth/yr.</v>
      </c>
      <c r="F2243" s="1">
        <f t="shared" ref="F2243:O2243" si="2269">F2244</f>
        <v>0</v>
      </c>
      <c r="G2243" s="1">
        <f t="shared" si="2269"/>
        <v>0</v>
      </c>
      <c r="H2243" s="1">
        <f t="shared" si="2269"/>
        <v>0</v>
      </c>
      <c r="I2243" s="1">
        <f t="shared" si="2269"/>
        <v>0</v>
      </c>
      <c r="J2243" s="1">
        <f t="shared" si="2269"/>
        <v>0</v>
      </c>
      <c r="K2243" s="1">
        <f t="shared" si="2269"/>
        <v>0</v>
      </c>
      <c r="L2243" s="1">
        <f t="shared" si="2269"/>
        <v>0</v>
      </c>
      <c r="M2243" s="1">
        <f t="shared" si="2269"/>
        <v>0</v>
      </c>
      <c r="N2243" s="1">
        <f t="shared" si="2269"/>
        <v>0</v>
      </c>
      <c r="O2243" s="1">
        <f t="shared" si="2269"/>
        <v>0</v>
      </c>
      <c r="P2243" s="1">
        <f>P2244</f>
        <v>0</v>
      </c>
      <c r="Q2243" s="1">
        <f>Q2244</f>
        <v>0</v>
      </c>
      <c r="S2243" s="3"/>
    </row>
    <row r="2244" spans="2:19" x14ac:dyDescent="0.5">
      <c r="B2244" s="5" t="str">
        <f t="shared" si="2263"/>
        <v>SPS1</v>
      </c>
      <c r="C2244" s="5" t="str">
        <f t="shared" si="2264"/>
        <v>CH</v>
      </c>
      <c r="D2244" t="s">
        <v>2378</v>
      </c>
      <c r="E2244" t="str">
        <f t="shared" si="2265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SUMPRODUCT(([1]OUT_FinalEnergyCons!$B$4:$B$10000="var_ncap")*1, (ISNUMBER(SEARCH("RH*-SHCOABR",[1]OUT_FinalEnergyCons!$A$4:$A$10000)))*1,[1]OUT_FinalEnergyCons!H$4:H$10000)</f>
        <v>0</v>
      </c>
      <c r="K2244" s="1" cm="1">
        <f t="array" ref="K2244">SUMPRODUCT(([1]OUT_FinalEnergyCons!$B$4:$B$10000="var_ncap")*1, (ISNUMBER(SEARCH("RH*-SHCOABR",[1]OUT_FinalEnergyCons!$A$4:$A$10000)))*1,[1]OUT_FinalEnergyCons!I$4:I$10000)</f>
        <v>0</v>
      </c>
      <c r="L2244" s="1" cm="1">
        <f t="array" ref="L2244">SUMPRODUCT(([1]OUT_FinalEnergyCons!$B$4:$B$10000="var_ncap")*1, (ISNUMBER(SEARCH("RH*-SHCOABR",[1]OUT_FinalEnergyCons!$A$4:$A$10000)))*1,[1]OUT_FinalEnergyCons!J$4:J$10000)</f>
        <v>0</v>
      </c>
      <c r="M2244" s="1" cm="1">
        <f t="array" ref="M2244">SUMPRODUCT(([1]OUT_FinalEnergyCons!$B$4:$B$10000="var_ncap")*1, (ISNUMBER(SEARCH("RH*-SHCOABR",[1]OUT_FinalEnergyCons!$A$4:$A$10000)))*1,[1]OUT_FinalEnergyCons!K$4:K$10000)</f>
        <v>0</v>
      </c>
      <c r="N2244" s="1" cm="1">
        <f t="array" ref="N2244">SUMPRODUCT(([1]OUT_FinalEnergyCons!$B$4:$B$10000="var_ncap")*1, (ISNUMBER(SEARCH("RH*-SHCOABR",[1]OUT_FinalEnergyCons!$A$4:$A$10000)))*1,[1]OUT_FinalEnergyCons!L$4:L$10000)</f>
        <v>0</v>
      </c>
      <c r="O2244" s="1" cm="1">
        <f t="array" ref="O2244">SUMPRODUCT(([1]OUT_FinalEnergyCons!$B$4:$B$10000="var_ncap")*1, (ISNUMBER(SEARCH("RH*-SHCOABR",[1]OUT_FinalEnergyCons!$A$4:$A$10000)))*1,[1]OUT_FinalEnergyCons!M$4:M$10000)</f>
        <v>0</v>
      </c>
      <c r="P2244" s="1" cm="1">
        <f t="array" ref="P2244">SUMPRODUCT(([1]OUT_FinalEnergyCons!$B$4:$B$10000="var_ncap")*1, (ISNUMBER(SEARCH("RH*-SHCOABR",[1]OUT_FinalEnergyCons!$A$4:$A$10000)))*1,[1]OUT_FinalEnergyCons!N$4:N$10000)</f>
        <v>0</v>
      </c>
      <c r="Q2244" s="1" cm="1">
        <f t="array" ref="Q2244">SUMPRODUCT(([1]OUT_FinalEnergyCons!$B$4:$B$10000="var_ncap")*1, (ISNUMBER(SEARCH("RH*-SHCOABR",[1]OUT_FinalEnergyCons!$A$4:$A$10000)))*1,[1]OUT_FinalEnergyCons!O$4:O$10000)</f>
        <v>0</v>
      </c>
      <c r="S2244" s="3"/>
    </row>
    <row r="2245" spans="2:19" x14ac:dyDescent="0.5">
      <c r="B2245" s="5" t="str">
        <f t="shared" si="2263"/>
        <v>SPS1</v>
      </c>
      <c r="C2245" s="5" t="str">
        <f t="shared" si="2264"/>
        <v>CH</v>
      </c>
      <c r="D2245" t="s">
        <v>2379</v>
      </c>
      <c r="E2245" t="str">
        <f t="shared" si="2265"/>
        <v>GWth/yr.</v>
      </c>
      <c r="F2245" s="1">
        <f t="shared" ref="F2245:O2245" si="2270">F2246</f>
        <v>7.1500190844967801E-7</v>
      </c>
      <c r="G2245" s="1">
        <f t="shared" si="2270"/>
        <v>8.2713607112624397E-3</v>
      </c>
      <c r="H2245" s="1">
        <f t="shared" si="2270"/>
        <v>6.2576519515582163E-3</v>
      </c>
      <c r="I2245" s="1">
        <f t="shared" si="2270"/>
        <v>2.5925790428760642E-2</v>
      </c>
      <c r="J2245" s="1">
        <f t="shared" si="2270"/>
        <v>0.27484639638952563</v>
      </c>
      <c r="K2245" s="1">
        <f t="shared" si="2270"/>
        <v>6.4519135421568202E-2</v>
      </c>
      <c r="L2245" s="1">
        <f t="shared" si="2270"/>
        <v>2.5096106219428579E-2</v>
      </c>
      <c r="M2245" s="1">
        <f t="shared" si="2270"/>
        <v>0.2093152489692377</v>
      </c>
      <c r="N2245" s="1">
        <f t="shared" si="2270"/>
        <v>1.4461907700885363E-2</v>
      </c>
      <c r="O2245" s="1">
        <f t="shared" si="2270"/>
        <v>1.5952177232990604E-2</v>
      </c>
      <c r="P2245" s="1">
        <f>P2246</f>
        <v>0.1641754366748871</v>
      </c>
      <c r="Q2245" s="1">
        <f>Q2246</f>
        <v>8.993938701450984E-3</v>
      </c>
      <c r="S2245" s="3"/>
    </row>
    <row r="2246" spans="2:19" x14ac:dyDescent="0.5">
      <c r="B2246" s="5" t="str">
        <f t="shared" si="2263"/>
        <v>SPS1</v>
      </c>
      <c r="C2246" s="5" t="str">
        <f t="shared" si="2264"/>
        <v>CH</v>
      </c>
      <c r="D2246" t="s">
        <v>2380</v>
      </c>
      <c r="E2246" t="str">
        <f t="shared" si="2265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7.1500190844967801E-7</v>
      </c>
      <c r="G2246" s="1" cm="1">
        <f t="array" ref="G2246">SUMPRODUCT(([1]OUT_FinalEnergyCons!$B$4:$B$10000="var_ncap")*1, (ISNUMBER(SEARCH("RH*-SHWODBR",[1]OUT_FinalEnergyCons!$A$4:$A$10000)))*1,[1]OUT_FinalEnergyCons!E$4:E$10000)</f>
        <v>8.2713607112624397E-3</v>
      </c>
      <c r="H2246" s="1" cm="1">
        <f t="array" ref="H2246">SUMPRODUCT(([1]OUT_FinalEnergyCons!$B$4:$B$10000="var_ncap")*1, (ISNUMBER(SEARCH("RH*-SHWODBR",[1]OUT_FinalEnergyCons!$A$4:$A$10000)))*1,[1]OUT_FinalEnergyCons!F$4:F$10000)</f>
        <v>6.2576519515582163E-3</v>
      </c>
      <c r="I2246" s="1" cm="1">
        <f t="array" ref="I2246">SUMPRODUCT(([1]OUT_FinalEnergyCons!$B$4:$B$10000="var_ncap")*1, (ISNUMBER(SEARCH("RH*-SHWODBR",[1]OUT_FinalEnergyCons!$A$4:$A$10000)))*1,[1]OUT_FinalEnergyCons!G$4:G$10000)</f>
        <v>2.5925790428760642E-2</v>
      </c>
      <c r="J2246" s="1" cm="1">
        <f t="array" ref="J2246">SUMPRODUCT(([1]OUT_FinalEnergyCons!$B$4:$B$10000="var_ncap")*1, (ISNUMBER(SEARCH("RH*-SHWODBR",[1]OUT_FinalEnergyCons!$A$4:$A$10000)))*1,[1]OUT_FinalEnergyCons!H$4:H$10000)</f>
        <v>0.27484639638952563</v>
      </c>
      <c r="K2246" s="1" cm="1">
        <f t="array" ref="K2246">SUMPRODUCT(([1]OUT_FinalEnergyCons!$B$4:$B$10000="var_ncap")*1, (ISNUMBER(SEARCH("RH*-SHWODBR",[1]OUT_FinalEnergyCons!$A$4:$A$10000)))*1,[1]OUT_FinalEnergyCons!I$4:I$10000)</f>
        <v>6.4519135421568202E-2</v>
      </c>
      <c r="L2246" s="1" cm="1">
        <f t="array" ref="L2246">SUMPRODUCT(([1]OUT_FinalEnergyCons!$B$4:$B$10000="var_ncap")*1, (ISNUMBER(SEARCH("RH*-SHWODBR",[1]OUT_FinalEnergyCons!$A$4:$A$10000)))*1,[1]OUT_FinalEnergyCons!J$4:J$10000)</f>
        <v>2.5096106219428579E-2</v>
      </c>
      <c r="M2246" s="1" cm="1">
        <f t="array" ref="M2246">SUMPRODUCT(([1]OUT_FinalEnergyCons!$B$4:$B$10000="var_ncap")*1, (ISNUMBER(SEARCH("RH*-SHWODBR",[1]OUT_FinalEnergyCons!$A$4:$A$10000)))*1,[1]OUT_FinalEnergyCons!K$4:K$10000)</f>
        <v>0.2093152489692377</v>
      </c>
      <c r="N2246" s="1" cm="1">
        <f t="array" ref="N2246">SUMPRODUCT(([1]OUT_FinalEnergyCons!$B$4:$B$10000="var_ncap")*1, (ISNUMBER(SEARCH("RH*-SHWODBR",[1]OUT_FinalEnergyCons!$A$4:$A$10000)))*1,[1]OUT_FinalEnergyCons!L$4:L$10000)</f>
        <v>1.4461907700885363E-2</v>
      </c>
      <c r="O2246" s="1" cm="1">
        <f t="array" ref="O2246">SUMPRODUCT(([1]OUT_FinalEnergyCons!$B$4:$B$10000="var_ncap")*1, (ISNUMBER(SEARCH("RH*-SHWODBR",[1]OUT_FinalEnergyCons!$A$4:$A$10000)))*1,[1]OUT_FinalEnergyCons!M$4:M$10000)</f>
        <v>1.5952177232990604E-2</v>
      </c>
      <c r="P2246" s="1" cm="1">
        <f t="array" ref="P2246">SUMPRODUCT(([1]OUT_FinalEnergyCons!$B$4:$B$10000="var_ncap")*1, (ISNUMBER(SEARCH("RH*-SHWODBR",[1]OUT_FinalEnergyCons!$A$4:$A$10000)))*1,[1]OUT_FinalEnergyCons!N$4:N$10000)</f>
        <v>0.1641754366748871</v>
      </c>
      <c r="Q2246" s="1" cm="1">
        <f t="array" ref="Q2246">SUMPRODUCT(([1]OUT_FinalEnergyCons!$B$4:$B$10000="var_ncap")*1, (ISNUMBER(SEARCH("RH*-SHWODBR",[1]OUT_FinalEnergyCons!$A$4:$A$10000)))*1,[1]OUT_FinalEnergyCons!O$4:O$10000)</f>
        <v>8.993938701450984E-3</v>
      </c>
      <c r="S2246" s="3"/>
    </row>
    <row r="2247" spans="2:19" x14ac:dyDescent="0.5">
      <c r="B2247" s="5" t="str">
        <f t="shared" si="2263"/>
        <v>SPS1</v>
      </c>
      <c r="C2247" s="5" t="str">
        <f t="shared" si="2264"/>
        <v>CH</v>
      </c>
      <c r="D2247" t="s">
        <v>2381</v>
      </c>
      <c r="E2247" t="str">
        <f t="shared" si="2265"/>
        <v>GWth/yr.</v>
      </c>
      <c r="F2247" s="1">
        <f t="shared" ref="F2247:O2247" si="2271">F2248</f>
        <v>8.5212036906402898E-5</v>
      </c>
      <c r="G2247" s="1">
        <f t="shared" si="2271"/>
        <v>3.5975499810472572E-2</v>
      </c>
      <c r="H2247" s="1">
        <f t="shared" si="2271"/>
        <v>1.4276601745402998E-4</v>
      </c>
      <c r="I2247" s="1">
        <f t="shared" si="2271"/>
        <v>1.0956382164186157E-2</v>
      </c>
      <c r="J2247" s="1">
        <f t="shared" si="2271"/>
        <v>0.17787358348723825</v>
      </c>
      <c r="K2247" s="1">
        <f t="shared" si="2271"/>
        <v>8.0127865583060828E-2</v>
      </c>
      <c r="L2247" s="1">
        <f t="shared" si="2271"/>
        <v>1.5570397852116271E-2</v>
      </c>
      <c r="M2247" s="1">
        <f t="shared" si="2271"/>
        <v>0.18350040660107142</v>
      </c>
      <c r="N2247" s="1">
        <f t="shared" si="2271"/>
        <v>7.4203850779504005E-2</v>
      </c>
      <c r="O2247" s="1">
        <f t="shared" si="2271"/>
        <v>3.0493177324158332E-2</v>
      </c>
      <c r="P2247" s="1">
        <f>P2248</f>
        <v>0.17520510351628518</v>
      </c>
      <c r="Q2247" s="1">
        <f>Q2248</f>
        <v>8.9823808262825169E-2</v>
      </c>
      <c r="S2247" s="3"/>
    </row>
    <row r="2248" spans="2:19" x14ac:dyDescent="0.5">
      <c r="B2248" s="5" t="str">
        <f t="shared" si="2263"/>
        <v>SPS1</v>
      </c>
      <c r="C2248" s="5" t="str">
        <f t="shared" si="2264"/>
        <v>CH</v>
      </c>
      <c r="D2248" t="s">
        <v>2382</v>
      </c>
      <c r="E2248" t="str">
        <f t="shared" si="2265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8.5212036906402898E-5</v>
      </c>
      <c r="G2248" s="1" cm="1">
        <f t="array" ref="G2248">SUMPRODUCT(([1]OUT_FinalEnergyCons!$B$4:$B$10000="var_ncap")*1, (ISNUMBER(SEARCH("RH*-SHPLTBR",[1]OUT_FinalEnergyCons!$A$4:$A$10000)))*1,[1]OUT_FinalEnergyCons!E$4:E$10000)</f>
        <v>3.5975499810472572E-2</v>
      </c>
      <c r="H2248" s="1" cm="1">
        <f t="array" ref="H2248">SUMPRODUCT(([1]OUT_FinalEnergyCons!$B$4:$B$10000="var_ncap")*1, (ISNUMBER(SEARCH("RH*-SHPLTBR",[1]OUT_FinalEnergyCons!$A$4:$A$10000)))*1,[1]OUT_FinalEnergyCons!F$4:F$10000)</f>
        <v>1.4276601745402998E-4</v>
      </c>
      <c r="I2248" s="1" cm="1">
        <f t="array" ref="I2248">SUMPRODUCT(([1]OUT_FinalEnergyCons!$B$4:$B$10000="var_ncap")*1, (ISNUMBER(SEARCH("RH*-SHPLTBR",[1]OUT_FinalEnergyCons!$A$4:$A$10000)))*1,[1]OUT_FinalEnergyCons!G$4:G$10000)</f>
        <v>1.0956382164186157E-2</v>
      </c>
      <c r="J2248" s="1" cm="1">
        <f t="array" ref="J2248">SUMPRODUCT(([1]OUT_FinalEnergyCons!$B$4:$B$10000="var_ncap")*1, (ISNUMBER(SEARCH("RH*-SHPLTBR",[1]OUT_FinalEnergyCons!$A$4:$A$10000)))*1,[1]OUT_FinalEnergyCons!H$4:H$10000)</f>
        <v>0.17787358348723825</v>
      </c>
      <c r="K2248" s="1" cm="1">
        <f t="array" ref="K2248">SUMPRODUCT(([1]OUT_FinalEnergyCons!$B$4:$B$10000="var_ncap")*1, (ISNUMBER(SEARCH("RH*-SHPLTBR",[1]OUT_FinalEnergyCons!$A$4:$A$10000)))*1,[1]OUT_FinalEnergyCons!I$4:I$10000)</f>
        <v>8.0127865583060828E-2</v>
      </c>
      <c r="L2248" s="1" cm="1">
        <f t="array" ref="L2248">SUMPRODUCT(([1]OUT_FinalEnergyCons!$B$4:$B$10000="var_ncap")*1, (ISNUMBER(SEARCH("RH*-SHPLTBR",[1]OUT_FinalEnergyCons!$A$4:$A$10000)))*1,[1]OUT_FinalEnergyCons!J$4:J$10000)</f>
        <v>1.5570397852116271E-2</v>
      </c>
      <c r="M2248" s="1" cm="1">
        <f t="array" ref="M2248">SUMPRODUCT(([1]OUT_FinalEnergyCons!$B$4:$B$10000="var_ncap")*1, (ISNUMBER(SEARCH("RH*-SHPLTBR",[1]OUT_FinalEnergyCons!$A$4:$A$10000)))*1,[1]OUT_FinalEnergyCons!K$4:K$10000)</f>
        <v>0.18350040660107142</v>
      </c>
      <c r="N2248" s="1" cm="1">
        <f t="array" ref="N2248">SUMPRODUCT(([1]OUT_FinalEnergyCons!$B$4:$B$10000="var_ncap")*1, (ISNUMBER(SEARCH("RH*-SHPLTBR",[1]OUT_FinalEnergyCons!$A$4:$A$10000)))*1,[1]OUT_FinalEnergyCons!L$4:L$10000)</f>
        <v>7.4203850779504005E-2</v>
      </c>
      <c r="O2248" s="1" cm="1">
        <f t="array" ref="O2248">SUMPRODUCT(([1]OUT_FinalEnergyCons!$B$4:$B$10000="var_ncap")*1, (ISNUMBER(SEARCH("RH*-SHPLTBR",[1]OUT_FinalEnergyCons!$A$4:$A$10000)))*1,[1]OUT_FinalEnergyCons!M$4:M$10000)</f>
        <v>3.0493177324158332E-2</v>
      </c>
      <c r="P2248" s="1" cm="1">
        <f t="array" ref="P2248">SUMPRODUCT(([1]OUT_FinalEnergyCons!$B$4:$B$10000="var_ncap")*1, (ISNUMBER(SEARCH("RH*-SHPLTBR",[1]OUT_FinalEnergyCons!$A$4:$A$10000)))*1,[1]OUT_FinalEnergyCons!N$4:N$10000)</f>
        <v>0.17520510351628518</v>
      </c>
      <c r="Q2248" s="1" cm="1">
        <f t="array" ref="Q2248">SUMPRODUCT(([1]OUT_FinalEnergyCons!$B$4:$B$10000="var_ncap")*1, (ISNUMBER(SEARCH("RH*-SHPLTBR",[1]OUT_FinalEnergyCons!$A$4:$A$10000)))*1,[1]OUT_FinalEnergyCons!O$4:O$10000)</f>
        <v>8.9823808262825169E-2</v>
      </c>
      <c r="S2248" s="3"/>
    </row>
    <row r="2249" spans="2:19" x14ac:dyDescent="0.5">
      <c r="B2249" s="5" t="str">
        <f t="shared" si="2263"/>
        <v>SPS1</v>
      </c>
      <c r="C2249" s="5" t="str">
        <f t="shared" si="2264"/>
        <v>CH</v>
      </c>
      <c r="D2249" t="s">
        <v>2383</v>
      </c>
      <c r="E2249" t="str">
        <f t="shared" si="2265"/>
        <v>GWth/yr.</v>
      </c>
      <c r="F2249" s="1">
        <f t="shared" ref="F2249:O2249" si="2272">F2250</f>
        <v>5.8860871024258198E-6</v>
      </c>
      <c r="G2249" s="1">
        <f t="shared" si="2272"/>
        <v>2.3137127066983842E-2</v>
      </c>
      <c r="H2249" s="1">
        <f t="shared" si="2272"/>
        <v>2.262915627549157E-5</v>
      </c>
      <c r="I2249" s="1">
        <f t="shared" si="2272"/>
        <v>1.2127303115351254E-4</v>
      </c>
      <c r="J2249" s="1">
        <f t="shared" si="2272"/>
        <v>9.234841232307972E-2</v>
      </c>
      <c r="K2249" s="1">
        <f t="shared" si="2272"/>
        <v>3.7865438410032176E-2</v>
      </c>
      <c r="L2249" s="1">
        <f t="shared" si="2272"/>
        <v>7.7507167805283593E-6</v>
      </c>
      <c r="M2249" s="1">
        <f t="shared" si="2272"/>
        <v>0.4312468470558638</v>
      </c>
      <c r="N2249" s="1">
        <f t="shared" si="2272"/>
        <v>4.0242811855104442E-2</v>
      </c>
      <c r="O2249" s="1">
        <f t="shared" si="2272"/>
        <v>1.7653834658237388E-2</v>
      </c>
      <c r="P2249" s="1">
        <f>P2250</f>
        <v>0.36285549248788734</v>
      </c>
      <c r="Q2249" s="1">
        <f>Q2250</f>
        <v>0.10090906556934939</v>
      </c>
      <c r="S2249" s="3"/>
    </row>
    <row r="2250" spans="2:19" x14ac:dyDescent="0.5">
      <c r="B2250" s="5" t="str">
        <f t="shared" si="2263"/>
        <v>SPS1</v>
      </c>
      <c r="C2250" s="5" t="str">
        <f t="shared" si="2264"/>
        <v>CH</v>
      </c>
      <c r="D2250" t="s">
        <v>2384</v>
      </c>
      <c r="E2250" t="str">
        <f t="shared" si="2265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5.8860871024258198E-6</v>
      </c>
      <c r="G2250" s="1" cm="1">
        <f t="array" ref="G2250">SUMPRODUCT(([1]OUT_FinalEnergyCons!$B$4:$B$10000="var_ncap")*1, (ISNUMBER(SEARCH("RH*-SHSOLBR",[1]OUT_FinalEnergyCons!$A$4:$A$10000)))*1,[1]OUT_FinalEnergyCons!E$4:E$10000)</f>
        <v>2.3137127066983842E-2</v>
      </c>
      <c r="H2250" s="1" cm="1">
        <f t="array" ref="H2250">SUMPRODUCT(([1]OUT_FinalEnergyCons!$B$4:$B$10000="var_ncap")*1, (ISNUMBER(SEARCH("RH*-SHSOLBR",[1]OUT_FinalEnergyCons!$A$4:$A$10000)))*1,[1]OUT_FinalEnergyCons!F$4:F$10000)</f>
        <v>2.262915627549157E-5</v>
      </c>
      <c r="I2250" s="1" cm="1">
        <f t="array" ref="I2250">SUMPRODUCT(([1]OUT_FinalEnergyCons!$B$4:$B$10000="var_ncap")*1, (ISNUMBER(SEARCH("RH*-SHSOLBR",[1]OUT_FinalEnergyCons!$A$4:$A$10000)))*1,[1]OUT_FinalEnergyCons!G$4:G$10000)</f>
        <v>1.2127303115351254E-4</v>
      </c>
      <c r="J2250" s="1" cm="1">
        <f t="array" ref="J2250">SUMPRODUCT(([1]OUT_FinalEnergyCons!$B$4:$B$10000="var_ncap")*1, (ISNUMBER(SEARCH("RH*-SHSOLBR",[1]OUT_FinalEnergyCons!$A$4:$A$10000)))*1,[1]OUT_FinalEnergyCons!H$4:H$10000)</f>
        <v>9.234841232307972E-2</v>
      </c>
      <c r="K2250" s="1" cm="1">
        <f t="array" ref="K2250">SUMPRODUCT(([1]OUT_FinalEnergyCons!$B$4:$B$10000="var_ncap")*1, (ISNUMBER(SEARCH("RH*-SHSOLBR",[1]OUT_FinalEnergyCons!$A$4:$A$10000)))*1,[1]OUT_FinalEnergyCons!I$4:I$10000)</f>
        <v>3.7865438410032176E-2</v>
      </c>
      <c r="L2250" s="1" cm="1">
        <f t="array" ref="L2250">SUMPRODUCT(([1]OUT_FinalEnergyCons!$B$4:$B$10000="var_ncap")*1, (ISNUMBER(SEARCH("RH*-SHSOLBR",[1]OUT_FinalEnergyCons!$A$4:$A$10000)))*1,[1]OUT_FinalEnergyCons!J$4:J$10000)</f>
        <v>7.7507167805283593E-6</v>
      </c>
      <c r="M2250" s="1" cm="1">
        <f t="array" ref="M2250">SUMPRODUCT(([1]OUT_FinalEnergyCons!$B$4:$B$10000="var_ncap")*1, (ISNUMBER(SEARCH("RH*-SHSOLBR",[1]OUT_FinalEnergyCons!$A$4:$A$10000)))*1,[1]OUT_FinalEnergyCons!K$4:K$10000)</f>
        <v>0.4312468470558638</v>
      </c>
      <c r="N2250" s="1" cm="1">
        <f t="array" ref="N2250">SUMPRODUCT(([1]OUT_FinalEnergyCons!$B$4:$B$10000="var_ncap")*1, (ISNUMBER(SEARCH("RH*-SHSOLBR",[1]OUT_FinalEnergyCons!$A$4:$A$10000)))*1,[1]OUT_FinalEnergyCons!L$4:L$10000)</f>
        <v>4.0242811855104442E-2</v>
      </c>
      <c r="O2250" s="1" cm="1">
        <f t="array" ref="O2250">SUMPRODUCT(([1]OUT_FinalEnergyCons!$B$4:$B$10000="var_ncap")*1, (ISNUMBER(SEARCH("RH*-SHSOLBR",[1]OUT_FinalEnergyCons!$A$4:$A$10000)))*1,[1]OUT_FinalEnergyCons!M$4:M$10000)</f>
        <v>1.7653834658237388E-2</v>
      </c>
      <c r="P2250" s="1" cm="1">
        <f t="array" ref="P2250">SUMPRODUCT(([1]OUT_FinalEnergyCons!$B$4:$B$10000="var_ncap")*1, (ISNUMBER(SEARCH("RH*-SHSOLBR",[1]OUT_FinalEnergyCons!$A$4:$A$10000)))*1,[1]OUT_FinalEnergyCons!N$4:N$10000)</f>
        <v>0.36285549248788734</v>
      </c>
      <c r="Q2250" s="1" cm="1">
        <f t="array" ref="Q2250">SUMPRODUCT(([1]OUT_FinalEnergyCons!$B$4:$B$10000="var_ncap")*1, (ISNUMBER(SEARCH("RH*-SHSOLBR",[1]OUT_FinalEnergyCons!$A$4:$A$10000)))*1,[1]OUT_FinalEnergyCons!O$4:O$10000)</f>
        <v>0.10090906556934939</v>
      </c>
      <c r="S2250" s="3"/>
    </row>
    <row r="2251" spans="2:19" x14ac:dyDescent="0.5">
      <c r="B2251" s="5" t="str">
        <f t="shared" si="2263"/>
        <v>SPS1</v>
      </c>
      <c r="C2251" s="5" t="str">
        <f t="shared" si="2264"/>
        <v>CH</v>
      </c>
      <c r="D2251" t="s">
        <v>2385</v>
      </c>
      <c r="E2251" t="str">
        <f t="shared" si="2265"/>
        <v>GWth/yr.</v>
      </c>
      <c r="F2251" s="1">
        <f t="shared" ref="F2251:O2251" si="2273">F2252</f>
        <v>0</v>
      </c>
      <c r="G2251" s="1">
        <f t="shared" si="2273"/>
        <v>0</v>
      </c>
      <c r="H2251" s="1">
        <f t="shared" si="2273"/>
        <v>0</v>
      </c>
      <c r="I2251" s="1">
        <f t="shared" si="2273"/>
        <v>0</v>
      </c>
      <c r="J2251" s="1">
        <f t="shared" si="2273"/>
        <v>0</v>
      </c>
      <c r="K2251" s="1">
        <f t="shared" si="2273"/>
        <v>0</v>
      </c>
      <c r="L2251" s="1">
        <f t="shared" si="2273"/>
        <v>0</v>
      </c>
      <c r="M2251" s="1">
        <f t="shared" si="2273"/>
        <v>0</v>
      </c>
      <c r="N2251" s="1">
        <f t="shared" si="2273"/>
        <v>0</v>
      </c>
      <c r="O2251" s="1">
        <f t="shared" si="2273"/>
        <v>0</v>
      </c>
      <c r="P2251" s="1">
        <f>P2252</f>
        <v>0</v>
      </c>
      <c r="Q2251" s="1">
        <f>Q2252</f>
        <v>0</v>
      </c>
      <c r="S2251" s="3"/>
    </row>
    <row r="2252" spans="2:19" x14ac:dyDescent="0.5">
      <c r="B2252" s="5" t="str">
        <f t="shared" si="2263"/>
        <v>SPS1</v>
      </c>
      <c r="C2252" s="5" t="str">
        <f t="shared" si="2264"/>
        <v>CH</v>
      </c>
      <c r="D2252" t="s">
        <v>2386</v>
      </c>
      <c r="E2252" t="str">
        <f t="shared" si="2265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SUMPRODUCT(([1]OUT_FinalEnergyCons!$B$4:$B$10000="var_ncap")*1, (ISNUMBER(SEARCH("RH*-SHH2BR",[1]OUT_FinalEnergyCons!$A$4:$A$10000)))*1,[1]OUT_FinalEnergyCons!H$4:H$10000)</f>
        <v>0</v>
      </c>
      <c r="K2252" s="1" cm="1">
        <f t="array" ref="K2252">SUMPRODUCT(([1]OUT_FinalEnergyCons!$B$4:$B$10000="var_ncap")*1, (ISNUMBER(SEARCH("RH*-SHH2BR",[1]OUT_FinalEnergyCons!$A$4:$A$10000)))*1,[1]OUT_FinalEnergyCons!I$4:I$10000)</f>
        <v>0</v>
      </c>
      <c r="L2252" s="1" cm="1">
        <f t="array" ref="L2252">SUMPRODUCT(([1]OUT_FinalEnergyCons!$B$4:$B$10000="var_ncap")*1, (ISNUMBER(SEARCH("RH*-SHH2BR",[1]OUT_FinalEnergyCons!$A$4:$A$10000)))*1,[1]OUT_FinalEnergyCons!J$4:J$10000)</f>
        <v>0</v>
      </c>
      <c r="M2252" s="1" cm="1">
        <f t="array" ref="M2252">SUMPRODUCT(([1]OUT_FinalEnergyCons!$B$4:$B$10000="var_ncap")*1, (ISNUMBER(SEARCH("RH*-SHH2BR",[1]OUT_FinalEnergyCons!$A$4:$A$10000)))*1,[1]OUT_FinalEnergyCons!K$4:K$10000)</f>
        <v>0</v>
      </c>
      <c r="N2252" s="1" cm="1">
        <f t="array" ref="N2252">SUMPRODUCT(([1]OUT_FinalEnergyCons!$B$4:$B$10000="var_ncap")*1, (ISNUMBER(SEARCH("RH*-SHH2BR",[1]OUT_FinalEnergyCons!$A$4:$A$10000)))*1,[1]OUT_FinalEnergyCons!L$4:L$10000)</f>
        <v>0</v>
      </c>
      <c r="O2252" s="1" cm="1">
        <f t="array" ref="O2252">SUMPRODUCT(([1]OUT_FinalEnergyCons!$B$4:$B$10000="var_ncap")*1, (ISNUMBER(SEARCH("RH*-SHH2BR",[1]OUT_FinalEnergyCons!$A$4:$A$10000)))*1,[1]OUT_FinalEnergyCons!M$4:M$10000)</f>
        <v>0</v>
      </c>
      <c r="P2252" s="1" cm="1">
        <f t="array" ref="P2252">SUMPRODUCT(([1]OUT_FinalEnergyCons!$B$4:$B$10000="var_ncap")*1, (ISNUMBER(SEARCH("RH*-SHH2BR",[1]OUT_FinalEnergyCons!$A$4:$A$10000)))*1,[1]OUT_FinalEnergyCons!N$4:N$10000)</f>
        <v>0</v>
      </c>
      <c r="Q2252" s="1" cm="1">
        <f t="array" ref="Q2252">SUMPRODUCT(([1]OUT_FinalEnergyCons!$B$4:$B$10000="var_ncap")*1, (ISNUMBER(SEARCH("RH*-SHH2BR",[1]OUT_FinalEnergyCons!$A$4:$A$10000)))*1,[1]OUT_FinalEnergyCons!O$4:O$10000)</f>
        <v>0</v>
      </c>
      <c r="S2252" s="3"/>
    </row>
    <row r="2253" spans="2:19" x14ac:dyDescent="0.5">
      <c r="B2253" s="5" t="str">
        <f t="shared" si="2263"/>
        <v>SPS1</v>
      </c>
      <c r="C2253" s="5" t="str">
        <f t="shared" si="2264"/>
        <v>CH</v>
      </c>
      <c r="D2253" t="s">
        <v>2387</v>
      </c>
      <c r="E2253" t="str">
        <f t="shared" si="2265"/>
        <v>GWth/yr.</v>
      </c>
      <c r="F2253" s="1">
        <f t="shared" ref="F2253:K2253" si="2274">SUM(F2254,F2257,F2259,F2262,F2264,F2266,F2268,F2270)</f>
        <v>3.2840668521850399E-6</v>
      </c>
      <c r="G2253" s="1">
        <f t="shared" si="2274"/>
        <v>0.15763387857169431</v>
      </c>
      <c r="H2253" s="1">
        <f t="shared" si="2274"/>
        <v>9.3655207173572008E-2</v>
      </c>
      <c r="I2253" s="1">
        <f t="shared" si="2274"/>
        <v>0.40020176076853847</v>
      </c>
      <c r="J2253" s="1">
        <f t="shared" si="2274"/>
        <v>0.90497886778702552</v>
      </c>
      <c r="K2253" s="1">
        <f t="shared" si="2274"/>
        <v>0.50831010880134586</v>
      </c>
      <c r="L2253" s="1">
        <f t="shared" ref="L2253:O2253" si="2275">SUM(L2254,L2257,L2259,L2262,L2264,L2266,L2268,L2270)</f>
        <v>0.41756121352839537</v>
      </c>
      <c r="M2253" s="1">
        <f t="shared" si="2275"/>
        <v>1.2266428671786418</v>
      </c>
      <c r="N2253" s="1">
        <f t="shared" si="2275"/>
        <v>0.48573181848902791</v>
      </c>
      <c r="O2253" s="1">
        <f t="shared" si="2275"/>
        <v>0.43841021949264802</v>
      </c>
      <c r="P2253" s="1">
        <f>SUM(P2254,P2257,P2259,P2262,P2264,P2266,P2268,P2270)</f>
        <v>0.97374601185725007</v>
      </c>
      <c r="Q2253" s="1">
        <f>SUM(Q2254,Q2257,Q2259,Q2262,Q2264,Q2266,Q2268,Q2270)</f>
        <v>0.47378014660241347</v>
      </c>
      <c r="S2253" s="3"/>
    </row>
    <row r="2254" spans="2:19" x14ac:dyDescent="0.5">
      <c r="B2254" s="5" t="str">
        <f t="shared" si="2263"/>
        <v>SPS1</v>
      </c>
      <c r="C2254" s="5" t="str">
        <f t="shared" si="2264"/>
        <v>CH</v>
      </c>
      <c r="D2254" t="s">
        <v>2388</v>
      </c>
      <c r="E2254" t="str">
        <f t="shared" si="2265"/>
        <v>GWth/yr.</v>
      </c>
      <c r="F2254" s="1">
        <f t="shared" ref="F2254:K2254" si="2276">SUM(F2255:F2256)</f>
        <v>3.2840668521850399E-6</v>
      </c>
      <c r="G2254" s="1">
        <f t="shared" si="2276"/>
        <v>6.8015206937858397E-2</v>
      </c>
      <c r="H2254" s="1">
        <f t="shared" si="2276"/>
        <v>9.3593761572353093E-2</v>
      </c>
      <c r="I2254" s="1">
        <f t="shared" si="2276"/>
        <v>0.16568378302671277</v>
      </c>
      <c r="J2254" s="1">
        <f t="shared" si="2276"/>
        <v>0.4949553023452089</v>
      </c>
      <c r="K2254" s="1">
        <f t="shared" si="2276"/>
        <v>0.2571421404197789</v>
      </c>
      <c r="L2254" s="1">
        <f t="shared" ref="L2254:O2254" si="2277">SUM(L2255:L2256)</f>
        <v>0.39290265183999196</v>
      </c>
      <c r="M2254" s="1">
        <f t="shared" si="2277"/>
        <v>0.58206512301535551</v>
      </c>
      <c r="N2254" s="1">
        <f t="shared" si="2277"/>
        <v>0.40909664341298796</v>
      </c>
      <c r="O2254" s="1">
        <f t="shared" si="2277"/>
        <v>0.39216524744847647</v>
      </c>
      <c r="P2254" s="1">
        <f>SUM(P2255:P2256)</f>
        <v>0.559700113892729</v>
      </c>
      <c r="Q2254" s="1">
        <f>SUM(Q2255:Q2256)</f>
        <v>0.43611658640694706</v>
      </c>
      <c r="S2254" s="3"/>
    </row>
    <row r="2255" spans="2:19" x14ac:dyDescent="0.5">
      <c r="B2255" s="5" t="str">
        <f t="shared" si="2263"/>
        <v>SPS1</v>
      </c>
      <c r="C2255" s="5" t="str">
        <f t="shared" si="2264"/>
        <v>CH</v>
      </c>
      <c r="D2255" t="s">
        <v>2389</v>
      </c>
      <c r="E2255" t="str">
        <f t="shared" si="2265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1.5672863707882299E-6</v>
      </c>
      <c r="G2255" s="1" cm="1">
        <f t="array" ref="G2255">SUMPRODUCT(([1]OUT_FinalEnergyCons!$B$4:$B$10000="var_ncap")*1,(ISNUMBER(SEARCH("RH*-WHELCBR",[1]OUT_FinalEnergyCons!$A$4:$A$10000)))*1,[1]OUT_FinalEnergyCons!E$4:E$10000)</f>
        <v>3.5245733345870799E-2</v>
      </c>
      <c r="H2255" s="1" cm="1">
        <f t="array" ref="H2255">SUMPRODUCT(([1]OUT_FinalEnergyCons!$B$4:$B$10000="var_ncap")*1,(ISNUMBER(SEARCH("RH*-WHELCBR",[1]OUT_FinalEnergyCons!$A$4:$A$10000)))*1,[1]OUT_FinalEnergyCons!F$4:F$10000)</f>
        <v>2.7776530680291402E-7</v>
      </c>
      <c r="I2255" s="1" cm="1">
        <f t="array" ref="I2255">SUMPRODUCT(([1]OUT_FinalEnergyCons!$B$4:$B$10000="var_ncap")*1,(ISNUMBER(SEARCH("RH*-WHELCBR",[1]OUT_FinalEnergyCons!$A$4:$A$10000)))*1,[1]OUT_FinalEnergyCons!G$4:G$10000)</f>
        <v>2.5049142177484899E-7</v>
      </c>
      <c r="J2255" s="1" cm="1">
        <f t="array" ref="J2255">SUMPRODUCT(([1]OUT_FinalEnergyCons!$B$4:$B$10000="var_ncap")*1,(ISNUMBER(SEARCH("RH*-WHELCBR",[1]OUT_FinalEnergyCons!$A$4:$A$10000)))*1,[1]OUT_FinalEnergyCons!H$4:H$10000)</f>
        <v>3.9399880888140899E-2</v>
      </c>
      <c r="K2255" s="1" cm="1">
        <f t="array" ref="K2255">SUMPRODUCT(([1]OUT_FinalEnergyCons!$B$4:$B$10000="var_ncap")*1,(ISNUMBER(SEARCH("RH*-WHELCBR",[1]OUT_FinalEnergyCons!$A$4:$A$10000)))*1,[1]OUT_FinalEnergyCons!I$4:I$10000)</f>
        <v>7.0716061360490898E-2</v>
      </c>
      <c r="L2255" s="1" cm="1">
        <f t="array" ref="L2255">SUMPRODUCT(([1]OUT_FinalEnergyCons!$B$4:$B$10000="var_ncap")*1,(ISNUMBER(SEARCH("RH*-WHELCBR",[1]OUT_FinalEnergyCons!$A$4:$A$10000)))*1,[1]OUT_FinalEnergyCons!J$4:J$10000)</f>
        <v>8.0896991993901802E-7</v>
      </c>
      <c r="M2255" s="1" cm="1">
        <f t="array" ref="M2255">SUMPRODUCT(([1]OUT_FinalEnergyCons!$B$4:$B$10000="var_ncap")*1,(ISNUMBER(SEARCH("RH*-WHELCBR",[1]OUT_FinalEnergyCons!$A$4:$A$10000)))*1,[1]OUT_FinalEnergyCons!K$4:K$10000)</f>
        <v>7.2586819429904498E-2</v>
      </c>
      <c r="N2255" s="1" cm="1">
        <f t="array" ref="N2255">SUMPRODUCT(([1]OUT_FinalEnergyCons!$B$4:$B$10000="var_ncap")*1,(ISNUMBER(SEARCH("RH*-WHELCBR",[1]OUT_FinalEnergyCons!$A$4:$A$10000)))*1,[1]OUT_FinalEnergyCons!L$4:L$10000)</f>
        <v>4.5169213905311E-2</v>
      </c>
      <c r="O2255" s="1" cm="1">
        <f t="array" ref="O2255">SUMPRODUCT(([1]OUT_FinalEnergyCons!$B$4:$B$10000="var_ncap")*1,(ISNUMBER(SEARCH("RH*-WHELCBR",[1]OUT_FinalEnergyCons!$A$4:$A$10000)))*1,[1]OUT_FinalEnergyCons!M$4:M$10000)</f>
        <v>2.6187000905051799E-6</v>
      </c>
      <c r="P2255" s="1" cm="1">
        <f t="array" ref="P2255">SUMPRODUCT(([1]OUT_FinalEnergyCons!$B$4:$B$10000="var_ncap")*1,(ISNUMBER(SEARCH("RH*-WHELCBR",[1]OUT_FinalEnergyCons!$A$4:$A$10000)))*1,[1]OUT_FinalEnergyCons!N$4:N$10000)</f>
        <v>0.100682062465732</v>
      </c>
      <c r="Q2255" s="1" cm="1">
        <f t="array" ref="Q2255">SUMPRODUCT(([1]OUT_FinalEnergyCons!$B$4:$B$10000="var_ncap")*1,(ISNUMBER(SEARCH("RH*-WHELCBR",[1]OUT_FinalEnergyCons!$A$4:$A$10000)))*1,[1]OUT_FinalEnergyCons!O$4:O$10000)</f>
        <v>7.30769286094581E-7</v>
      </c>
      <c r="S2255" s="3"/>
    </row>
    <row r="2256" spans="2:19" x14ac:dyDescent="0.5">
      <c r="B2256" s="5" t="str">
        <f t="shared" si="2263"/>
        <v>SPS1</v>
      </c>
      <c r="C2256" s="5" t="str">
        <f t="shared" si="2264"/>
        <v>CH</v>
      </c>
      <c r="D2256" t="s">
        <v>2390</v>
      </c>
      <c r="E2256" t="str">
        <f t="shared" si="2265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1.71678048139681E-6</v>
      </c>
      <c r="G2256" s="1" cm="1">
        <f t="array" ref="G2256">SUMPRODUCT(([1]OUT_FinalEnergyCons!$B$4:$B$10000="var_ncap")*1,ISNUMBER(SEARCH("RH*-WHELCHP",[1]OUT_FinalEnergyCons!$A$4:$A$10000))*1,[1]OUT_FinalEnergyCons!E$4:E$10000)</f>
        <v>3.2769473591987598E-2</v>
      </c>
      <c r="H2256" s="1" cm="1">
        <f t="array" ref="H2256">SUMPRODUCT(([1]OUT_FinalEnergyCons!$B$4:$B$10000="var_ncap")*1,ISNUMBER(SEARCH("RH*-WHELCHP",[1]OUT_FinalEnergyCons!$A$4:$A$10000))*1,[1]OUT_FinalEnergyCons!F$4:F$10000)</f>
        <v>9.3593483807046296E-2</v>
      </c>
      <c r="I2256" s="1" cm="1">
        <f t="array" ref="I2256">SUMPRODUCT(([1]OUT_FinalEnergyCons!$B$4:$B$10000="var_ncap")*1,ISNUMBER(SEARCH("RH*-WHELCHP",[1]OUT_FinalEnergyCons!$A$4:$A$10000))*1,[1]OUT_FinalEnergyCons!G$4:G$10000)</f>
        <v>0.165683532535291</v>
      </c>
      <c r="J2256" s="1" cm="1">
        <f t="array" ref="J2256">SUMPRODUCT(([1]OUT_FinalEnergyCons!$B$4:$B$10000="var_ncap")*1,ISNUMBER(SEARCH("RH*-WHELCHP",[1]OUT_FinalEnergyCons!$A$4:$A$10000))*1,[1]OUT_FinalEnergyCons!H$4:H$10000)</f>
        <v>0.45555542145706801</v>
      </c>
      <c r="K2256" s="1" cm="1">
        <f t="array" ref="K2256">SUMPRODUCT(([1]OUT_FinalEnergyCons!$B$4:$B$10000="var_ncap")*1,ISNUMBER(SEARCH("RH*-WHELCHP",[1]OUT_FinalEnergyCons!$A$4:$A$10000))*1,[1]OUT_FinalEnergyCons!I$4:I$10000)</f>
        <v>0.18642607905928801</v>
      </c>
      <c r="L2256" s="1" cm="1">
        <f t="array" ref="L2256">SUMPRODUCT(([1]OUT_FinalEnergyCons!$B$4:$B$10000="var_ncap")*1,ISNUMBER(SEARCH("RH*-WHELCHP",[1]OUT_FinalEnergyCons!$A$4:$A$10000))*1,[1]OUT_FinalEnergyCons!J$4:J$10000)</f>
        <v>0.39290184287007202</v>
      </c>
      <c r="M2256" s="1" cm="1">
        <f t="array" ref="M2256">SUMPRODUCT(([1]OUT_FinalEnergyCons!$B$4:$B$10000="var_ncap")*1,ISNUMBER(SEARCH("RH*-WHELCHP",[1]OUT_FinalEnergyCons!$A$4:$A$10000))*1,[1]OUT_FinalEnergyCons!K$4:K$10000)</f>
        <v>0.50947830358545099</v>
      </c>
      <c r="N2256" s="1" cm="1">
        <f t="array" ref="N2256">SUMPRODUCT(([1]OUT_FinalEnergyCons!$B$4:$B$10000="var_ncap")*1,ISNUMBER(SEARCH("RH*-WHELCHP",[1]OUT_FinalEnergyCons!$A$4:$A$10000))*1,[1]OUT_FinalEnergyCons!L$4:L$10000)</f>
        <v>0.36392742950767698</v>
      </c>
      <c r="O2256" s="1" cm="1">
        <f t="array" ref="O2256">SUMPRODUCT(([1]OUT_FinalEnergyCons!$B$4:$B$10000="var_ncap")*1,ISNUMBER(SEARCH("RH*-WHELCHP",[1]OUT_FinalEnergyCons!$A$4:$A$10000))*1,[1]OUT_FinalEnergyCons!M$4:M$10000)</f>
        <v>0.39216262874838598</v>
      </c>
      <c r="P2256" s="1" cm="1">
        <f t="array" ref="P2256">SUMPRODUCT(([1]OUT_FinalEnergyCons!$B$4:$B$10000="var_ncap")*1,ISNUMBER(SEARCH("RH*-WHELCHP",[1]OUT_FinalEnergyCons!$A$4:$A$10000))*1,[1]OUT_FinalEnergyCons!N$4:N$10000)</f>
        <v>0.45901805142699698</v>
      </c>
      <c r="Q2256" s="1" cm="1">
        <f t="array" ref="Q2256">SUMPRODUCT(([1]OUT_FinalEnergyCons!$B$4:$B$10000="var_ncap")*1,ISNUMBER(SEARCH("RH*-WHELCHP",[1]OUT_FinalEnergyCons!$A$4:$A$10000))*1,[1]OUT_FinalEnergyCons!O$4:O$10000)</f>
        <v>0.43611585563766098</v>
      </c>
      <c r="S2256" s="3"/>
    </row>
    <row r="2257" spans="2:19" x14ac:dyDescent="0.5">
      <c r="B2257" s="5" t="str">
        <f t="shared" si="2263"/>
        <v>SPS1</v>
      </c>
      <c r="C2257" s="5" t="str">
        <f t="shared" si="2264"/>
        <v>CH</v>
      </c>
      <c r="D2257" t="s">
        <v>2391</v>
      </c>
      <c r="E2257" t="str">
        <f t="shared" si="2265"/>
        <v>GWth/yr.</v>
      </c>
      <c r="F2257" s="1">
        <f t="shared" ref="F2257:O2257" si="2278">F2258</f>
        <v>0</v>
      </c>
      <c r="G2257" s="1">
        <f t="shared" si="2278"/>
        <v>3.9362366192088103E-8</v>
      </c>
      <c r="H2257" s="1">
        <f t="shared" si="2278"/>
        <v>2.83440370093985E-8</v>
      </c>
      <c r="I2257" s="1">
        <f t="shared" si="2278"/>
        <v>6.7874119109785103E-8</v>
      </c>
      <c r="J2257" s="1">
        <f t="shared" si="2278"/>
        <v>1.04732470155349E-5</v>
      </c>
      <c r="K2257" s="1">
        <f t="shared" si="2278"/>
        <v>2.1239014861469902E-5</v>
      </c>
      <c r="L2257" s="1">
        <f t="shared" si="2278"/>
        <v>2.1312836884956199E-7</v>
      </c>
      <c r="M2257" s="1">
        <f t="shared" si="2278"/>
        <v>0</v>
      </c>
      <c r="N2257" s="1">
        <f t="shared" si="2278"/>
        <v>8.9414105099309997E-6</v>
      </c>
      <c r="O2257" s="1">
        <f t="shared" si="2278"/>
        <v>1.28687164722947E-5</v>
      </c>
      <c r="P2257" s="1">
        <f>P2258</f>
        <v>5.1750962246114103E-7</v>
      </c>
      <c r="Q2257" s="1">
        <f>Q2258</f>
        <v>3.2762666684032703E-5</v>
      </c>
      <c r="S2257" s="3"/>
    </row>
    <row r="2258" spans="2:19" x14ac:dyDescent="0.5">
      <c r="B2258" s="5" t="str">
        <f t="shared" si="2263"/>
        <v>SPS1</v>
      </c>
      <c r="C2258" s="5" t="str">
        <f t="shared" si="2264"/>
        <v>CH</v>
      </c>
      <c r="D2258" t="s">
        <v>2392</v>
      </c>
      <c r="E2258" t="str">
        <f t="shared" si="2265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3.9362366192088103E-8</v>
      </c>
      <c r="H2258" s="1" cm="1">
        <f t="array" ref="H2258">SUMPRODUCT(([1]OUT_FinalEnergyCons!$B$4:$B$10000="var_ncap")*1, (ISNUMBER(SEARCH("RH*-WHLFOBR",[1]OUT_FinalEnergyCons!$A$4:$A$10000)))*1,[1]OUT_FinalEnergyCons!F$4:F$10000)</f>
        <v>2.83440370093985E-8</v>
      </c>
      <c r="I2258" s="1" cm="1">
        <f t="array" ref="I2258">SUMPRODUCT(([1]OUT_FinalEnergyCons!$B$4:$B$10000="var_ncap")*1, (ISNUMBER(SEARCH("RH*-WHLFOBR",[1]OUT_FinalEnergyCons!$A$4:$A$10000)))*1,[1]OUT_FinalEnergyCons!G$4:G$10000)</f>
        <v>6.7874119109785103E-8</v>
      </c>
      <c r="J2258" s="1" cm="1">
        <f t="array" ref="J2258">SUMPRODUCT(([1]OUT_FinalEnergyCons!$B$4:$B$10000="var_ncap")*1, (ISNUMBER(SEARCH("RH*-WHLFOBR",[1]OUT_FinalEnergyCons!$A$4:$A$10000)))*1,[1]OUT_FinalEnergyCons!H$4:H$10000)</f>
        <v>1.04732470155349E-5</v>
      </c>
      <c r="K2258" s="1" cm="1">
        <f t="array" ref="K2258">SUMPRODUCT(([1]OUT_FinalEnergyCons!$B$4:$B$10000="var_ncap")*1, (ISNUMBER(SEARCH("RH*-WHLFOBR",[1]OUT_FinalEnergyCons!$A$4:$A$10000)))*1,[1]OUT_FinalEnergyCons!I$4:I$10000)</f>
        <v>2.1239014861469902E-5</v>
      </c>
      <c r="L2258" s="1" cm="1">
        <f t="array" ref="L2258">SUMPRODUCT(([1]OUT_FinalEnergyCons!$B$4:$B$10000="var_ncap")*1, (ISNUMBER(SEARCH("RH*-WHLFOBR",[1]OUT_FinalEnergyCons!$A$4:$A$10000)))*1,[1]OUT_FinalEnergyCons!J$4:J$10000)</f>
        <v>2.1312836884956199E-7</v>
      </c>
      <c r="M2258" s="1" cm="1">
        <f t="array" ref="M2258">SUMPRODUCT(([1]OUT_FinalEnergyCons!$B$4:$B$10000="var_ncap")*1, (ISNUMBER(SEARCH("RH*-WHLFOBR",[1]OUT_FinalEnergyCons!$A$4:$A$10000)))*1,[1]OUT_FinalEnergyCons!K$4:K$10000)</f>
        <v>0</v>
      </c>
      <c r="N2258" s="1" cm="1">
        <f t="array" ref="N2258">SUMPRODUCT(([1]OUT_FinalEnergyCons!$B$4:$B$10000="var_ncap")*1, (ISNUMBER(SEARCH("RH*-WHLFOBR",[1]OUT_FinalEnergyCons!$A$4:$A$10000)))*1,[1]OUT_FinalEnergyCons!L$4:L$10000)</f>
        <v>8.9414105099309997E-6</v>
      </c>
      <c r="O2258" s="1" cm="1">
        <f t="array" ref="O2258">SUMPRODUCT(([1]OUT_FinalEnergyCons!$B$4:$B$10000="var_ncap")*1, (ISNUMBER(SEARCH("RH*-WHLFOBR",[1]OUT_FinalEnergyCons!$A$4:$A$10000)))*1,[1]OUT_FinalEnergyCons!M$4:M$10000)</f>
        <v>1.28687164722947E-5</v>
      </c>
      <c r="P2258" s="1" cm="1">
        <f t="array" ref="P2258">SUMPRODUCT(([1]OUT_FinalEnergyCons!$B$4:$B$10000="var_ncap")*1, (ISNUMBER(SEARCH("RH*-WHLFOBR",[1]OUT_FinalEnergyCons!$A$4:$A$10000)))*1,[1]OUT_FinalEnergyCons!N$4:N$10000)</f>
        <v>5.1750962246114103E-7</v>
      </c>
      <c r="Q2258" s="1" cm="1">
        <f t="array" ref="Q2258">SUMPRODUCT(([1]OUT_FinalEnergyCons!$B$4:$B$10000="var_ncap")*1, (ISNUMBER(SEARCH("RH*-WHLFOBR",[1]OUT_FinalEnergyCons!$A$4:$A$10000)))*1,[1]OUT_FinalEnergyCons!O$4:O$10000)</f>
        <v>3.2762666684032703E-5</v>
      </c>
      <c r="S2258" s="3"/>
    </row>
    <row r="2259" spans="2:19" x14ac:dyDescent="0.5">
      <c r="B2259" s="5" t="str">
        <f t="shared" si="2263"/>
        <v>SPS1</v>
      </c>
      <c r="C2259" s="5" t="str">
        <f t="shared" si="2264"/>
        <v>CH</v>
      </c>
      <c r="D2259" t="s">
        <v>2393</v>
      </c>
      <c r="E2259" t="str">
        <f t="shared" si="2265"/>
        <v>GWth/yr.</v>
      </c>
      <c r="F2259" s="1">
        <f t="shared" ref="F2259:K2259" si="2279">SUM(F2260:F2261)</f>
        <v>0</v>
      </c>
      <c r="G2259" s="1">
        <f t="shared" si="2279"/>
        <v>3.4569099626798596E-7</v>
      </c>
      <c r="H2259" s="1">
        <f t="shared" si="2279"/>
        <v>6.1081466719664022E-5</v>
      </c>
      <c r="I2259" s="1">
        <f t="shared" si="2279"/>
        <v>0.23451658087104513</v>
      </c>
      <c r="J2259" s="1">
        <f t="shared" si="2279"/>
        <v>0.28470360098841913</v>
      </c>
      <c r="K2259" s="1">
        <f t="shared" si="2279"/>
        <v>0.19739347186649131</v>
      </c>
      <c r="L2259" s="1">
        <f t="shared" ref="L2259:O2259" si="2280">SUM(L2260:L2261)</f>
        <v>2.4436885331935443E-2</v>
      </c>
      <c r="M2259" s="1">
        <f t="shared" si="2280"/>
        <v>1.8871553540673329E-6</v>
      </c>
      <c r="N2259" s="1">
        <f t="shared" si="2280"/>
        <v>5.8306939773353605E-2</v>
      </c>
      <c r="O2259" s="1">
        <f t="shared" si="2280"/>
        <v>3.6061044401361556E-2</v>
      </c>
      <c r="P2259" s="1">
        <f>SUM(P2260:P2261)</f>
        <v>1.8177249314095121E-2</v>
      </c>
      <c r="Q2259" s="1">
        <f>SUM(Q2260:Q2261)</f>
        <v>3.2305140057020593E-2</v>
      </c>
      <c r="S2259" s="3"/>
    </row>
    <row r="2260" spans="2:19" x14ac:dyDescent="0.5">
      <c r="B2260" s="5" t="str">
        <f t="shared" si="2263"/>
        <v>SPS1</v>
      </c>
      <c r="C2260" s="5" t="str">
        <f t="shared" si="2264"/>
        <v>CH</v>
      </c>
      <c r="D2260" t="s">
        <v>2394</v>
      </c>
      <c r="E2260" t="str">
        <f t="shared" si="2265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1.5118283179336299E-7</v>
      </c>
      <c r="H2260" s="1" cm="1">
        <f t="array" ref="H2260">SUMPRODUCT(([1]OUT_FinalEnergyCons!$B$4:$B$10000="var_ncap")*1, (ISNUMBER(SEARCH("RH*-WHNGABR",[1]OUT_FinalEnergyCons!$A$4:$A$10000)))*1,[1]OUT_FinalEnergyCons!F$4:F$10000)</f>
        <v>3.1651398308892402E-7</v>
      </c>
      <c r="I2260" s="1" cm="1">
        <f t="array" ref="I2260">SUMPRODUCT(([1]OUT_FinalEnergyCons!$B$4:$B$10000="var_ncap")*1, (ISNUMBER(SEARCH("RH*-WHNGABR",[1]OUT_FinalEnergyCons!$A$4:$A$10000)))*1,[1]OUT_FinalEnergyCons!G$4:G$10000)</f>
        <v>0.234514057236234</v>
      </c>
      <c r="J2260" s="1" cm="1">
        <f t="array" ref="J2260">SUMPRODUCT(([1]OUT_FinalEnergyCons!$B$4:$B$10000="var_ncap")*1, (ISNUMBER(SEARCH("RH*-WHNGABR",[1]OUT_FinalEnergyCons!$A$4:$A$10000)))*1,[1]OUT_FinalEnergyCons!H$4:H$10000)</f>
        <v>0.18761779229071801</v>
      </c>
      <c r="K2260" s="1" cm="1">
        <f t="array" ref="K2260">SUMPRODUCT(([1]OUT_FinalEnergyCons!$B$4:$B$10000="var_ncap")*1, (ISNUMBER(SEARCH("RH*-WHNGABR",[1]OUT_FinalEnergyCons!$A$4:$A$10000)))*1,[1]OUT_FinalEnergyCons!I$4:I$10000)</f>
        <v>7.4646063364894294E-2</v>
      </c>
      <c r="L2260" s="1" cm="1">
        <f t="array" ref="L2260">SUMPRODUCT(([1]OUT_FinalEnergyCons!$B$4:$B$10000="var_ncap")*1, (ISNUMBER(SEARCH("RH*-WHNGABR",[1]OUT_FinalEnergyCons!$A$4:$A$10000)))*1,[1]OUT_FinalEnergyCons!J$4:J$10000)</f>
        <v>1.72037324340429E-7</v>
      </c>
      <c r="M2260" s="1" cm="1">
        <f t="array" ref="M2260">SUMPRODUCT(([1]OUT_FinalEnergyCons!$B$4:$B$10000="var_ncap")*1, (ISNUMBER(SEARCH("RH*-WHNGABR",[1]OUT_FinalEnergyCons!$A$4:$A$10000)))*1,[1]OUT_FinalEnergyCons!K$4:K$10000)</f>
        <v>8.8788310875594295E-7</v>
      </c>
      <c r="N2260" s="1" cm="1">
        <f t="array" ref="N2260">SUMPRODUCT(([1]OUT_FinalEnergyCons!$B$4:$B$10000="var_ncap")*1, (ISNUMBER(SEARCH("RH*-WHNGABR",[1]OUT_FinalEnergyCons!$A$4:$A$10000)))*1,[1]OUT_FinalEnergyCons!L$4:L$10000)</f>
        <v>2.4449423416259702E-2</v>
      </c>
      <c r="O2260" s="1" cm="1">
        <f t="array" ref="O2260">SUMPRODUCT(([1]OUT_FinalEnergyCons!$B$4:$B$10000="var_ncap")*1, (ISNUMBER(SEARCH("RH*-WHNGABR",[1]OUT_FinalEnergyCons!$A$4:$A$10000)))*1,[1]OUT_FinalEnergyCons!M$4:M$10000)</f>
        <v>3.9660986015421602E-3</v>
      </c>
      <c r="P2260" s="1" cm="1">
        <f t="array" ref="P2260">SUMPRODUCT(([1]OUT_FinalEnergyCons!$B$4:$B$10000="var_ncap")*1, (ISNUMBER(SEARCH("RH*-WHNGABR",[1]OUT_FinalEnergyCons!$A$4:$A$10000)))*1,[1]OUT_FinalEnergyCons!N$4:N$10000)</f>
        <v>7.4459285170291201E-3</v>
      </c>
      <c r="Q2260" s="1" cm="1">
        <f t="array" ref="Q2260">SUMPRODUCT(([1]OUT_FinalEnergyCons!$B$4:$B$10000="var_ncap")*1, (ISNUMBER(SEARCH("RH*-WHNGABR",[1]OUT_FinalEnergyCons!$A$4:$A$10000)))*1,[1]OUT_FinalEnergyCons!O$4:O$10000)</f>
        <v>9.17308310836569E-3</v>
      </c>
      <c r="S2260" s="3"/>
    </row>
    <row r="2261" spans="2:19" x14ac:dyDescent="0.5">
      <c r="B2261" s="5" t="str">
        <f t="shared" si="2263"/>
        <v>SPS1</v>
      </c>
      <c r="C2261" s="5" t="str">
        <f t="shared" si="2264"/>
        <v>CH</v>
      </c>
      <c r="D2261" t="s">
        <v>2395</v>
      </c>
      <c r="E2261" t="str">
        <f t="shared" si="2265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1.94508164474623E-7</v>
      </c>
      <c r="H2261" s="1" cm="1">
        <f t="array" ref="H2261">SUMPRODUCT(([1]OUT_FinalEnergyCons!$B$4:$B$10000="var_ncap")*1,ISNUMBER(SEARCH("RH*-WHngahp",[1]OUT_FinalEnergyCons!$A$4:$A$10000))*1,[1]OUT_FinalEnergyCons!F$4:F$10000)</f>
        <v>6.0764952736575101E-5</v>
      </c>
      <c r="I2261" s="1" cm="1">
        <f t="array" ref="I2261">SUMPRODUCT(([1]OUT_FinalEnergyCons!$B$4:$B$10000="var_ncap")*1,ISNUMBER(SEARCH("RH*-WHngahp",[1]OUT_FinalEnergyCons!$A$4:$A$10000))*1,[1]OUT_FinalEnergyCons!G$4:G$10000)</f>
        <v>2.5236348111322299E-6</v>
      </c>
      <c r="J2261" s="1" cm="1">
        <f t="array" ref="J2261">SUMPRODUCT(([1]OUT_FinalEnergyCons!$B$4:$B$10000="var_ncap")*1,ISNUMBER(SEARCH("RH*-WHngahp",[1]OUT_FinalEnergyCons!$A$4:$A$10000))*1,[1]OUT_FinalEnergyCons!H$4:H$10000)</f>
        <v>9.7085808697701101E-2</v>
      </c>
      <c r="K2261" s="1" cm="1">
        <f t="array" ref="K2261">SUMPRODUCT(([1]OUT_FinalEnergyCons!$B$4:$B$10000="var_ncap")*1,ISNUMBER(SEARCH("RH*-WHngahp",[1]OUT_FinalEnergyCons!$A$4:$A$10000))*1,[1]OUT_FinalEnergyCons!I$4:I$10000)</f>
        <v>0.122747408501597</v>
      </c>
      <c r="L2261" s="1" cm="1">
        <f t="array" ref="L2261">SUMPRODUCT(([1]OUT_FinalEnergyCons!$B$4:$B$10000="var_ncap")*1,ISNUMBER(SEARCH("RH*-WHngahp",[1]OUT_FinalEnergyCons!$A$4:$A$10000))*1,[1]OUT_FinalEnergyCons!J$4:J$10000)</f>
        <v>2.4436713294611102E-2</v>
      </c>
      <c r="M2261" s="1" cm="1">
        <f t="array" ref="M2261">SUMPRODUCT(([1]OUT_FinalEnergyCons!$B$4:$B$10000="var_ncap")*1,ISNUMBER(SEARCH("RH*-WHngahp",[1]OUT_FinalEnergyCons!$A$4:$A$10000))*1,[1]OUT_FinalEnergyCons!K$4:K$10000)</f>
        <v>9.9927224531138998E-7</v>
      </c>
      <c r="N2261" s="1" cm="1">
        <f t="array" ref="N2261">SUMPRODUCT(([1]OUT_FinalEnergyCons!$B$4:$B$10000="var_ncap")*1,ISNUMBER(SEARCH("RH*-WHngahp",[1]OUT_FinalEnergyCons!$A$4:$A$10000))*1,[1]OUT_FinalEnergyCons!L$4:L$10000)</f>
        <v>3.38575163570939E-2</v>
      </c>
      <c r="O2261" s="1" cm="1">
        <f t="array" ref="O2261">SUMPRODUCT(([1]OUT_FinalEnergyCons!$B$4:$B$10000="var_ncap")*1,ISNUMBER(SEARCH("RH*-WHngahp",[1]OUT_FinalEnergyCons!$A$4:$A$10000))*1,[1]OUT_FinalEnergyCons!M$4:M$10000)</f>
        <v>3.2094945799819398E-2</v>
      </c>
      <c r="P2261" s="1" cm="1">
        <f t="array" ref="P2261">SUMPRODUCT(([1]OUT_FinalEnergyCons!$B$4:$B$10000="var_ncap")*1,ISNUMBER(SEARCH("RH*-WHngahp",[1]OUT_FinalEnergyCons!$A$4:$A$10000))*1,[1]OUT_FinalEnergyCons!N$4:N$10000)</f>
        <v>1.0731320797066001E-2</v>
      </c>
      <c r="Q2261" s="1" cm="1">
        <f t="array" ref="Q2261">SUMPRODUCT(([1]OUT_FinalEnergyCons!$B$4:$B$10000="var_ncap")*1,ISNUMBER(SEARCH("RH*-WHngahp",[1]OUT_FinalEnergyCons!$A$4:$A$10000))*1,[1]OUT_FinalEnergyCons!O$4:O$10000)</f>
        <v>2.3132056948654899E-2</v>
      </c>
      <c r="S2261" s="3"/>
    </row>
    <row r="2262" spans="2:19" x14ac:dyDescent="0.5">
      <c r="B2262" s="5" t="str">
        <f t="shared" si="2263"/>
        <v>SPS1</v>
      </c>
      <c r="C2262" s="5" t="str">
        <f t="shared" si="2264"/>
        <v>CH</v>
      </c>
      <c r="D2262" t="s">
        <v>2396</v>
      </c>
      <c r="E2262" t="str">
        <f t="shared" si="2265"/>
        <v>GWth/yr.</v>
      </c>
      <c r="F2262" s="1">
        <f t="shared" ref="F2262:O2262" si="2281">F2263</f>
        <v>0</v>
      </c>
      <c r="G2262" s="1">
        <f t="shared" si="2281"/>
        <v>0</v>
      </c>
      <c r="H2262" s="1">
        <f t="shared" si="2281"/>
        <v>0</v>
      </c>
      <c r="I2262" s="1">
        <f t="shared" si="2281"/>
        <v>0</v>
      </c>
      <c r="J2262" s="1">
        <f t="shared" si="2281"/>
        <v>0</v>
      </c>
      <c r="K2262" s="1">
        <f t="shared" si="2281"/>
        <v>0</v>
      </c>
      <c r="L2262" s="1">
        <f t="shared" si="2281"/>
        <v>0</v>
      </c>
      <c r="M2262" s="1">
        <f t="shared" si="2281"/>
        <v>0</v>
      </c>
      <c r="N2262" s="1">
        <f t="shared" si="2281"/>
        <v>0</v>
      </c>
      <c r="O2262" s="1">
        <f t="shared" si="2281"/>
        <v>0</v>
      </c>
      <c r="P2262" s="1">
        <f>P2263</f>
        <v>0</v>
      </c>
      <c r="Q2262" s="1">
        <f>Q2263</f>
        <v>0</v>
      </c>
      <c r="S2262" s="3"/>
    </row>
    <row r="2263" spans="2:19" x14ac:dyDescent="0.5">
      <c r="B2263" s="5" t="str">
        <f t="shared" si="2263"/>
        <v>SPS1</v>
      </c>
      <c r="C2263" s="5" t="str">
        <f t="shared" si="2264"/>
        <v>CH</v>
      </c>
      <c r="D2263" t="s">
        <v>2397</v>
      </c>
      <c r="E2263" t="str">
        <f t="shared" si="2265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SUMPRODUCT(([1]OUT_FinalEnergyCons!$B$4:$B$10000="var_ncap")*1, (ISNUMBER(SEARCH("RH*-WHCOABR",[1]OUT_FinalEnergyCons!$A$4:$A$10000)))*1,[1]OUT_FinalEnergyCons!H$4:H$10000)</f>
        <v>0</v>
      </c>
      <c r="K2263" s="1" cm="1">
        <f t="array" ref="K2263">SUMPRODUCT(([1]OUT_FinalEnergyCons!$B$4:$B$10000="var_ncap")*1, (ISNUMBER(SEARCH("RH*-WHCOABR",[1]OUT_FinalEnergyCons!$A$4:$A$10000)))*1,[1]OUT_FinalEnergyCons!I$4:I$10000)</f>
        <v>0</v>
      </c>
      <c r="L2263" s="1" cm="1">
        <f t="array" ref="L2263">SUMPRODUCT(([1]OUT_FinalEnergyCons!$B$4:$B$10000="var_ncap")*1, (ISNUMBER(SEARCH("RH*-WHCOABR",[1]OUT_FinalEnergyCons!$A$4:$A$10000)))*1,[1]OUT_FinalEnergyCons!J$4:J$10000)</f>
        <v>0</v>
      </c>
      <c r="M2263" s="1" cm="1">
        <f t="array" ref="M2263">SUMPRODUCT(([1]OUT_FinalEnergyCons!$B$4:$B$10000="var_ncap")*1, (ISNUMBER(SEARCH("RH*-WHCOABR",[1]OUT_FinalEnergyCons!$A$4:$A$10000)))*1,[1]OUT_FinalEnergyCons!K$4:K$10000)</f>
        <v>0</v>
      </c>
      <c r="N2263" s="1" cm="1">
        <f t="array" ref="N2263">SUMPRODUCT(([1]OUT_FinalEnergyCons!$B$4:$B$10000="var_ncap")*1, (ISNUMBER(SEARCH("RH*-WHCOABR",[1]OUT_FinalEnergyCons!$A$4:$A$10000)))*1,[1]OUT_FinalEnergyCons!L$4:L$10000)</f>
        <v>0</v>
      </c>
      <c r="O2263" s="1" cm="1">
        <f t="array" ref="O2263">SUMPRODUCT(([1]OUT_FinalEnergyCons!$B$4:$B$10000="var_ncap")*1, (ISNUMBER(SEARCH("RH*-WHCOABR",[1]OUT_FinalEnergyCons!$A$4:$A$10000)))*1,[1]OUT_FinalEnergyCons!M$4:M$10000)</f>
        <v>0</v>
      </c>
      <c r="P2263" s="1" cm="1">
        <f t="array" ref="P2263">SUMPRODUCT(([1]OUT_FinalEnergyCons!$B$4:$B$10000="var_ncap")*1, (ISNUMBER(SEARCH("RH*-WHCOABR",[1]OUT_FinalEnergyCons!$A$4:$A$10000)))*1,[1]OUT_FinalEnergyCons!N$4:N$10000)</f>
        <v>0</v>
      </c>
      <c r="Q2263" s="1" cm="1">
        <f t="array" ref="Q2263">SUMPRODUCT(([1]OUT_FinalEnergyCons!$B$4:$B$10000="var_ncap")*1, (ISNUMBER(SEARCH("RH*-WHCOABR",[1]OUT_FinalEnergyCons!$A$4:$A$10000)))*1,[1]OUT_FinalEnergyCons!O$4:O$10000)</f>
        <v>0</v>
      </c>
      <c r="S2263" s="3"/>
    </row>
    <row r="2264" spans="2:19" x14ac:dyDescent="0.5">
      <c r="B2264" s="5" t="str">
        <f t="shared" si="2263"/>
        <v>SPS1</v>
      </c>
      <c r="C2264" s="5" t="str">
        <f t="shared" si="2264"/>
        <v>CH</v>
      </c>
      <c r="D2264" t="s">
        <v>2398</v>
      </c>
      <c r="E2264" t="str">
        <f t="shared" si="2265"/>
        <v>GWth/yr.</v>
      </c>
      <c r="F2264" s="1">
        <f t="shared" ref="F2264:O2264" si="2282">F2265</f>
        <v>0</v>
      </c>
      <c r="G2264" s="1">
        <f t="shared" si="2282"/>
        <v>5.1123995741752803E-3</v>
      </c>
      <c r="H2264" s="1">
        <f t="shared" si="2282"/>
        <v>4.4476572836859199E-8</v>
      </c>
      <c r="I2264" s="1">
        <f t="shared" si="2282"/>
        <v>2.4173672395907001E-7</v>
      </c>
      <c r="J2264" s="1">
        <f t="shared" si="2282"/>
        <v>6.4406424907669096E-3</v>
      </c>
      <c r="K2264" s="1">
        <f t="shared" si="2282"/>
        <v>6.6222227750452499E-3</v>
      </c>
      <c r="L2264" s="1">
        <f t="shared" si="2282"/>
        <v>1.3743114580656299E-7</v>
      </c>
      <c r="M2264" s="1">
        <f t="shared" si="2282"/>
        <v>4.5747117217144403E-3</v>
      </c>
      <c r="N2264" s="1">
        <f t="shared" si="2282"/>
        <v>3.3674050344621302E-3</v>
      </c>
      <c r="O2264" s="1">
        <f t="shared" si="2282"/>
        <v>2.3338545219667899E-4</v>
      </c>
      <c r="P2264" s="1">
        <f>P2265</f>
        <v>5.0135147112151598E-3</v>
      </c>
      <c r="Q2264" s="1">
        <f>Q2265</f>
        <v>1.1781303217153699E-3</v>
      </c>
      <c r="S2264" s="3"/>
    </row>
    <row r="2265" spans="2:19" x14ac:dyDescent="0.5">
      <c r="B2265" s="5" t="str">
        <f t="shared" si="2263"/>
        <v>SPS1</v>
      </c>
      <c r="C2265" s="5" t="str">
        <f t="shared" si="2264"/>
        <v>CH</v>
      </c>
      <c r="D2265" t="s">
        <v>2399</v>
      </c>
      <c r="E2265" t="str">
        <f t="shared" si="2265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5.1123995741752803E-3</v>
      </c>
      <c r="H2265" s="1" cm="1">
        <f t="array" ref="H2265">SUMPRODUCT(([1]OUT_FinalEnergyCons!$B$4:$B$10000="var_ncap")*1, (ISNUMBER(SEARCH("RH*-WHWODBR",[1]OUT_FinalEnergyCons!$A$4:$A$10000)))*1,[1]OUT_FinalEnergyCons!F$4:F$10000)</f>
        <v>4.4476572836859199E-8</v>
      </c>
      <c r="I2265" s="1" cm="1">
        <f t="array" ref="I2265">SUMPRODUCT(([1]OUT_FinalEnergyCons!$B$4:$B$10000="var_ncap")*1, (ISNUMBER(SEARCH("RH*-WHWODBR",[1]OUT_FinalEnergyCons!$A$4:$A$10000)))*1,[1]OUT_FinalEnergyCons!G$4:G$10000)</f>
        <v>2.4173672395907001E-7</v>
      </c>
      <c r="J2265" s="1" cm="1">
        <f t="array" ref="J2265">SUMPRODUCT(([1]OUT_FinalEnergyCons!$B$4:$B$10000="var_ncap")*1, (ISNUMBER(SEARCH("RH*-WHWODBR",[1]OUT_FinalEnergyCons!$A$4:$A$10000)))*1,[1]OUT_FinalEnergyCons!H$4:H$10000)</f>
        <v>6.4406424907669096E-3</v>
      </c>
      <c r="K2265" s="1" cm="1">
        <f t="array" ref="K2265">SUMPRODUCT(([1]OUT_FinalEnergyCons!$B$4:$B$10000="var_ncap")*1, (ISNUMBER(SEARCH("RH*-WHWODBR",[1]OUT_FinalEnergyCons!$A$4:$A$10000)))*1,[1]OUT_FinalEnergyCons!I$4:I$10000)</f>
        <v>6.6222227750452499E-3</v>
      </c>
      <c r="L2265" s="1" cm="1">
        <f t="array" ref="L2265">SUMPRODUCT(([1]OUT_FinalEnergyCons!$B$4:$B$10000="var_ncap")*1, (ISNUMBER(SEARCH("RH*-WHWODBR",[1]OUT_FinalEnergyCons!$A$4:$A$10000)))*1,[1]OUT_FinalEnergyCons!J$4:J$10000)</f>
        <v>1.3743114580656299E-7</v>
      </c>
      <c r="M2265" s="1" cm="1">
        <f t="array" ref="M2265">SUMPRODUCT(([1]OUT_FinalEnergyCons!$B$4:$B$10000="var_ncap")*1, (ISNUMBER(SEARCH("RH*-WHWODBR",[1]OUT_FinalEnergyCons!$A$4:$A$10000)))*1,[1]OUT_FinalEnergyCons!K$4:K$10000)</f>
        <v>4.5747117217144403E-3</v>
      </c>
      <c r="N2265" s="1" cm="1">
        <f t="array" ref="N2265">SUMPRODUCT(([1]OUT_FinalEnergyCons!$B$4:$B$10000="var_ncap")*1, (ISNUMBER(SEARCH("RH*-WHWODBR",[1]OUT_FinalEnergyCons!$A$4:$A$10000)))*1,[1]OUT_FinalEnergyCons!L$4:L$10000)</f>
        <v>3.3674050344621302E-3</v>
      </c>
      <c r="O2265" s="1" cm="1">
        <f t="array" ref="O2265">SUMPRODUCT(([1]OUT_FinalEnergyCons!$B$4:$B$10000="var_ncap")*1, (ISNUMBER(SEARCH("RH*-WHWODBR",[1]OUT_FinalEnergyCons!$A$4:$A$10000)))*1,[1]OUT_FinalEnergyCons!M$4:M$10000)</f>
        <v>2.3338545219667899E-4</v>
      </c>
      <c r="P2265" s="1" cm="1">
        <f t="array" ref="P2265">SUMPRODUCT(([1]OUT_FinalEnergyCons!$B$4:$B$10000="var_ncap")*1, (ISNUMBER(SEARCH("RH*-WHWODBR",[1]OUT_FinalEnergyCons!$A$4:$A$10000)))*1,[1]OUT_FinalEnergyCons!N$4:N$10000)</f>
        <v>5.0135147112151598E-3</v>
      </c>
      <c r="Q2265" s="1" cm="1">
        <f t="array" ref="Q2265">SUMPRODUCT(([1]OUT_FinalEnergyCons!$B$4:$B$10000="var_ncap")*1, (ISNUMBER(SEARCH("RH*-WHWODBR",[1]OUT_FinalEnergyCons!$A$4:$A$10000)))*1,[1]OUT_FinalEnergyCons!O$4:O$10000)</f>
        <v>1.1781303217153699E-3</v>
      </c>
      <c r="S2265" s="3"/>
    </row>
    <row r="2266" spans="2:19" x14ac:dyDescent="0.5">
      <c r="B2266" s="5" t="str">
        <f t="shared" si="2263"/>
        <v>SPS1</v>
      </c>
      <c r="C2266" s="5" t="str">
        <f t="shared" si="2264"/>
        <v>CH</v>
      </c>
      <c r="D2266" t="s">
        <v>2400</v>
      </c>
      <c r="E2266" t="str">
        <f t="shared" si="2265"/>
        <v>GWth/yr.</v>
      </c>
      <c r="F2266" s="1">
        <f t="shared" ref="F2266:O2266" si="2283">F2267</f>
        <v>0</v>
      </c>
      <c r="G2266" s="1">
        <f t="shared" si="2283"/>
        <v>1.95024434800196E-3</v>
      </c>
      <c r="H2266" s="1">
        <f t="shared" si="2283"/>
        <v>4.5887936649687399E-8</v>
      </c>
      <c r="I2266" s="1">
        <f t="shared" si="2283"/>
        <v>1.01045851729193E-7</v>
      </c>
      <c r="J2266" s="1">
        <f t="shared" si="2283"/>
        <v>5.5899049799130202E-3</v>
      </c>
      <c r="K2266" s="1">
        <f t="shared" si="2283"/>
        <v>4.1783294995411599E-3</v>
      </c>
      <c r="L2266" s="1">
        <f t="shared" si="2283"/>
        <v>2.1716381122212201E-4</v>
      </c>
      <c r="M2266" s="1">
        <f t="shared" si="2283"/>
        <v>5.7992568106168697E-3</v>
      </c>
      <c r="N2266" s="1">
        <f t="shared" si="2283"/>
        <v>3.7091228427503999E-3</v>
      </c>
      <c r="O2266" s="1">
        <f t="shared" si="2283"/>
        <v>1.0025241553113201E-3</v>
      </c>
      <c r="P2266" s="1">
        <f>P2267</f>
        <v>5.94627264334531E-3</v>
      </c>
      <c r="Q2266" s="1">
        <f>Q2267</f>
        <v>4.1275872556858903E-3</v>
      </c>
      <c r="S2266" s="3"/>
    </row>
    <row r="2267" spans="2:19" x14ac:dyDescent="0.5">
      <c r="B2267" s="5" t="str">
        <f t="shared" si="2263"/>
        <v>SPS1</v>
      </c>
      <c r="C2267" s="5" t="str">
        <f t="shared" si="2264"/>
        <v>CH</v>
      </c>
      <c r="D2267" t="s">
        <v>2401</v>
      </c>
      <c r="E2267" t="str">
        <f t="shared" si="2265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1.95024434800196E-3</v>
      </c>
      <c r="H2267" s="1" cm="1">
        <f t="array" ref="H2267">SUMPRODUCT(([1]OUT_FinalEnergyCons!$B$4:$B$10000="var_ncap")*1, (ISNUMBER(SEARCH("RH*-WHPLTBR",[1]OUT_FinalEnergyCons!$A$4:$A$10000)))*1,[1]OUT_FinalEnergyCons!F$4:F$10000)</f>
        <v>4.5887936649687399E-8</v>
      </c>
      <c r="I2267" s="1" cm="1">
        <f t="array" ref="I2267">SUMPRODUCT(([1]OUT_FinalEnergyCons!$B$4:$B$10000="var_ncap")*1, (ISNUMBER(SEARCH("RH*-WHPLTBR",[1]OUT_FinalEnergyCons!$A$4:$A$10000)))*1,[1]OUT_FinalEnergyCons!G$4:G$10000)</f>
        <v>1.01045851729193E-7</v>
      </c>
      <c r="J2267" s="1" cm="1">
        <f t="array" ref="J2267">SUMPRODUCT(([1]OUT_FinalEnergyCons!$B$4:$B$10000="var_ncap")*1, (ISNUMBER(SEARCH("RH*-WHPLTBR",[1]OUT_FinalEnergyCons!$A$4:$A$10000)))*1,[1]OUT_FinalEnergyCons!H$4:H$10000)</f>
        <v>5.5899049799130202E-3</v>
      </c>
      <c r="K2267" s="1" cm="1">
        <f t="array" ref="K2267">SUMPRODUCT(([1]OUT_FinalEnergyCons!$B$4:$B$10000="var_ncap")*1, (ISNUMBER(SEARCH("RH*-WHPLTBR",[1]OUT_FinalEnergyCons!$A$4:$A$10000)))*1,[1]OUT_FinalEnergyCons!I$4:I$10000)</f>
        <v>4.1783294995411599E-3</v>
      </c>
      <c r="L2267" s="1" cm="1">
        <f t="array" ref="L2267">SUMPRODUCT(([1]OUT_FinalEnergyCons!$B$4:$B$10000="var_ncap")*1, (ISNUMBER(SEARCH("RH*-WHPLTBR",[1]OUT_FinalEnergyCons!$A$4:$A$10000)))*1,[1]OUT_FinalEnergyCons!J$4:J$10000)</f>
        <v>2.1716381122212201E-4</v>
      </c>
      <c r="M2267" s="1" cm="1">
        <f t="array" ref="M2267">SUMPRODUCT(([1]OUT_FinalEnergyCons!$B$4:$B$10000="var_ncap")*1, (ISNUMBER(SEARCH("RH*-WHPLTBR",[1]OUT_FinalEnergyCons!$A$4:$A$10000)))*1,[1]OUT_FinalEnergyCons!K$4:K$10000)</f>
        <v>5.7992568106168697E-3</v>
      </c>
      <c r="N2267" s="1" cm="1">
        <f t="array" ref="N2267">SUMPRODUCT(([1]OUT_FinalEnergyCons!$B$4:$B$10000="var_ncap")*1, (ISNUMBER(SEARCH("RH*-WHPLTBR",[1]OUT_FinalEnergyCons!$A$4:$A$10000)))*1,[1]OUT_FinalEnergyCons!L$4:L$10000)</f>
        <v>3.7091228427503999E-3</v>
      </c>
      <c r="O2267" s="1" cm="1">
        <f t="array" ref="O2267">SUMPRODUCT(([1]OUT_FinalEnergyCons!$B$4:$B$10000="var_ncap")*1, (ISNUMBER(SEARCH("RH*-WHPLTBR",[1]OUT_FinalEnergyCons!$A$4:$A$10000)))*1,[1]OUT_FinalEnergyCons!M$4:M$10000)</f>
        <v>1.0025241553113201E-3</v>
      </c>
      <c r="P2267" s="1" cm="1">
        <f t="array" ref="P2267">SUMPRODUCT(([1]OUT_FinalEnergyCons!$B$4:$B$10000="var_ncap")*1, (ISNUMBER(SEARCH("RH*-WHPLTBR",[1]OUT_FinalEnergyCons!$A$4:$A$10000)))*1,[1]OUT_FinalEnergyCons!N$4:N$10000)</f>
        <v>5.94627264334531E-3</v>
      </c>
      <c r="Q2267" s="1" cm="1">
        <f t="array" ref="Q2267">SUMPRODUCT(([1]OUT_FinalEnergyCons!$B$4:$B$10000="var_ncap")*1, (ISNUMBER(SEARCH("RH*-WHPLTBR",[1]OUT_FinalEnergyCons!$A$4:$A$10000)))*1,[1]OUT_FinalEnergyCons!O$4:O$10000)</f>
        <v>4.1275872556858903E-3</v>
      </c>
      <c r="S2267" s="3"/>
    </row>
    <row r="2268" spans="2:19" x14ac:dyDescent="0.5">
      <c r="B2268" s="5" t="str">
        <f t="shared" ref="B2268:B2294" si="2284">B2267</f>
        <v>SPS1</v>
      </c>
      <c r="C2268" s="5" t="str">
        <f t="shared" ref="C2268:C2294" si="2285">C2267</f>
        <v>CH</v>
      </c>
      <c r="D2268" t="s">
        <v>2402</v>
      </c>
      <c r="E2268" t="str">
        <f t="shared" ref="E2268:E2299" si="2286">E2267</f>
        <v>GWth/yr.</v>
      </c>
      <c r="F2268" s="1">
        <f t="shared" ref="F2268:O2268" si="2287">F2269</f>
        <v>0</v>
      </c>
      <c r="G2268" s="1">
        <f t="shared" si="2287"/>
        <v>8.2555642658296194E-2</v>
      </c>
      <c r="H2268" s="1">
        <f t="shared" si="2287"/>
        <v>2.4542595276112202E-7</v>
      </c>
      <c r="I2268" s="1">
        <f t="shared" si="2287"/>
        <v>9.8621408572408308E-7</v>
      </c>
      <c r="J2268" s="1">
        <f t="shared" si="2287"/>
        <v>0.11327894373570201</v>
      </c>
      <c r="K2268" s="1">
        <f t="shared" si="2287"/>
        <v>4.2952705225627802E-2</v>
      </c>
      <c r="L2268" s="1">
        <f t="shared" si="2287"/>
        <v>4.1619857312261097E-6</v>
      </c>
      <c r="M2268" s="1">
        <f t="shared" si="2287"/>
        <v>0.63420188847560099</v>
      </c>
      <c r="N2268" s="1">
        <f t="shared" si="2287"/>
        <v>1.1242766014963899E-2</v>
      </c>
      <c r="O2268" s="1">
        <f t="shared" si="2287"/>
        <v>8.9351493188297403E-3</v>
      </c>
      <c r="P2268" s="1">
        <f>P2269</f>
        <v>0.384908343786243</v>
      </c>
      <c r="Q2268" s="1">
        <f>Q2269</f>
        <v>1.9939894360496801E-5</v>
      </c>
      <c r="S2268" s="3"/>
    </row>
    <row r="2269" spans="2:19" x14ac:dyDescent="0.5">
      <c r="B2269" s="5" t="str">
        <f t="shared" si="2284"/>
        <v>SPS1</v>
      </c>
      <c r="C2269" s="5" t="str">
        <f t="shared" si="2285"/>
        <v>CH</v>
      </c>
      <c r="D2269" t="s">
        <v>2403</v>
      </c>
      <c r="E2269" t="str">
        <f t="shared" si="2286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8.2555642658296194E-2</v>
      </c>
      <c r="H2269" s="1" cm="1">
        <f t="array" ref="H2269">SUMPRODUCT(([1]OUT_FinalEnergyCons!$B$4:$B$10000="var_ncap")*1, (ISNUMBER(SEARCH("RH*-WHSOLBR",[1]OUT_FinalEnergyCons!$A$4:$A$10000)))*1,[1]OUT_FinalEnergyCons!F$4:F$10000)</f>
        <v>2.4542595276112202E-7</v>
      </c>
      <c r="I2269" s="1" cm="1">
        <f t="array" ref="I2269">SUMPRODUCT(([1]OUT_FinalEnergyCons!$B$4:$B$10000="var_ncap")*1, (ISNUMBER(SEARCH("RH*-WHSOLBR",[1]OUT_FinalEnergyCons!$A$4:$A$10000)))*1,[1]OUT_FinalEnergyCons!G$4:G$10000)</f>
        <v>9.8621408572408308E-7</v>
      </c>
      <c r="J2269" s="1" cm="1">
        <f t="array" ref="J2269">SUMPRODUCT(([1]OUT_FinalEnergyCons!$B$4:$B$10000="var_ncap")*1, (ISNUMBER(SEARCH("RH*-WHSOLBR",[1]OUT_FinalEnergyCons!$A$4:$A$10000)))*1,[1]OUT_FinalEnergyCons!H$4:H$10000)</f>
        <v>0.11327894373570201</v>
      </c>
      <c r="K2269" s="1" cm="1">
        <f t="array" ref="K2269">SUMPRODUCT(([1]OUT_FinalEnergyCons!$B$4:$B$10000="var_ncap")*1, (ISNUMBER(SEARCH("RH*-WHSOLBR",[1]OUT_FinalEnergyCons!$A$4:$A$10000)))*1,[1]OUT_FinalEnergyCons!I$4:I$10000)</f>
        <v>4.2952705225627802E-2</v>
      </c>
      <c r="L2269" s="1" cm="1">
        <f t="array" ref="L2269">SUMPRODUCT(([1]OUT_FinalEnergyCons!$B$4:$B$10000="var_ncap")*1, (ISNUMBER(SEARCH("RH*-WHSOLBR",[1]OUT_FinalEnergyCons!$A$4:$A$10000)))*1,[1]OUT_FinalEnergyCons!J$4:J$10000)</f>
        <v>4.1619857312261097E-6</v>
      </c>
      <c r="M2269" s="1" cm="1">
        <f t="array" ref="M2269">SUMPRODUCT(([1]OUT_FinalEnergyCons!$B$4:$B$10000="var_ncap")*1, (ISNUMBER(SEARCH("RH*-WHSOLBR",[1]OUT_FinalEnergyCons!$A$4:$A$10000)))*1,[1]OUT_FinalEnergyCons!K$4:K$10000)</f>
        <v>0.63420188847560099</v>
      </c>
      <c r="N2269" s="1" cm="1">
        <f t="array" ref="N2269">SUMPRODUCT(([1]OUT_FinalEnergyCons!$B$4:$B$10000="var_ncap")*1, (ISNUMBER(SEARCH("RH*-WHSOLBR",[1]OUT_FinalEnergyCons!$A$4:$A$10000)))*1,[1]OUT_FinalEnergyCons!L$4:L$10000)</f>
        <v>1.1242766014963899E-2</v>
      </c>
      <c r="O2269" s="1" cm="1">
        <f t="array" ref="O2269">SUMPRODUCT(([1]OUT_FinalEnergyCons!$B$4:$B$10000="var_ncap")*1, (ISNUMBER(SEARCH("RH*-WHSOLBR",[1]OUT_FinalEnergyCons!$A$4:$A$10000)))*1,[1]OUT_FinalEnergyCons!M$4:M$10000)</f>
        <v>8.9351493188297403E-3</v>
      </c>
      <c r="P2269" s="1" cm="1">
        <f t="array" ref="P2269">SUMPRODUCT(([1]OUT_FinalEnergyCons!$B$4:$B$10000="var_ncap")*1, (ISNUMBER(SEARCH("RH*-WHSOLBR",[1]OUT_FinalEnergyCons!$A$4:$A$10000)))*1,[1]OUT_FinalEnergyCons!N$4:N$10000)</f>
        <v>0.384908343786243</v>
      </c>
      <c r="Q2269" s="1" cm="1">
        <f t="array" ref="Q2269">SUMPRODUCT(([1]OUT_FinalEnergyCons!$B$4:$B$10000="var_ncap")*1, (ISNUMBER(SEARCH("RH*-WHSOLBR",[1]OUT_FinalEnergyCons!$A$4:$A$10000)))*1,[1]OUT_FinalEnergyCons!O$4:O$10000)</f>
        <v>1.9939894360496801E-5</v>
      </c>
      <c r="S2269" s="3"/>
    </row>
    <row r="2270" spans="2:19" x14ac:dyDescent="0.5">
      <c r="B2270" s="5" t="str">
        <f t="shared" si="2284"/>
        <v>SPS1</v>
      </c>
      <c r="C2270" s="5" t="str">
        <f t="shared" si="2285"/>
        <v>CH</v>
      </c>
      <c r="D2270" t="s">
        <v>2404</v>
      </c>
      <c r="E2270" t="str">
        <f t="shared" si="2286"/>
        <v>GWth/yr.</v>
      </c>
      <c r="F2270" s="1">
        <f t="shared" ref="F2270:O2270" si="2288">F2271</f>
        <v>0</v>
      </c>
      <c r="G2270" s="1">
        <f t="shared" si="2288"/>
        <v>0</v>
      </c>
      <c r="H2270" s="1">
        <f t="shared" si="2288"/>
        <v>0</v>
      </c>
      <c r="I2270" s="1">
        <f t="shared" si="2288"/>
        <v>0</v>
      </c>
      <c r="J2270" s="1">
        <f t="shared" si="2288"/>
        <v>0</v>
      </c>
      <c r="K2270" s="1">
        <f t="shared" si="2288"/>
        <v>0</v>
      </c>
      <c r="L2270" s="1">
        <f t="shared" si="2288"/>
        <v>0</v>
      </c>
      <c r="M2270" s="1">
        <f t="shared" si="2288"/>
        <v>0</v>
      </c>
      <c r="N2270" s="1">
        <f t="shared" si="2288"/>
        <v>0</v>
      </c>
      <c r="O2270" s="1">
        <f t="shared" si="2288"/>
        <v>0</v>
      </c>
      <c r="P2270" s="1">
        <f>P2271</f>
        <v>0</v>
      </c>
      <c r="Q2270" s="1">
        <f>Q2271</f>
        <v>0</v>
      </c>
      <c r="S2270" s="3"/>
    </row>
    <row r="2271" spans="2:19" x14ac:dyDescent="0.5">
      <c r="B2271" s="5" t="str">
        <f t="shared" si="2284"/>
        <v>SPS1</v>
      </c>
      <c r="C2271" s="5" t="str">
        <f t="shared" si="2285"/>
        <v>CH</v>
      </c>
      <c r="D2271" t="s">
        <v>2405</v>
      </c>
      <c r="E2271" t="str">
        <f t="shared" si="2286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SUMPRODUCT(([1]OUT_FinalEnergyCons!$B$4:$B$10000="var_ncap")*1, (ISNUMBER(SEARCH("RH*-WHH2BR",[1]OUT_FinalEnergyCons!$A$4:$A$10000)))*1,[1]OUT_FinalEnergyCons!H$4:H$10000)</f>
        <v>0</v>
      </c>
      <c r="K2271" s="1" cm="1">
        <f t="array" ref="K2271">SUMPRODUCT(([1]OUT_FinalEnergyCons!$B$4:$B$10000="var_ncap")*1, (ISNUMBER(SEARCH("RH*-WHH2BR",[1]OUT_FinalEnergyCons!$A$4:$A$10000)))*1,[1]OUT_FinalEnergyCons!I$4:I$10000)</f>
        <v>0</v>
      </c>
      <c r="L2271" s="1" cm="1">
        <f t="array" ref="L2271">SUMPRODUCT(([1]OUT_FinalEnergyCons!$B$4:$B$10000="var_ncap")*1, (ISNUMBER(SEARCH("RH*-WHH2BR",[1]OUT_FinalEnergyCons!$A$4:$A$10000)))*1,[1]OUT_FinalEnergyCons!J$4:J$10000)</f>
        <v>0</v>
      </c>
      <c r="M2271" s="1" cm="1">
        <f t="array" ref="M2271">SUMPRODUCT(([1]OUT_FinalEnergyCons!$B$4:$B$10000="var_ncap")*1, (ISNUMBER(SEARCH("RH*-WHH2BR",[1]OUT_FinalEnergyCons!$A$4:$A$10000)))*1,[1]OUT_FinalEnergyCons!K$4:K$10000)</f>
        <v>0</v>
      </c>
      <c r="N2271" s="1" cm="1">
        <f t="array" ref="N2271">SUMPRODUCT(([1]OUT_FinalEnergyCons!$B$4:$B$10000="var_ncap")*1, (ISNUMBER(SEARCH("RH*-WHH2BR",[1]OUT_FinalEnergyCons!$A$4:$A$10000)))*1,[1]OUT_FinalEnergyCons!L$4:L$10000)</f>
        <v>0</v>
      </c>
      <c r="O2271" s="1" cm="1">
        <f t="array" ref="O2271">SUMPRODUCT(([1]OUT_FinalEnergyCons!$B$4:$B$10000="var_ncap")*1, (ISNUMBER(SEARCH("RH*-WHH2BR",[1]OUT_FinalEnergyCons!$A$4:$A$10000)))*1,[1]OUT_FinalEnergyCons!M$4:M$10000)</f>
        <v>0</v>
      </c>
      <c r="P2271" s="1" cm="1">
        <f t="array" ref="P2271">SUMPRODUCT(([1]OUT_FinalEnergyCons!$B$4:$B$10000="var_ncap")*1, (ISNUMBER(SEARCH("RH*-WHH2BR",[1]OUT_FinalEnergyCons!$A$4:$A$10000)))*1,[1]OUT_FinalEnergyCons!N$4:N$10000)</f>
        <v>0</v>
      </c>
      <c r="Q2271" s="1" cm="1">
        <f t="array" ref="Q2271">SUMPRODUCT(([1]OUT_FinalEnergyCons!$B$4:$B$10000="var_ncap")*1, (ISNUMBER(SEARCH("RH*-WHH2BR",[1]OUT_FinalEnergyCons!$A$4:$A$10000)))*1,[1]OUT_FinalEnergyCons!O$4:O$10000)</f>
        <v>0</v>
      </c>
      <c r="S2271" s="3"/>
    </row>
    <row r="2272" spans="2:19" x14ac:dyDescent="0.5">
      <c r="B2272" s="9" t="str">
        <f t="shared" si="2284"/>
        <v>SPS1</v>
      </c>
      <c r="C2272" s="9" t="str">
        <f t="shared" si="2285"/>
        <v>CH</v>
      </c>
      <c r="D2272" s="2" t="s">
        <v>2406</v>
      </c>
      <c r="E2272" s="9" t="str">
        <f t="shared" si="2286"/>
        <v>GWth/yr.</v>
      </c>
      <c r="F2272" s="17">
        <f t="shared" ref="F2272:K2272" si="2289">SUM(F2273,F2276,F2279,F2283,F2285,F2287,F2289,F2291,F2293)</f>
        <v>4.4488613101672402E-5</v>
      </c>
      <c r="G2272" s="17">
        <f t="shared" si="2289"/>
        <v>0.24553281544759947</v>
      </c>
      <c r="H2272" s="17">
        <f t="shared" si="2289"/>
        <v>0.11969445732349819</v>
      </c>
      <c r="I2272" s="17">
        <f t="shared" si="2289"/>
        <v>0.33742541238433726</v>
      </c>
      <c r="J2272" s="17">
        <f t="shared" si="2289"/>
        <v>2.7642851885007587</v>
      </c>
      <c r="K2272" s="17">
        <f t="shared" si="2289"/>
        <v>0.91392115627548554</v>
      </c>
      <c r="L2272" s="17">
        <f t="shared" ref="L2272:O2272" si="2290">SUM(L2273,L2276,L2279,L2283,L2285,L2287,L2289,L2291,L2293)</f>
        <v>0.54780185715247387</v>
      </c>
      <c r="M2272" s="17">
        <f t="shared" si="2290"/>
        <v>2.4671641767832826</v>
      </c>
      <c r="N2272" s="17">
        <f t="shared" si="2290"/>
        <v>0.63266203793108977</v>
      </c>
      <c r="O2272" s="17">
        <f t="shared" si="2290"/>
        <v>0.67221820328326387</v>
      </c>
      <c r="P2272" s="17">
        <f>SUM(P2273,P2276,P2279,P2283,P2285,P2287,P2289,P2291,P2293)</f>
        <v>2.1299165872853338</v>
      </c>
      <c r="Q2272" s="17">
        <f>SUM(Q2273,Q2276,Q2279,Q2283,Q2285,Q2287,Q2289,Q2291,Q2293)</f>
        <v>0.79832021773260142</v>
      </c>
      <c r="S2272" s="3"/>
    </row>
    <row r="2273" spans="2:19" x14ac:dyDescent="0.5">
      <c r="B2273" s="5" t="str">
        <f t="shared" si="2284"/>
        <v>SPS1</v>
      </c>
      <c r="C2273" s="5" t="str">
        <f t="shared" si="2285"/>
        <v>CH</v>
      </c>
      <c r="D2273" t="s">
        <v>2407</v>
      </c>
      <c r="E2273" t="str">
        <f t="shared" si="2286"/>
        <v>GWth/yr.</v>
      </c>
      <c r="F2273" s="18">
        <f t="shared" ref="F2273:K2273" si="2291">SUM(F2274:F2275)</f>
        <v>0</v>
      </c>
      <c r="G2273" s="18">
        <f t="shared" si="2291"/>
        <v>0.18300721437043491</v>
      </c>
      <c r="H2273" s="18">
        <f t="shared" si="2291"/>
        <v>0.11966102483484002</v>
      </c>
      <c r="I2273" s="18">
        <f t="shared" si="2291"/>
        <v>0.30171179155091199</v>
      </c>
      <c r="J2273" s="18">
        <f t="shared" si="2291"/>
        <v>0.94747504917812309</v>
      </c>
      <c r="K2273" s="18">
        <f t="shared" si="2291"/>
        <v>0.396216115513911</v>
      </c>
      <c r="L2273" s="18">
        <f t="shared" ref="L2273:O2273" si="2292">SUM(L2274:L2275)</f>
        <v>0.50723766975611395</v>
      </c>
      <c r="M2273" s="18">
        <f t="shared" si="2292"/>
        <v>0.97130896753279994</v>
      </c>
      <c r="N2273" s="18">
        <f t="shared" si="2292"/>
        <v>0.42862865501761999</v>
      </c>
      <c r="O2273" s="18">
        <f t="shared" si="2292"/>
        <v>0.49148673274787402</v>
      </c>
      <c r="P2273" s="18">
        <f>SUM(P2274:P2275)</f>
        <v>0.91267352877809205</v>
      </c>
      <c r="Q2273" s="18">
        <f>SUM(Q2274:Q2275)</f>
        <v>0.45615556657177797</v>
      </c>
      <c r="S2273" s="3"/>
    </row>
    <row r="2274" spans="2:19" x14ac:dyDescent="0.5">
      <c r="B2274" s="5" t="str">
        <f t="shared" si="2284"/>
        <v>SPS1</v>
      </c>
      <c r="C2274" s="5" t="str">
        <f t="shared" si="2285"/>
        <v>CH</v>
      </c>
      <c r="D2274" t="s">
        <v>2408</v>
      </c>
      <c r="E2274" t="str">
        <f t="shared" si="2286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0.167053734336293</v>
      </c>
      <c r="H2274" s="1" cm="1">
        <f t="array" ref="H2274">SUMPRODUCT(([1]OUT_FinalEnergyCons!$B$4:$B$10000="var_ncap")*1,  (ISNUMBER(SEARCH("ITOT-SWHELCBR",[1]OUT_FinalEnergyCons!$A$4:$A$10000)))*1,[1]OUT_FinalEnergyCons!F$4:F$10000)</f>
        <v>8.1254244275014799E-5</v>
      </c>
      <c r="I2274" s="1" cm="1">
        <f t="array" ref="I2274">SUMPRODUCT(([1]OUT_FinalEnergyCons!$B$4:$B$10000="var_ncap")*1,  (ISNUMBER(SEARCH("ITOT-SWHELCBR",[1]OUT_FinalEnergyCons!$A$4:$A$10000)))*1,[1]OUT_FinalEnergyCons!G$4:G$10000)</f>
        <v>0.174159569615772</v>
      </c>
      <c r="J2274" s="1" cm="1">
        <f t="array" ref="J2274">SUMPRODUCT(([1]OUT_FinalEnergyCons!$B$4:$B$10000="var_ncap")*1,  (ISNUMBER(SEARCH("ITOT-SWHELCBR",[1]OUT_FinalEnergyCons!$A$4:$A$10000)))*1,[1]OUT_FinalEnergyCons!H$4:H$10000)</f>
        <v>0.76994382717922905</v>
      </c>
      <c r="K2274" s="1" cm="1">
        <f t="array" ref="K2274">SUMPRODUCT(([1]OUT_FinalEnergyCons!$B$4:$B$10000="var_ncap")*1,  (ISNUMBER(SEARCH("ITOT-SWHELCBR",[1]OUT_FinalEnergyCons!$A$4:$A$10000)))*1,[1]OUT_FinalEnergyCons!I$4:I$10000)</f>
        <v>0.25403164557180002</v>
      </c>
      <c r="L2274" s="1" cm="1">
        <f t="array" ref="L2274">SUMPRODUCT(([1]OUT_FinalEnergyCons!$B$4:$B$10000="var_ncap")*1,  (ISNUMBER(SEARCH("ITOT-SWHELCBR",[1]OUT_FinalEnergyCons!$A$4:$A$10000)))*1,[1]OUT_FinalEnergyCons!J$4:J$10000)</f>
        <v>0.16571127617106399</v>
      </c>
      <c r="M2274" s="1" cm="1">
        <f t="array" ref="M2274">SUMPRODUCT(([1]OUT_FinalEnergyCons!$B$4:$B$10000="var_ncap")*1,  (ISNUMBER(SEARCH("ITOT-SWHELCBR",[1]OUT_FinalEnergyCons!$A$4:$A$10000)))*1,[1]OUT_FinalEnergyCons!K$4:K$10000)</f>
        <v>0.76497077424021398</v>
      </c>
      <c r="N2274" s="1" cm="1">
        <f t="array" ref="N2274">SUMPRODUCT(([1]OUT_FinalEnergyCons!$B$4:$B$10000="var_ncap")*1,  (ISNUMBER(SEARCH("ITOT-SWHELCBR",[1]OUT_FinalEnergyCons!$A$4:$A$10000)))*1,[1]OUT_FinalEnergyCons!L$4:L$10000)</f>
        <v>0.227892285842349</v>
      </c>
      <c r="O2274" s="1" cm="1">
        <f t="array" ref="O2274">SUMPRODUCT(([1]OUT_FinalEnergyCons!$B$4:$B$10000="var_ncap")*1,  (ISNUMBER(SEARCH("ITOT-SWHELCBR",[1]OUT_FinalEnergyCons!$A$4:$A$10000)))*1,[1]OUT_FinalEnergyCons!M$4:M$10000)</f>
        <v>0.17438797524710201</v>
      </c>
      <c r="P2274" s="1" cm="1">
        <f t="array" ref="P2274">SUMPRODUCT(([1]OUT_FinalEnergyCons!$B$4:$B$10000="var_ncap")*1,  (ISNUMBER(SEARCH("ITOT-SWHELCBR",[1]OUT_FinalEnergyCons!$A$4:$A$10000)))*1,[1]OUT_FinalEnergyCons!N$4:N$10000)</f>
        <v>0.68486050090453199</v>
      </c>
      <c r="Q2274" s="1" cm="1">
        <f t="array" ref="Q2274">SUMPRODUCT(([1]OUT_FinalEnergyCons!$B$4:$B$10000="var_ncap")*1,  (ISNUMBER(SEARCH("ITOT-SWHELCBR",[1]OUT_FinalEnergyCons!$A$4:$A$10000)))*1,[1]OUT_FinalEnergyCons!O$4:O$10000)</f>
        <v>0.28250733657425497</v>
      </c>
      <c r="S2274" s="3"/>
    </row>
    <row r="2275" spans="2:19" x14ac:dyDescent="0.5">
      <c r="B2275" s="5" t="str">
        <f t="shared" si="2284"/>
        <v>SPS1</v>
      </c>
      <c r="C2275" s="5" t="str">
        <f t="shared" si="2285"/>
        <v>CH</v>
      </c>
      <c r="D2275" t="s">
        <v>2409</v>
      </c>
      <c r="E2275" t="str">
        <f t="shared" si="2286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1.59534800341419E-2</v>
      </c>
      <c r="H2275" s="1" cm="1">
        <f t="array" ref="H2275">SUMPRODUCT(([1]OUT_FinalEnergyCons!$B$4:$B$10000="var_ncap")*1,  (ISNUMBER(SEARCH("ITOT-SWHELCHP",[1]OUT_FinalEnergyCons!$A$4:$A$10000)))*1,[1]OUT_FinalEnergyCons!F$4:F$10000)</f>
        <v>0.119579770590565</v>
      </c>
      <c r="I2275" s="1" cm="1">
        <f t="array" ref="I2275">SUMPRODUCT(([1]OUT_FinalEnergyCons!$B$4:$B$10000="var_ncap")*1,  (ISNUMBER(SEARCH("ITOT-SWHELCHP",[1]OUT_FinalEnergyCons!$A$4:$A$10000)))*1,[1]OUT_FinalEnergyCons!G$4:G$10000)</f>
        <v>0.12755222193513999</v>
      </c>
      <c r="J2275" s="1" cm="1">
        <f t="array" ref="J2275">SUMPRODUCT(([1]OUT_FinalEnergyCons!$B$4:$B$10000="var_ncap")*1,  (ISNUMBER(SEARCH("ITOT-SWHELCHP",[1]OUT_FinalEnergyCons!$A$4:$A$10000)))*1,[1]OUT_FinalEnergyCons!H$4:H$10000)</f>
        <v>0.17753122199889401</v>
      </c>
      <c r="K2275" s="1" cm="1">
        <f t="array" ref="K2275">SUMPRODUCT(([1]OUT_FinalEnergyCons!$B$4:$B$10000="var_ncap")*1,  (ISNUMBER(SEARCH("ITOT-SWHELCHP",[1]OUT_FinalEnergyCons!$A$4:$A$10000)))*1,[1]OUT_FinalEnergyCons!I$4:I$10000)</f>
        <v>0.14218446994211101</v>
      </c>
      <c r="L2275" s="1" cm="1">
        <f t="array" ref="L2275">SUMPRODUCT(([1]OUT_FinalEnergyCons!$B$4:$B$10000="var_ncap")*1,  (ISNUMBER(SEARCH("ITOT-SWHELCHP",[1]OUT_FinalEnergyCons!$A$4:$A$10000)))*1,[1]OUT_FinalEnergyCons!J$4:J$10000)</f>
        <v>0.34152639358504999</v>
      </c>
      <c r="M2275" s="1" cm="1">
        <f t="array" ref="M2275">SUMPRODUCT(([1]OUT_FinalEnergyCons!$B$4:$B$10000="var_ncap")*1,  (ISNUMBER(SEARCH("ITOT-SWHELCHP",[1]OUT_FinalEnergyCons!$A$4:$A$10000)))*1,[1]OUT_FinalEnergyCons!K$4:K$10000)</f>
        <v>0.20633819329258599</v>
      </c>
      <c r="N2275" s="1" cm="1">
        <f t="array" ref="N2275">SUMPRODUCT(([1]OUT_FinalEnergyCons!$B$4:$B$10000="var_ncap")*1,  (ISNUMBER(SEARCH("ITOT-SWHELCHP",[1]OUT_FinalEnergyCons!$A$4:$A$10000)))*1,[1]OUT_FinalEnergyCons!L$4:L$10000)</f>
        <v>0.20073636917527099</v>
      </c>
      <c r="O2275" s="1" cm="1">
        <f t="array" ref="O2275">SUMPRODUCT(([1]OUT_FinalEnergyCons!$B$4:$B$10000="var_ncap")*1,  (ISNUMBER(SEARCH("ITOT-SWHELCHP",[1]OUT_FinalEnergyCons!$A$4:$A$10000)))*1,[1]OUT_FinalEnergyCons!M$4:M$10000)</f>
        <v>0.31709875750077199</v>
      </c>
      <c r="P2275" s="1" cm="1">
        <f t="array" ref="P2275">SUMPRODUCT(([1]OUT_FinalEnergyCons!$B$4:$B$10000="var_ncap")*1,  (ISNUMBER(SEARCH("ITOT-SWHELCHP",[1]OUT_FinalEnergyCons!$A$4:$A$10000)))*1,[1]OUT_FinalEnergyCons!N$4:N$10000)</f>
        <v>0.22781302787356</v>
      </c>
      <c r="Q2275" s="1" cm="1">
        <f t="array" ref="Q2275">SUMPRODUCT(([1]OUT_FinalEnergyCons!$B$4:$B$10000="var_ncap")*1,  (ISNUMBER(SEARCH("ITOT-SWHELCHP",[1]OUT_FinalEnergyCons!$A$4:$A$10000)))*1,[1]OUT_FinalEnergyCons!O$4:O$10000)</f>
        <v>0.173648229997523</v>
      </c>
      <c r="S2275" s="3"/>
    </row>
    <row r="2276" spans="2:19" x14ac:dyDescent="0.5">
      <c r="B2276" s="5" t="str">
        <f t="shared" si="2284"/>
        <v>SPS1</v>
      </c>
      <c r="C2276" s="5" t="str">
        <f t="shared" si="2285"/>
        <v>CH</v>
      </c>
      <c r="D2276" t="s">
        <v>2410</v>
      </c>
      <c r="E2276" t="str">
        <f t="shared" si="2286"/>
        <v>GWth/yr.</v>
      </c>
      <c r="F2276" s="18">
        <f t="shared" ref="F2276:K2276" si="2293">SUM(F2277:F2278)</f>
        <v>4.4488613101672402E-5</v>
      </c>
      <c r="G2276" s="18">
        <f t="shared" si="2293"/>
        <v>4.0491712534244541E-5</v>
      </c>
      <c r="H2276" s="18">
        <f t="shared" si="2293"/>
        <v>1.051211781749552E-5</v>
      </c>
      <c r="I2276" s="18">
        <f t="shared" si="2293"/>
        <v>1.1118316961743699E-5</v>
      </c>
      <c r="J2276" s="18">
        <f t="shared" si="2293"/>
        <v>0.13151525259569777</v>
      </c>
      <c r="K2276" s="18">
        <f t="shared" si="2293"/>
        <v>7.6534699405547302E-2</v>
      </c>
      <c r="L2276" s="18">
        <f t="shared" ref="L2276:O2276" si="2294">SUM(L2277:L2278)</f>
        <v>1.11894054308507E-5</v>
      </c>
      <c r="M2276" s="18">
        <f t="shared" si="2294"/>
        <v>1.2448343442073266E-2</v>
      </c>
      <c r="N2276" s="18">
        <f t="shared" si="2294"/>
        <v>6.4272866148505192E-2</v>
      </c>
      <c r="O2276" s="18">
        <f t="shared" si="2294"/>
        <v>5.3641589197574147E-4</v>
      </c>
      <c r="P2276" s="18">
        <f>SUM(P2277:P2278)</f>
        <v>1.4185318430760794E-4</v>
      </c>
      <c r="Q2276" s="18">
        <f>SUM(Q2277:Q2278)</f>
        <v>4.2190996080022906E-2</v>
      </c>
      <c r="S2276" s="3"/>
    </row>
    <row r="2277" spans="2:19" x14ac:dyDescent="0.5">
      <c r="B2277" s="5" t="str">
        <f t="shared" si="2284"/>
        <v>SPS1</v>
      </c>
      <c r="C2277" s="5" t="str">
        <f t="shared" si="2285"/>
        <v>CH</v>
      </c>
      <c r="D2277" t="s">
        <v>2411</v>
      </c>
      <c r="E2277" t="str">
        <f t="shared" si="2286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3.5991329973944302E-5</v>
      </c>
      <c r="H2277" s="1" cm="1">
        <f t="array" ref="H2277">SUMPRODUCT(([1]OUT_FinalEnergyCons!$B$4:$B$10000="var_ncap")*1,  (ISNUMBER(SEARCH("ITOT-SWHLFOBR",[1]OUT_FinalEnergyCons!$A$4:$A$10000)))*1,[1]OUT_FinalEnergyCons!F$4:F$10000)</f>
        <v>6.8883827474728402E-6</v>
      </c>
      <c r="I2277" s="1" cm="1">
        <f t="array" ref="I2277">SUMPRODUCT(([1]OUT_FinalEnergyCons!$B$4:$B$10000="var_ncap")*1,  (ISNUMBER(SEARCH("ITOT-SWHLFOBR",[1]OUT_FinalEnergyCons!$A$4:$A$10000)))*1,[1]OUT_FinalEnergyCons!G$4:G$10000)</f>
        <v>8.5068485261516194E-6</v>
      </c>
      <c r="J2277" s="1" cm="1">
        <f t="array" ref="J2277">SUMPRODUCT(([1]OUT_FinalEnergyCons!$B$4:$B$10000="var_ncap")*1,  (ISNUMBER(SEARCH("ITOT-SWHLFOBR",[1]OUT_FinalEnergyCons!$A$4:$A$10000)))*1,[1]OUT_FinalEnergyCons!H$4:H$10000)</f>
        <v>0.13151121636767499</v>
      </c>
      <c r="K2277" s="1" cm="1">
        <f t="array" ref="K2277">SUMPRODUCT(([1]OUT_FinalEnergyCons!$B$4:$B$10000="var_ncap")*1,  (ISNUMBER(SEARCH("ITOT-SWHLFOBR",[1]OUT_FinalEnergyCons!$A$4:$A$10000)))*1,[1]OUT_FinalEnergyCons!I$4:I$10000)</f>
        <v>7.6501116743591904E-2</v>
      </c>
      <c r="L2277" s="1" cm="1">
        <f t="array" ref="L2277">SUMPRODUCT(([1]OUT_FinalEnergyCons!$B$4:$B$10000="var_ncap")*1,  (ISNUMBER(SEARCH("ITOT-SWHLFOBR",[1]OUT_FinalEnergyCons!$A$4:$A$10000)))*1,[1]OUT_FinalEnergyCons!J$4:J$10000)</f>
        <v>7.4684404294394199E-6</v>
      </c>
      <c r="M2277" s="1" cm="1">
        <f t="array" ref="M2277">SUMPRODUCT(([1]OUT_FinalEnergyCons!$B$4:$B$10000="var_ncap")*1,  (ISNUMBER(SEARCH("ITOT-SWHLFOBR",[1]OUT_FinalEnergyCons!$A$4:$A$10000)))*1,[1]OUT_FinalEnergyCons!K$4:K$10000)</f>
        <v>1.2445934324489301E-2</v>
      </c>
      <c r="N2277" s="1" cm="1">
        <f t="array" ref="N2277">SUMPRODUCT(([1]OUT_FinalEnergyCons!$B$4:$B$10000="var_ncap")*1,  (ISNUMBER(SEARCH("ITOT-SWHLFOBR",[1]OUT_FinalEnergyCons!$A$4:$A$10000)))*1,[1]OUT_FinalEnergyCons!L$4:L$10000)</f>
        <v>6.4268919917871203E-2</v>
      </c>
      <c r="O2277" s="1" cm="1">
        <f t="array" ref="O2277">SUMPRODUCT(([1]OUT_FinalEnergyCons!$B$4:$B$10000="var_ncap")*1,  (ISNUMBER(SEARCH("ITOT-SWHLFOBR",[1]OUT_FinalEnergyCons!$A$4:$A$10000)))*1,[1]OUT_FinalEnergyCons!M$4:M$10000)</f>
        <v>5.3280859028848103E-4</v>
      </c>
      <c r="P2277" s="1" cm="1">
        <f t="array" ref="P2277">SUMPRODUCT(([1]OUT_FinalEnergyCons!$B$4:$B$10000="var_ncap")*1,  (ISNUMBER(SEARCH("ITOT-SWHLFOBR",[1]OUT_FinalEnergyCons!$A$4:$A$10000)))*1,[1]OUT_FinalEnergyCons!N$4:N$10000)</f>
        <v>1.39417953791101E-4</v>
      </c>
      <c r="Q2277" s="1" cm="1">
        <f t="array" ref="Q2277">SUMPRODUCT(([1]OUT_FinalEnergyCons!$B$4:$B$10000="var_ncap")*1,  (ISNUMBER(SEARCH("ITOT-SWHLFOBR",[1]OUT_FinalEnergyCons!$A$4:$A$10000)))*1,[1]OUT_FinalEnergyCons!O$4:O$10000)</f>
        <v>4.2189815285666399E-2</v>
      </c>
      <c r="S2277" s="3"/>
    </row>
    <row r="2278" spans="2:19" x14ac:dyDescent="0.5">
      <c r="B2278" s="5" t="str">
        <f t="shared" si="2284"/>
        <v>SPS1</v>
      </c>
      <c r="C2278" s="5" t="str">
        <f t="shared" si="2285"/>
        <v>CH</v>
      </c>
      <c r="D2278" t="s">
        <v>2412</v>
      </c>
      <c r="E2278" t="str">
        <f t="shared" si="2286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4.4488613101672402E-5</v>
      </c>
      <c r="G2278" s="1" cm="1">
        <f t="array" ref="G2278">SUMPRODUCT(([1]OUT_FinalEnergyCons!$B$4:$B$10000="var_ncap")*1,  (ISNUMBER(SEARCH("ITOT-SWHHFOBR",[1]OUT_FinalEnergyCons!$A$4:$A$10000)))*1,[1]OUT_FinalEnergyCons!E$4:E$10000)</f>
        <v>4.5003825603002397E-6</v>
      </c>
      <c r="H2278" s="1" cm="1">
        <f t="array" ref="H2278">SUMPRODUCT(([1]OUT_FinalEnergyCons!$B$4:$B$10000="var_ncap")*1,  (ISNUMBER(SEARCH("ITOT-SWHHFOBR",[1]OUT_FinalEnergyCons!$A$4:$A$10000)))*1,[1]OUT_FinalEnergyCons!F$4:F$10000)</f>
        <v>3.6237350700226798E-6</v>
      </c>
      <c r="I2278" s="1" cm="1">
        <f t="array" ref="I2278">SUMPRODUCT(([1]OUT_FinalEnergyCons!$B$4:$B$10000="var_ncap")*1,  (ISNUMBER(SEARCH("ITOT-SWHHFOBR",[1]OUT_FinalEnergyCons!$A$4:$A$10000)))*1,[1]OUT_FinalEnergyCons!G$4:G$10000)</f>
        <v>2.6114684355920801E-6</v>
      </c>
      <c r="J2278" s="1" cm="1">
        <f t="array" ref="J2278">SUMPRODUCT(([1]OUT_FinalEnergyCons!$B$4:$B$10000="var_ncap")*1,  (ISNUMBER(SEARCH("ITOT-SWHHFOBR",[1]OUT_FinalEnergyCons!$A$4:$A$10000)))*1,[1]OUT_FinalEnergyCons!H$4:H$10000)</f>
        <v>4.0362280227721101E-6</v>
      </c>
      <c r="K2278" s="1" cm="1">
        <f t="array" ref="K2278">SUMPRODUCT(([1]OUT_FinalEnergyCons!$B$4:$B$10000="var_ncap")*1,  (ISNUMBER(SEARCH("ITOT-SWHHFOBR",[1]OUT_FinalEnergyCons!$A$4:$A$10000)))*1,[1]OUT_FinalEnergyCons!I$4:I$10000)</f>
        <v>3.3582661955393899E-5</v>
      </c>
      <c r="L2278" s="1" cm="1">
        <f t="array" ref="L2278">SUMPRODUCT(([1]OUT_FinalEnergyCons!$B$4:$B$10000="var_ncap")*1,  (ISNUMBER(SEARCH("ITOT-SWHHFOBR",[1]OUT_FinalEnergyCons!$A$4:$A$10000)))*1,[1]OUT_FinalEnergyCons!J$4:J$10000)</f>
        <v>3.7209650014112798E-6</v>
      </c>
      <c r="M2278" s="1" cm="1">
        <f t="array" ref="M2278">SUMPRODUCT(([1]OUT_FinalEnergyCons!$B$4:$B$10000="var_ncap")*1,  (ISNUMBER(SEARCH("ITOT-SWHHFOBR",[1]OUT_FinalEnergyCons!$A$4:$A$10000)))*1,[1]OUT_FinalEnergyCons!K$4:K$10000)</f>
        <v>2.4091175839645201E-6</v>
      </c>
      <c r="N2278" s="1" cm="1">
        <f t="array" ref="N2278">SUMPRODUCT(([1]OUT_FinalEnergyCons!$B$4:$B$10000="var_ncap")*1,  (ISNUMBER(SEARCH("ITOT-SWHHFOBR",[1]OUT_FinalEnergyCons!$A$4:$A$10000)))*1,[1]OUT_FinalEnergyCons!L$4:L$10000)</f>
        <v>3.9462306339931597E-6</v>
      </c>
      <c r="O2278" s="1" cm="1">
        <f t="array" ref="O2278">SUMPRODUCT(([1]OUT_FinalEnergyCons!$B$4:$B$10000="var_ncap")*1,  (ISNUMBER(SEARCH("ITOT-SWHHFOBR",[1]OUT_FinalEnergyCons!$A$4:$A$10000)))*1,[1]OUT_FinalEnergyCons!M$4:M$10000)</f>
        <v>3.6073016872604398E-6</v>
      </c>
      <c r="P2278" s="1" cm="1">
        <f t="array" ref="P2278">SUMPRODUCT(([1]OUT_FinalEnergyCons!$B$4:$B$10000="var_ncap")*1,  (ISNUMBER(SEARCH("ITOT-SWHHFOBR",[1]OUT_FinalEnergyCons!$A$4:$A$10000)))*1,[1]OUT_FinalEnergyCons!N$4:N$10000)</f>
        <v>2.4352305165069401E-6</v>
      </c>
      <c r="Q2278" s="1" cm="1">
        <f t="array" ref="Q2278">SUMPRODUCT(([1]OUT_FinalEnergyCons!$B$4:$B$10000="var_ncap")*1,  (ISNUMBER(SEARCH("ITOT-SWHHFOBR",[1]OUT_FinalEnergyCons!$A$4:$A$10000)))*1,[1]OUT_FinalEnergyCons!O$4:O$10000)</f>
        <v>1.1807943565077601E-6</v>
      </c>
      <c r="S2278" s="3"/>
    </row>
    <row r="2279" spans="2:19" x14ac:dyDescent="0.5">
      <c r="B2279" s="5" t="str">
        <f t="shared" si="2284"/>
        <v>SPS1</v>
      </c>
      <c r="C2279" s="5" t="str">
        <f t="shared" si="2285"/>
        <v>CH</v>
      </c>
      <c r="D2279" t="s">
        <v>2413</v>
      </c>
      <c r="E2279" t="str">
        <f t="shared" si="2286"/>
        <v>GWth/yr.</v>
      </c>
      <c r="F2279" s="18">
        <f t="shared" ref="F2279:K2279" si="2295">SUM(F2280:F2281)</f>
        <v>0</v>
      </c>
      <c r="G2279" s="18">
        <f t="shared" si="2295"/>
        <v>1.6474374130032613E-4</v>
      </c>
      <c r="H2279" s="18">
        <f t="shared" si="2295"/>
        <v>6.2443904999079298E-6</v>
      </c>
      <c r="I2279" s="18">
        <f t="shared" si="2295"/>
        <v>5.3909270140349082E-6</v>
      </c>
      <c r="J2279" s="18">
        <f t="shared" si="2295"/>
        <v>0.40304475265042172</v>
      </c>
      <c r="K2279" s="18">
        <f t="shared" si="2295"/>
        <v>0.32965323625491222</v>
      </c>
      <c r="L2279" s="18">
        <f t="shared" ref="L2279:O2279" si="2296">SUM(L2280:L2281)</f>
        <v>8.4312742979283306E-6</v>
      </c>
      <c r="M2279" s="18">
        <f t="shared" si="2296"/>
        <v>3.6328631377853491E-5</v>
      </c>
      <c r="N2279" s="18">
        <f t="shared" si="2296"/>
        <v>1.8098526277068126E-2</v>
      </c>
      <c r="O2279" s="18">
        <f t="shared" si="2296"/>
        <v>3.4475596532946691E-2</v>
      </c>
      <c r="P2279" s="18">
        <f>SUM(P2280:P2281)</f>
        <v>1.598742712582774E-5</v>
      </c>
      <c r="Q2279" s="18">
        <f>SUM(Q2280:Q2281)</f>
        <v>1.4285525457671469E-4</v>
      </c>
      <c r="S2279" s="3"/>
    </row>
    <row r="2280" spans="2:19" x14ac:dyDescent="0.5">
      <c r="B2280" s="5" t="str">
        <f t="shared" si="2284"/>
        <v>SPS1</v>
      </c>
      <c r="C2280" s="5" t="str">
        <f t="shared" si="2285"/>
        <v>CH</v>
      </c>
      <c r="D2280" t="s">
        <v>2414</v>
      </c>
      <c r="E2280" t="str">
        <f t="shared" si="2286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5.6101740212191204E-6</v>
      </c>
      <c r="H2280" s="1" cm="1">
        <f t="array" ref="H2280">SUMPRODUCT(([1]OUT_FinalEnergyCons!$B$4:$B$10000="var_ncap")*1,  (ISNUMBER(SEARCH("ITOT-SWHNGA*BR",[1]OUT_FinalEnergyCons!$A$4:$A$10000)))*1,[1]OUT_FinalEnergyCons!F$4:F$10000)</f>
        <v>4.7753788563028901E-6</v>
      </c>
      <c r="I2280" s="1" cm="1">
        <f t="array" ref="I2280">SUMPRODUCT(([1]OUT_FinalEnergyCons!$B$4:$B$10000="var_ncap")*1,  (ISNUMBER(SEARCH("ITOT-SWHNGA*BR",[1]OUT_FinalEnergyCons!$A$4:$A$10000)))*1,[1]OUT_FinalEnergyCons!G$4:G$10000)</f>
        <v>5.1640077162607003E-6</v>
      </c>
      <c r="J2280" s="1" cm="1">
        <f t="array" ref="J2280">SUMPRODUCT(([1]OUT_FinalEnergyCons!$B$4:$B$10000="var_ncap")*1,  (ISNUMBER(SEARCH("ITOT-SWHNGA*BR",[1]OUT_FinalEnergyCons!$A$4:$A$10000)))*1,[1]OUT_FinalEnergyCons!H$4:H$10000)</f>
        <v>0.40301026441289101</v>
      </c>
      <c r="K2280" s="1" cm="1">
        <f t="array" ref="K2280">SUMPRODUCT(([1]OUT_FinalEnergyCons!$B$4:$B$10000="var_ncap")*1,  (ISNUMBER(SEARCH("ITOT-SWHNGA*BR",[1]OUT_FinalEnergyCons!$A$4:$A$10000)))*1,[1]OUT_FinalEnergyCons!I$4:I$10000)</f>
        <v>0.28314227099533701</v>
      </c>
      <c r="L2280" s="1" cm="1">
        <f t="array" ref="L2280">SUMPRODUCT(([1]OUT_FinalEnergyCons!$B$4:$B$10000="var_ncap")*1,  (ISNUMBER(SEARCH("ITOT-SWHNGA*BR",[1]OUT_FinalEnergyCons!$A$4:$A$10000)))*1,[1]OUT_FinalEnergyCons!J$4:J$10000)</f>
        <v>4.8365045720633304E-6</v>
      </c>
      <c r="M2280" s="1" cm="1">
        <f t="array" ref="M2280">SUMPRODUCT(([1]OUT_FinalEnergyCons!$B$4:$B$10000="var_ncap")*1,  (ISNUMBER(SEARCH("ITOT-SWHNGA*BR",[1]OUT_FinalEnergyCons!$A$4:$A$10000)))*1,[1]OUT_FinalEnergyCons!K$4:K$10000)</f>
        <v>3.3303085831458202E-5</v>
      </c>
      <c r="N2280" s="1" cm="1">
        <f t="array" ref="N2280">SUMPRODUCT(([1]OUT_FinalEnergyCons!$B$4:$B$10000="var_ncap")*1,  (ISNUMBER(SEARCH("ITOT-SWHNGA*BR",[1]OUT_FinalEnergyCons!$A$4:$A$10000)))*1,[1]OUT_FinalEnergyCons!L$4:L$10000)</f>
        <v>1.8095130220462802E-2</v>
      </c>
      <c r="O2280" s="1" cm="1">
        <f t="array" ref="O2280">SUMPRODUCT(([1]OUT_FinalEnergyCons!$B$4:$B$10000="var_ncap")*1,  (ISNUMBER(SEARCH("ITOT-SWHNGA*BR",[1]OUT_FinalEnergyCons!$A$4:$A$10000)))*1,[1]OUT_FinalEnergyCons!M$4:M$10000)</f>
        <v>3.3461047350666601E-2</v>
      </c>
      <c r="P2280" s="1" cm="1">
        <f t="array" ref="P2280">SUMPRODUCT(([1]OUT_FinalEnergyCons!$B$4:$B$10000="var_ncap")*1,  (ISNUMBER(SEARCH("ITOT-SWHNGA*BR",[1]OUT_FinalEnergyCons!$A$4:$A$10000)))*1,[1]OUT_FinalEnergyCons!N$4:N$10000)</f>
        <v>5.1225259330472403E-6</v>
      </c>
      <c r="Q2280" s="1" cm="1">
        <f t="array" ref="Q2280">SUMPRODUCT(([1]OUT_FinalEnergyCons!$B$4:$B$10000="var_ncap")*1,  (ISNUMBER(SEARCH("ITOT-SWHNGA*BR",[1]OUT_FinalEnergyCons!$A$4:$A$10000)))*1,[1]OUT_FinalEnergyCons!O$4:O$10000)</f>
        <v>2.4389146766267701E-5</v>
      </c>
      <c r="S2280" s="3"/>
    </row>
    <row r="2281" spans="2:19" x14ac:dyDescent="0.5">
      <c r="B2281" s="5" t="str">
        <f t="shared" si="2284"/>
        <v>SPS1</v>
      </c>
      <c r="C2281" s="5" t="str">
        <f t="shared" si="2285"/>
        <v>CH</v>
      </c>
      <c r="D2281" t="s">
        <v>2415</v>
      </c>
      <c r="E2281" t="str">
        <f t="shared" si="2286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1.5913356727910701E-4</v>
      </c>
      <c r="H2281" s="1" cm="1">
        <f t="array" ref="H2281">SUMPRODUCT(([1]OUT_FinalEnergyCons!$B$4:$B$10000="var_ncap")*1,  (ISNUMBER(SEARCH("ITOT-SWHNGAHP",[1]OUT_FinalEnergyCons!$A$4:$A$10000)))*1,[1]OUT_FinalEnergyCons!F$4:F$10000)</f>
        <v>1.4690116436050399E-6</v>
      </c>
      <c r="I2281" s="1" cm="1">
        <f t="array" ref="I2281">SUMPRODUCT(([1]OUT_FinalEnergyCons!$B$4:$B$10000="var_ncap")*1,  (ISNUMBER(SEARCH("ITOT-SWHNGAHP",[1]OUT_FinalEnergyCons!$A$4:$A$10000)))*1,[1]OUT_FinalEnergyCons!G$4:G$10000)</f>
        <v>2.2691929777420801E-7</v>
      </c>
      <c r="J2281" s="1" cm="1">
        <f t="array" ref="J2281">SUMPRODUCT(([1]OUT_FinalEnergyCons!$B$4:$B$10000="var_ncap")*1,  (ISNUMBER(SEARCH("ITOT-SWHNGAHP",[1]OUT_FinalEnergyCons!$A$4:$A$10000)))*1,[1]OUT_FinalEnergyCons!H$4:H$10000)</f>
        <v>3.4488237530731899E-5</v>
      </c>
      <c r="K2281" s="1" cm="1">
        <f t="array" ref="K2281">SUMPRODUCT(([1]OUT_FinalEnergyCons!$B$4:$B$10000="var_ncap")*1,  (ISNUMBER(SEARCH("ITOT-SWHNGAHP",[1]OUT_FinalEnergyCons!$A$4:$A$10000)))*1,[1]OUT_FinalEnergyCons!I$4:I$10000)</f>
        <v>4.6510965259575203E-2</v>
      </c>
      <c r="L2281" s="1" cm="1">
        <f t="array" ref="L2281">SUMPRODUCT(([1]OUT_FinalEnergyCons!$B$4:$B$10000="var_ncap")*1,  (ISNUMBER(SEARCH("ITOT-SWHNGAHP",[1]OUT_FinalEnergyCons!$A$4:$A$10000)))*1,[1]OUT_FinalEnergyCons!J$4:J$10000)</f>
        <v>3.5947697258649998E-6</v>
      </c>
      <c r="M2281" s="1" cm="1">
        <f t="array" ref="M2281">SUMPRODUCT(([1]OUT_FinalEnergyCons!$B$4:$B$10000="var_ncap")*1,  (ISNUMBER(SEARCH("ITOT-SWHNGAHP",[1]OUT_FinalEnergyCons!$A$4:$A$10000)))*1,[1]OUT_FinalEnergyCons!K$4:K$10000)</f>
        <v>3.0255455463952899E-6</v>
      </c>
      <c r="N2281" s="1" cm="1">
        <f t="array" ref="N2281">SUMPRODUCT(([1]OUT_FinalEnergyCons!$B$4:$B$10000="var_ncap")*1,  (ISNUMBER(SEARCH("ITOT-SWHNGAHP",[1]OUT_FinalEnergyCons!$A$4:$A$10000)))*1,[1]OUT_FinalEnergyCons!L$4:L$10000)</f>
        <v>3.3960566053252098E-6</v>
      </c>
      <c r="O2281" s="1" cm="1">
        <f t="array" ref="O2281">SUMPRODUCT(([1]OUT_FinalEnergyCons!$B$4:$B$10000="var_ncap")*1,  (ISNUMBER(SEARCH("ITOT-SWHNGAHP",[1]OUT_FinalEnergyCons!$A$4:$A$10000)))*1,[1]OUT_FinalEnergyCons!M$4:M$10000)</f>
        <v>1.0145491822800899E-3</v>
      </c>
      <c r="P2281" s="1" cm="1">
        <f t="array" ref="P2281">SUMPRODUCT(([1]OUT_FinalEnergyCons!$B$4:$B$10000="var_ncap")*1,  (ISNUMBER(SEARCH("ITOT-SWHNGAHP",[1]OUT_FinalEnergyCons!$A$4:$A$10000)))*1,[1]OUT_FinalEnergyCons!N$4:N$10000)</f>
        <v>1.08649011927805E-5</v>
      </c>
      <c r="Q2281" s="1" cm="1">
        <f t="array" ref="Q2281">SUMPRODUCT(([1]OUT_FinalEnergyCons!$B$4:$B$10000="var_ncap")*1,  (ISNUMBER(SEARCH("ITOT-SWHNGAHP",[1]OUT_FinalEnergyCons!$A$4:$A$10000)))*1,[1]OUT_FinalEnergyCons!O$4:O$10000)</f>
        <v>1.18466107810447E-4</v>
      </c>
      <c r="S2281" s="3"/>
    </row>
    <row r="2282" spans="2:19" x14ac:dyDescent="0.5">
      <c r="B2282" s="5" t="str">
        <f t="shared" si="2284"/>
        <v>SPS1</v>
      </c>
      <c r="C2282" s="5" t="str">
        <f t="shared" si="2285"/>
        <v>CH</v>
      </c>
      <c r="D2282" t="s">
        <v>2416</v>
      </c>
      <c r="E2282" t="str">
        <f t="shared" si="2286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8.2376857937055403E-3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0.103775031444933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0.11593087753737</v>
      </c>
      <c r="J2282" s="1" cm="1">
        <f t="array" ref="J2282">SUMPRODUCT(([1]OUT_FinalEnergyCons!$B$4:$B$10000="var_ncap")*1,  (("ITOT-SWHBIOBR"=[1]OUT_FinalEnergyCons!$A$4:$A$10000)*1+("ITOT-SWHBNGABR"=[1]OUT_FinalEnergyCons!$A$4:$A$10000))*1,[1]OUT_FinalEnergyCons!H$4:H$10000)</f>
        <v>3.4104840666173197E-2</v>
      </c>
      <c r="K2282" s="1" cm="1">
        <f t="array" ref="K2282">SUMPRODUCT(([1]OUT_FinalEnergyCons!$B$4:$B$10000="var_ncap")*1,  (("ITOT-SWHBIOBR"=[1]OUT_FinalEnergyCons!$A$4:$A$10000)*1+("ITOT-SWHBNGABR"=[1]OUT_FinalEnergyCons!$A$4:$A$10000))*1,[1]OUT_FinalEnergyCons!I$4:I$10000)</f>
        <v>0.23143396748751199</v>
      </c>
      <c r="L2282" s="1" cm="1">
        <f t="array" ref="L2282">SUMPRODUCT(([1]OUT_FinalEnergyCons!$B$4:$B$10000="var_ncap")*1,  (("ITOT-SWHBIOBR"=[1]OUT_FinalEnergyCons!$A$4:$A$10000)*1+("ITOT-SWHBNGABR"=[1]OUT_FinalEnergyCons!$A$4:$A$10000))*1,[1]OUT_FinalEnergyCons!J$4:J$10000)</f>
        <v>4.2906193416358297E-2</v>
      </c>
      <c r="M2282" s="1" cm="1">
        <f t="array" ref="M2282">SUMPRODUCT(([1]OUT_FinalEnergyCons!$B$4:$B$10000="var_ncap")*1,  (("ITOT-SWHBIOBR"=[1]OUT_FinalEnergyCons!$A$4:$A$10000)*1+("ITOT-SWHBNGABR"=[1]OUT_FinalEnergyCons!$A$4:$A$10000))*1,[1]OUT_FinalEnergyCons!K$4:K$10000)</f>
        <v>5.3970166022350698E-2</v>
      </c>
      <c r="N2282" s="1" cm="1">
        <f t="array" ref="N2282">SUMPRODUCT(([1]OUT_FinalEnergyCons!$B$4:$B$10000="var_ncap")*1,  (("ITOT-SWHBIOBR"=[1]OUT_FinalEnergyCons!$A$4:$A$10000)*1+("ITOT-SWHBNGABR"=[1]OUT_FinalEnergyCons!$A$4:$A$10000))*1,[1]OUT_FinalEnergyCons!L$4:L$10000)</f>
        <v>0.192061446043402</v>
      </c>
      <c r="O2282" s="1" cm="1">
        <f t="array" ref="O2282">SUMPRODUCT(([1]OUT_FinalEnergyCons!$B$4:$B$10000="var_ncap")*1,  (("ITOT-SWHBIOBR"=[1]OUT_FinalEnergyCons!$A$4:$A$10000)*1+("ITOT-SWHBNGABR"=[1]OUT_FinalEnergyCons!$A$4:$A$10000))*1,[1]OUT_FinalEnergyCons!M$4:M$10000)</f>
        <v>5.9178401855870699E-2</v>
      </c>
      <c r="P2282" s="1" cm="1">
        <f t="array" ref="P2282">SUMPRODUCT(([1]OUT_FinalEnergyCons!$B$4:$B$10000="var_ncap")*1,  (("ITOT-SWHBIOBR"=[1]OUT_FinalEnergyCons!$A$4:$A$10000)*1+("ITOT-SWHBNGABR"=[1]OUT_FinalEnergyCons!$A$4:$A$10000))*1,[1]OUT_FinalEnergyCons!N$4:N$10000)</f>
        <v>8.5393478170011597E-2</v>
      </c>
      <c r="Q2282" s="1" cm="1">
        <f t="array" ref="Q2282">SUMPRODUCT(([1]OUT_FinalEnergyCons!$B$4:$B$10000="var_ncap")*1,  (("ITOT-SWHBIOBR"=[1]OUT_FinalEnergyCons!$A$4:$A$10000)*1+("ITOT-SWHBNGABR"=[1]OUT_FinalEnergyCons!$A$4:$A$10000))*1,[1]OUT_FinalEnergyCons!O$4:O$10000)</f>
        <v>0.133900002691861</v>
      </c>
      <c r="S2282" s="3"/>
    </row>
    <row r="2283" spans="2:19" x14ac:dyDescent="0.5">
      <c r="B2283" s="5" t="str">
        <f t="shared" si="2284"/>
        <v>SPS1</v>
      </c>
      <c r="C2283" s="5" t="str">
        <f t="shared" si="2285"/>
        <v>CH</v>
      </c>
      <c r="D2283" t="s">
        <v>2417</v>
      </c>
      <c r="E2283" t="str">
        <f t="shared" si="2286"/>
        <v>GWth/yr.</v>
      </c>
      <c r="F2283" s="1">
        <f t="shared" ref="F2283:O2283" si="2297">F2284</f>
        <v>0</v>
      </c>
      <c r="G2283" s="1">
        <f t="shared" si="2297"/>
        <v>2.0057804294424599E-6</v>
      </c>
      <c r="H2283" s="1">
        <f t="shared" si="2297"/>
        <v>1.6652512227214599E-6</v>
      </c>
      <c r="I2283" s="1">
        <f t="shared" si="2297"/>
        <v>1.5732926622918701E-6</v>
      </c>
      <c r="J2283" s="1">
        <f t="shared" si="2297"/>
        <v>2.97172101451421E-6</v>
      </c>
      <c r="K2283" s="1">
        <f t="shared" si="2297"/>
        <v>2.5552328847985801E-5</v>
      </c>
      <c r="L2283" s="1">
        <f t="shared" si="2297"/>
        <v>2.72601664127759E-6</v>
      </c>
      <c r="M2283" s="1">
        <f t="shared" si="2297"/>
        <v>4.2725418624346996E-6</v>
      </c>
      <c r="N2283" s="1">
        <f t="shared" si="2297"/>
        <v>7.1175235369285199E-6</v>
      </c>
      <c r="O2283" s="1">
        <f t="shared" si="2297"/>
        <v>3.65122322944034E-6</v>
      </c>
      <c r="P2283" s="1">
        <f>P2284</f>
        <v>4.3014707497778201E-6</v>
      </c>
      <c r="Q2283" s="1">
        <f>Q2284</f>
        <v>1.3856628544804399E-6</v>
      </c>
      <c r="S2283" s="3"/>
    </row>
    <row r="2284" spans="2:19" x14ac:dyDescent="0.5">
      <c r="B2284" s="5" t="str">
        <f t="shared" si="2284"/>
        <v>SPS1</v>
      </c>
      <c r="C2284" s="5" t="str">
        <f t="shared" si="2285"/>
        <v>CH</v>
      </c>
      <c r="D2284" t="s">
        <v>2418</v>
      </c>
      <c r="E2284" t="str">
        <f t="shared" si="2286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2.0057804294424599E-6</v>
      </c>
      <c r="H2284" s="1" cm="1">
        <f t="array" ref="H2284">SUMPRODUCT(([1]OUT_FinalEnergyCons!$B$4:$B$10000="var_ncap")*1,  (ISNUMBER(SEARCH("ITOT-SWHCOA*BR",[1]OUT_FinalEnergyCons!$A$4:$A$10000)))*1,[1]OUT_FinalEnergyCons!F$4:F$10000)</f>
        <v>1.6652512227214599E-6</v>
      </c>
      <c r="I2284" s="1" cm="1">
        <f t="array" ref="I2284">SUMPRODUCT(([1]OUT_FinalEnergyCons!$B$4:$B$10000="var_ncap")*1,  (ISNUMBER(SEARCH("ITOT-SWHCOA*BR",[1]OUT_FinalEnergyCons!$A$4:$A$10000)))*1,[1]OUT_FinalEnergyCons!G$4:G$10000)</f>
        <v>1.5732926622918701E-6</v>
      </c>
      <c r="J2284" s="1" cm="1">
        <f t="array" ref="J2284">SUMPRODUCT(([1]OUT_FinalEnergyCons!$B$4:$B$10000="var_ncap")*1,  (ISNUMBER(SEARCH("ITOT-SWHCOA*BR",[1]OUT_FinalEnergyCons!$A$4:$A$10000)))*1,[1]OUT_FinalEnergyCons!H$4:H$10000)</f>
        <v>2.97172101451421E-6</v>
      </c>
      <c r="K2284" s="1" cm="1">
        <f t="array" ref="K2284">SUMPRODUCT(([1]OUT_FinalEnergyCons!$B$4:$B$10000="var_ncap")*1,  (ISNUMBER(SEARCH("ITOT-SWHCOA*BR",[1]OUT_FinalEnergyCons!$A$4:$A$10000)))*1,[1]OUT_FinalEnergyCons!I$4:I$10000)</f>
        <v>2.5552328847985801E-5</v>
      </c>
      <c r="L2284" s="1" cm="1">
        <f t="array" ref="L2284">SUMPRODUCT(([1]OUT_FinalEnergyCons!$B$4:$B$10000="var_ncap")*1,  (ISNUMBER(SEARCH("ITOT-SWHCOA*BR",[1]OUT_FinalEnergyCons!$A$4:$A$10000)))*1,[1]OUT_FinalEnergyCons!J$4:J$10000)</f>
        <v>2.72601664127759E-6</v>
      </c>
      <c r="M2284" s="1" cm="1">
        <f t="array" ref="M2284">SUMPRODUCT(([1]OUT_FinalEnergyCons!$B$4:$B$10000="var_ncap")*1,  (ISNUMBER(SEARCH("ITOT-SWHCOA*BR",[1]OUT_FinalEnergyCons!$A$4:$A$10000)))*1,[1]OUT_FinalEnergyCons!K$4:K$10000)</f>
        <v>4.2725418624346996E-6</v>
      </c>
      <c r="N2284" s="1" cm="1">
        <f t="array" ref="N2284">SUMPRODUCT(([1]OUT_FinalEnergyCons!$B$4:$B$10000="var_ncap")*1,  (ISNUMBER(SEARCH("ITOT-SWHCOA*BR",[1]OUT_FinalEnergyCons!$A$4:$A$10000)))*1,[1]OUT_FinalEnergyCons!L$4:L$10000)</f>
        <v>7.1175235369285199E-6</v>
      </c>
      <c r="O2284" s="1" cm="1">
        <f t="array" ref="O2284">SUMPRODUCT(([1]OUT_FinalEnergyCons!$B$4:$B$10000="var_ncap")*1,  (ISNUMBER(SEARCH("ITOT-SWHCOA*BR",[1]OUT_FinalEnergyCons!$A$4:$A$10000)))*1,[1]OUT_FinalEnergyCons!M$4:M$10000)</f>
        <v>3.65122322944034E-6</v>
      </c>
      <c r="P2284" s="1" cm="1">
        <f t="array" ref="P2284">SUMPRODUCT(([1]OUT_FinalEnergyCons!$B$4:$B$10000="var_ncap")*1,  (ISNUMBER(SEARCH("ITOT-SWHCOA*BR",[1]OUT_FinalEnergyCons!$A$4:$A$10000)))*1,[1]OUT_FinalEnergyCons!N$4:N$10000)</f>
        <v>4.3014707497778201E-6</v>
      </c>
      <c r="Q2284" s="1" cm="1">
        <f t="array" ref="Q2284">SUMPRODUCT(([1]OUT_FinalEnergyCons!$B$4:$B$10000="var_ncap")*1,  (ISNUMBER(SEARCH("ITOT-SWHCOA*BR",[1]OUT_FinalEnergyCons!$A$4:$A$10000)))*1,[1]OUT_FinalEnergyCons!O$4:O$10000)</f>
        <v>1.3856628544804399E-6</v>
      </c>
      <c r="S2284" s="3"/>
    </row>
    <row r="2285" spans="2:19" x14ac:dyDescent="0.5">
      <c r="B2285" s="5" t="str">
        <f t="shared" si="2284"/>
        <v>SPS1</v>
      </c>
      <c r="C2285" s="5" t="str">
        <f t="shared" si="2285"/>
        <v>CH</v>
      </c>
      <c r="D2285" t="s">
        <v>2419</v>
      </c>
      <c r="E2285" t="str">
        <f t="shared" si="2286"/>
        <v>GWth/yr.</v>
      </c>
      <c r="F2285" s="1">
        <f t="shared" ref="F2285:O2285" si="2298">F2286</f>
        <v>0</v>
      </c>
      <c r="G2285" s="1">
        <f t="shared" si="2298"/>
        <v>5.21530432661612E-2</v>
      </c>
      <c r="H2285" s="1">
        <f t="shared" si="2298"/>
        <v>5.9482799823084901E-6</v>
      </c>
      <c r="I2285" s="1">
        <f t="shared" si="2298"/>
        <v>2.97490555030029E-2</v>
      </c>
      <c r="J2285" s="1">
        <f t="shared" si="2298"/>
        <v>0.288408653829691</v>
      </c>
      <c r="K2285" s="1">
        <f t="shared" si="2298"/>
        <v>3.7883808356890501E-2</v>
      </c>
      <c r="L2285" s="1">
        <f t="shared" si="2298"/>
        <v>3.7462691305476997E-2</v>
      </c>
      <c r="M2285" s="1">
        <f t="shared" si="2298"/>
        <v>0.29386143063132902</v>
      </c>
      <c r="N2285" s="1">
        <f t="shared" si="2298"/>
        <v>3.2384490413620598E-2</v>
      </c>
      <c r="O2285" s="1">
        <f t="shared" si="2298"/>
        <v>7.6142864065536706E-2</v>
      </c>
      <c r="P2285" s="1">
        <f>P2286</f>
        <v>0.20890699561751799</v>
      </c>
      <c r="Q2285" s="1">
        <f>Q2286</f>
        <v>6.9985481963466101E-2</v>
      </c>
      <c r="S2285" s="3"/>
    </row>
    <row r="2286" spans="2:19" x14ac:dyDescent="0.5">
      <c r="B2286" s="5" t="str">
        <f t="shared" si="2284"/>
        <v>SPS1</v>
      </c>
      <c r="C2286" s="5" t="str">
        <f t="shared" si="2285"/>
        <v>CH</v>
      </c>
      <c r="D2286" t="s">
        <v>2420</v>
      </c>
      <c r="E2286" t="str">
        <f t="shared" si="2286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5.21530432661612E-2</v>
      </c>
      <c r="H2286" s="1" cm="1">
        <f t="array" ref="H2286">SUMPRODUCT(([1]OUT_FinalEnergyCons!$B$4:$B$10000="var_ncap")*1,  (ISNUMBER(SEARCH("ITOT-SWHWOD*BR",[1]OUT_FinalEnergyCons!$A$4:$A$10000)))*1,[1]OUT_FinalEnergyCons!F$4:F$10000)</f>
        <v>5.9482799823084901E-6</v>
      </c>
      <c r="I2286" s="1" cm="1">
        <f t="array" ref="I2286">SUMPRODUCT(([1]OUT_FinalEnergyCons!$B$4:$B$10000="var_ncap")*1,  (ISNUMBER(SEARCH("ITOT-SWHWOD*BR",[1]OUT_FinalEnergyCons!$A$4:$A$10000)))*1,[1]OUT_FinalEnergyCons!G$4:G$10000)</f>
        <v>2.97490555030029E-2</v>
      </c>
      <c r="J2286" s="1" cm="1">
        <f t="array" ref="J2286">SUMPRODUCT(([1]OUT_FinalEnergyCons!$B$4:$B$10000="var_ncap")*1,  (ISNUMBER(SEARCH("ITOT-SWHWOD*BR",[1]OUT_FinalEnergyCons!$A$4:$A$10000)))*1,[1]OUT_FinalEnergyCons!H$4:H$10000)</f>
        <v>0.288408653829691</v>
      </c>
      <c r="K2286" s="1" cm="1">
        <f t="array" ref="K2286">SUMPRODUCT(([1]OUT_FinalEnergyCons!$B$4:$B$10000="var_ncap")*1,  (ISNUMBER(SEARCH("ITOT-SWHWOD*BR",[1]OUT_FinalEnergyCons!$A$4:$A$10000)))*1,[1]OUT_FinalEnergyCons!I$4:I$10000)</f>
        <v>3.7883808356890501E-2</v>
      </c>
      <c r="L2286" s="1" cm="1">
        <f t="array" ref="L2286">SUMPRODUCT(([1]OUT_FinalEnergyCons!$B$4:$B$10000="var_ncap")*1,  (ISNUMBER(SEARCH("ITOT-SWHWOD*BR",[1]OUT_FinalEnergyCons!$A$4:$A$10000)))*1,[1]OUT_FinalEnergyCons!J$4:J$10000)</f>
        <v>3.7462691305476997E-2</v>
      </c>
      <c r="M2286" s="1" cm="1">
        <f t="array" ref="M2286">SUMPRODUCT(([1]OUT_FinalEnergyCons!$B$4:$B$10000="var_ncap")*1,  (ISNUMBER(SEARCH("ITOT-SWHWOD*BR",[1]OUT_FinalEnergyCons!$A$4:$A$10000)))*1,[1]OUT_FinalEnergyCons!K$4:K$10000)</f>
        <v>0.29386143063132902</v>
      </c>
      <c r="N2286" s="1" cm="1">
        <f t="array" ref="N2286">SUMPRODUCT(([1]OUT_FinalEnergyCons!$B$4:$B$10000="var_ncap")*1,  (ISNUMBER(SEARCH("ITOT-SWHWOD*BR",[1]OUT_FinalEnergyCons!$A$4:$A$10000)))*1,[1]OUT_FinalEnergyCons!L$4:L$10000)</f>
        <v>3.2384490413620598E-2</v>
      </c>
      <c r="O2286" s="1" cm="1">
        <f t="array" ref="O2286">SUMPRODUCT(([1]OUT_FinalEnergyCons!$B$4:$B$10000="var_ncap")*1,  (ISNUMBER(SEARCH("ITOT-SWHWOD*BR",[1]OUT_FinalEnergyCons!$A$4:$A$10000)))*1,[1]OUT_FinalEnergyCons!M$4:M$10000)</f>
        <v>7.6142864065536706E-2</v>
      </c>
      <c r="P2286" s="1" cm="1">
        <f t="array" ref="P2286">SUMPRODUCT(([1]OUT_FinalEnergyCons!$B$4:$B$10000="var_ncap")*1,  (ISNUMBER(SEARCH("ITOT-SWHWOD*BR",[1]OUT_FinalEnergyCons!$A$4:$A$10000)))*1,[1]OUT_FinalEnergyCons!N$4:N$10000)</f>
        <v>0.20890699561751799</v>
      </c>
      <c r="Q2286" s="1" cm="1">
        <f t="array" ref="Q2286">SUMPRODUCT(([1]OUT_FinalEnergyCons!$B$4:$B$10000="var_ncap")*1,  (ISNUMBER(SEARCH("ITOT-SWHWOD*BR",[1]OUT_FinalEnergyCons!$A$4:$A$10000)))*1,[1]OUT_FinalEnergyCons!O$4:O$10000)</f>
        <v>6.9985481963466101E-2</v>
      </c>
      <c r="S2286" s="3"/>
    </row>
    <row r="2287" spans="2:19" x14ac:dyDescent="0.5">
      <c r="B2287" s="5" t="str">
        <f t="shared" si="2284"/>
        <v>SPS1</v>
      </c>
      <c r="C2287" s="5" t="str">
        <f t="shared" si="2285"/>
        <v>CH</v>
      </c>
      <c r="D2287" t="s">
        <v>2421</v>
      </c>
      <c r="E2287" t="str">
        <f t="shared" si="2286"/>
        <v>GWth/yr.</v>
      </c>
      <c r="F2287" s="1">
        <f t="shared" ref="F2287:O2287" si="2299">F2288</f>
        <v>0</v>
      </c>
      <c r="G2287" s="1">
        <f t="shared" si="2299"/>
        <v>7.5436197129677999E-3</v>
      </c>
      <c r="H2287" s="1">
        <f t="shared" si="2299"/>
        <v>7.1003788299901197E-6</v>
      </c>
      <c r="I2287" s="1">
        <f t="shared" si="2299"/>
        <v>4.4748211065923898E-3</v>
      </c>
      <c r="J2287" s="1">
        <f t="shared" si="2299"/>
        <v>2.5656697920663999E-2</v>
      </c>
      <c r="K2287" s="1">
        <f t="shared" si="2299"/>
        <v>1.20143152217362E-2</v>
      </c>
      <c r="L2287" s="1">
        <f t="shared" si="2299"/>
        <v>3.0693882462713199E-3</v>
      </c>
      <c r="M2287" s="1">
        <f t="shared" si="2299"/>
        <v>2.3694161736093001E-2</v>
      </c>
      <c r="N2287" s="1">
        <f t="shared" si="2299"/>
        <v>1.4830021011561599E-2</v>
      </c>
      <c r="O2287" s="1">
        <f t="shared" si="2299"/>
        <v>2.8465502189273001E-3</v>
      </c>
      <c r="P2287" s="1">
        <f>P2288</f>
        <v>2.4651301046136401E-2</v>
      </c>
      <c r="Q2287" s="1">
        <f>Q2288</f>
        <v>8.9904356768249292E-3</v>
      </c>
      <c r="S2287" s="3"/>
    </row>
    <row r="2288" spans="2:19" x14ac:dyDescent="0.5">
      <c r="B2288" s="5" t="str">
        <f t="shared" si="2284"/>
        <v>SPS1</v>
      </c>
      <c r="C2288" s="5" t="str">
        <f t="shared" si="2285"/>
        <v>CH</v>
      </c>
      <c r="D2288" t="s">
        <v>2422</v>
      </c>
      <c r="E2288" t="str">
        <f t="shared" si="2286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7.5436197129677999E-3</v>
      </c>
      <c r="H2288" s="1" cm="1">
        <f t="array" ref="H2288">SUMPRODUCT(([1]OUT_FinalEnergyCons!$B$4:$B$10000="var_ncap")*1,  (ISNUMBER(SEARCH("ITOT-SWHPLT*BR",[1]OUT_FinalEnergyCons!$A$4:$A$10000)))*1,[1]OUT_FinalEnergyCons!F$4:F$10000)</f>
        <v>7.1003788299901197E-6</v>
      </c>
      <c r="I2288" s="1" cm="1">
        <f t="array" ref="I2288">SUMPRODUCT(([1]OUT_FinalEnergyCons!$B$4:$B$10000="var_ncap")*1,  (ISNUMBER(SEARCH("ITOT-SWHPLT*BR",[1]OUT_FinalEnergyCons!$A$4:$A$10000)))*1,[1]OUT_FinalEnergyCons!G$4:G$10000)</f>
        <v>4.4748211065923898E-3</v>
      </c>
      <c r="J2288" s="1" cm="1">
        <f t="array" ref="J2288">SUMPRODUCT(([1]OUT_FinalEnergyCons!$B$4:$B$10000="var_ncap")*1,  (ISNUMBER(SEARCH("ITOT-SWHPLT*BR",[1]OUT_FinalEnergyCons!$A$4:$A$10000)))*1,[1]OUT_FinalEnergyCons!H$4:H$10000)</f>
        <v>2.5656697920663999E-2</v>
      </c>
      <c r="K2288" s="1" cm="1">
        <f t="array" ref="K2288">SUMPRODUCT(([1]OUT_FinalEnergyCons!$B$4:$B$10000="var_ncap")*1,  (ISNUMBER(SEARCH("ITOT-SWHPLT*BR",[1]OUT_FinalEnergyCons!$A$4:$A$10000)))*1,[1]OUT_FinalEnergyCons!I$4:I$10000)</f>
        <v>1.20143152217362E-2</v>
      </c>
      <c r="L2288" s="1" cm="1">
        <f t="array" ref="L2288">SUMPRODUCT(([1]OUT_FinalEnergyCons!$B$4:$B$10000="var_ncap")*1,  (ISNUMBER(SEARCH("ITOT-SWHPLT*BR",[1]OUT_FinalEnergyCons!$A$4:$A$10000)))*1,[1]OUT_FinalEnergyCons!J$4:J$10000)</f>
        <v>3.0693882462713199E-3</v>
      </c>
      <c r="M2288" s="1" cm="1">
        <f t="array" ref="M2288">SUMPRODUCT(([1]OUT_FinalEnergyCons!$B$4:$B$10000="var_ncap")*1,  (ISNUMBER(SEARCH("ITOT-SWHPLT*BR",[1]OUT_FinalEnergyCons!$A$4:$A$10000)))*1,[1]OUT_FinalEnergyCons!K$4:K$10000)</f>
        <v>2.3694161736093001E-2</v>
      </c>
      <c r="N2288" s="1" cm="1">
        <f t="array" ref="N2288">SUMPRODUCT(([1]OUT_FinalEnergyCons!$B$4:$B$10000="var_ncap")*1,  (ISNUMBER(SEARCH("ITOT-SWHPLT*BR",[1]OUT_FinalEnergyCons!$A$4:$A$10000)))*1,[1]OUT_FinalEnergyCons!L$4:L$10000)</f>
        <v>1.4830021011561599E-2</v>
      </c>
      <c r="O2288" s="1" cm="1">
        <f t="array" ref="O2288">SUMPRODUCT(([1]OUT_FinalEnergyCons!$B$4:$B$10000="var_ncap")*1,  (ISNUMBER(SEARCH("ITOT-SWHPLT*BR",[1]OUT_FinalEnergyCons!$A$4:$A$10000)))*1,[1]OUT_FinalEnergyCons!M$4:M$10000)</f>
        <v>2.8465502189273001E-3</v>
      </c>
      <c r="P2288" s="1" cm="1">
        <f t="array" ref="P2288">SUMPRODUCT(([1]OUT_FinalEnergyCons!$B$4:$B$10000="var_ncap")*1,  (ISNUMBER(SEARCH("ITOT-SWHPLT*BR",[1]OUT_FinalEnergyCons!$A$4:$A$10000)))*1,[1]OUT_FinalEnergyCons!N$4:N$10000)</f>
        <v>2.4651301046136401E-2</v>
      </c>
      <c r="Q2288" s="1" cm="1">
        <f t="array" ref="Q2288">SUMPRODUCT(([1]OUT_FinalEnergyCons!$B$4:$B$10000="var_ncap")*1,  (ISNUMBER(SEARCH("ITOT-SWHPLT*BR",[1]OUT_FinalEnergyCons!$A$4:$A$10000)))*1,[1]OUT_FinalEnergyCons!O$4:O$10000)</f>
        <v>8.9904356768249292E-3</v>
      </c>
      <c r="S2288" s="3"/>
    </row>
    <row r="2289" spans="2:19" x14ac:dyDescent="0.5">
      <c r="B2289" s="5" t="str">
        <f t="shared" si="2284"/>
        <v>SPS1</v>
      </c>
      <c r="C2289" s="5" t="str">
        <f t="shared" si="2285"/>
        <v>CH</v>
      </c>
      <c r="D2289" t="s">
        <v>2423</v>
      </c>
      <c r="E2289" t="str">
        <f t="shared" si="2286"/>
        <v>GWth/yr.</v>
      </c>
      <c r="F2289" s="1">
        <f t="shared" ref="F2289:O2289" si="2300">F2290</f>
        <v>0</v>
      </c>
      <c r="G2289" s="1">
        <f t="shared" si="2300"/>
        <v>1.7651959300962099E-6</v>
      </c>
      <c r="H2289" s="1">
        <f t="shared" si="2300"/>
        <v>1.9471680827833401E-6</v>
      </c>
      <c r="I2289" s="1">
        <f t="shared" si="2300"/>
        <v>3.6075306371275901E-6</v>
      </c>
      <c r="J2289" s="1">
        <f t="shared" si="2300"/>
        <v>0.109457353518269</v>
      </c>
      <c r="K2289" s="1">
        <f t="shared" si="2300"/>
        <v>5.76996052595646E-2</v>
      </c>
      <c r="L2289" s="1">
        <f t="shared" si="2300"/>
        <v>3.0381140838398901E-6</v>
      </c>
      <c r="M2289" s="1">
        <f t="shared" si="2300"/>
        <v>6.8815005914949097E-6</v>
      </c>
      <c r="N2289" s="1">
        <f t="shared" si="2300"/>
        <v>2.7803106662177799E-5</v>
      </c>
      <c r="O2289" s="1">
        <f t="shared" si="2300"/>
        <v>3.35445226812655E-6</v>
      </c>
      <c r="P2289" s="1">
        <f>P2290</f>
        <v>6.7775334339016E-6</v>
      </c>
      <c r="Q2289" s="1">
        <f>Q2290</f>
        <v>1.3359250923107899E-6</v>
      </c>
      <c r="S2289" s="3"/>
    </row>
    <row r="2290" spans="2:19" x14ac:dyDescent="0.5">
      <c r="B2290" s="5" t="str">
        <f t="shared" si="2284"/>
        <v>SPS1</v>
      </c>
      <c r="C2290" s="5" t="str">
        <f t="shared" si="2285"/>
        <v>CH</v>
      </c>
      <c r="D2290" t="s">
        <v>2424</v>
      </c>
      <c r="E2290" t="str">
        <f t="shared" si="2286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1.7651959300962099E-6</v>
      </c>
      <c r="H2290" s="1" cm="1">
        <f t="array" ref="H2290">SUMPRODUCT(([1]OUT_FinalEnergyCons!$B$4:$B$10000="var_ncap")*1,  (ISNUMBER(SEARCH("ITOT-SWHWST*BR",[1]OUT_FinalEnergyCons!$A$4:$A$10000)))*1,[1]OUT_FinalEnergyCons!F$4:F$10000)</f>
        <v>1.9471680827833401E-6</v>
      </c>
      <c r="I2290" s="1" cm="1">
        <f t="array" ref="I2290">SUMPRODUCT(([1]OUT_FinalEnergyCons!$B$4:$B$10000="var_ncap")*1,  (ISNUMBER(SEARCH("ITOT-SWHWST*BR",[1]OUT_FinalEnergyCons!$A$4:$A$10000)))*1,[1]OUT_FinalEnergyCons!G$4:G$10000)</f>
        <v>3.6075306371275901E-6</v>
      </c>
      <c r="J2290" s="1" cm="1">
        <f t="array" ref="J2290">SUMPRODUCT(([1]OUT_FinalEnergyCons!$B$4:$B$10000="var_ncap")*1,  (ISNUMBER(SEARCH("ITOT-SWHWST*BR",[1]OUT_FinalEnergyCons!$A$4:$A$10000)))*1,[1]OUT_FinalEnergyCons!H$4:H$10000)</f>
        <v>0.109457353518269</v>
      </c>
      <c r="K2290" s="1" cm="1">
        <f t="array" ref="K2290">SUMPRODUCT(([1]OUT_FinalEnergyCons!$B$4:$B$10000="var_ncap")*1,  (ISNUMBER(SEARCH("ITOT-SWHWST*BR",[1]OUT_FinalEnergyCons!$A$4:$A$10000)))*1,[1]OUT_FinalEnergyCons!I$4:I$10000)</f>
        <v>5.76996052595646E-2</v>
      </c>
      <c r="L2290" s="1" cm="1">
        <f t="array" ref="L2290">SUMPRODUCT(([1]OUT_FinalEnergyCons!$B$4:$B$10000="var_ncap")*1,  (ISNUMBER(SEARCH("ITOT-SWHWST*BR",[1]OUT_FinalEnergyCons!$A$4:$A$10000)))*1,[1]OUT_FinalEnergyCons!J$4:J$10000)</f>
        <v>3.0381140838398901E-6</v>
      </c>
      <c r="M2290" s="1" cm="1">
        <f t="array" ref="M2290">SUMPRODUCT(([1]OUT_FinalEnergyCons!$B$4:$B$10000="var_ncap")*1,  (ISNUMBER(SEARCH("ITOT-SWHWST*BR",[1]OUT_FinalEnergyCons!$A$4:$A$10000)))*1,[1]OUT_FinalEnergyCons!K$4:K$10000)</f>
        <v>6.8815005914949097E-6</v>
      </c>
      <c r="N2290" s="1" cm="1">
        <f t="array" ref="N2290">SUMPRODUCT(([1]OUT_FinalEnergyCons!$B$4:$B$10000="var_ncap")*1,  (ISNUMBER(SEARCH("ITOT-SWHWST*BR",[1]OUT_FinalEnergyCons!$A$4:$A$10000)))*1,[1]OUT_FinalEnergyCons!L$4:L$10000)</f>
        <v>2.7803106662177799E-5</v>
      </c>
      <c r="O2290" s="1" cm="1">
        <f t="array" ref="O2290">SUMPRODUCT(([1]OUT_FinalEnergyCons!$B$4:$B$10000="var_ncap")*1,  (ISNUMBER(SEARCH("ITOT-SWHWST*BR",[1]OUT_FinalEnergyCons!$A$4:$A$10000)))*1,[1]OUT_FinalEnergyCons!M$4:M$10000)</f>
        <v>3.35445226812655E-6</v>
      </c>
      <c r="P2290" s="1" cm="1">
        <f t="array" ref="P2290">SUMPRODUCT(([1]OUT_FinalEnergyCons!$B$4:$B$10000="var_ncap")*1,  (ISNUMBER(SEARCH("ITOT-SWHWST*BR",[1]OUT_FinalEnergyCons!$A$4:$A$10000)))*1,[1]OUT_FinalEnergyCons!N$4:N$10000)</f>
        <v>6.7775334339016E-6</v>
      </c>
      <c r="Q2290" s="1" cm="1">
        <f t="array" ref="Q2290">SUMPRODUCT(([1]OUT_FinalEnergyCons!$B$4:$B$10000="var_ncap")*1,  (ISNUMBER(SEARCH("ITOT-SWHWST*BR",[1]OUT_FinalEnergyCons!$A$4:$A$10000)))*1,[1]OUT_FinalEnergyCons!O$4:O$10000)</f>
        <v>1.3359250923107899E-6</v>
      </c>
      <c r="S2290" s="3"/>
    </row>
    <row r="2291" spans="2:19" x14ac:dyDescent="0.5">
      <c r="B2291" s="5" t="str">
        <f t="shared" si="2284"/>
        <v>SPS1</v>
      </c>
      <c r="C2291" s="5" t="str">
        <f t="shared" si="2285"/>
        <v>CH</v>
      </c>
      <c r="D2291" t="s">
        <v>2425</v>
      </c>
      <c r="E2291" t="str">
        <f t="shared" si="2286"/>
        <v>GWth/yr.</v>
      </c>
      <c r="F2291" s="1">
        <f t="shared" ref="F2291:O2291" si="2301">F2292</f>
        <v>0</v>
      </c>
      <c r="G2291" s="1">
        <f t="shared" si="2301"/>
        <v>2.6199316678414799E-3</v>
      </c>
      <c r="H2291" s="1">
        <f t="shared" si="2301"/>
        <v>1.4902222959055299E-8</v>
      </c>
      <c r="I2291" s="1">
        <f t="shared" si="2301"/>
        <v>4.3785492360943598E-8</v>
      </c>
      <c r="J2291" s="1">
        <f t="shared" si="2301"/>
        <v>8.5518301904652701E-3</v>
      </c>
      <c r="K2291" s="1">
        <f t="shared" si="2301"/>
        <v>3.88923191846063E-3</v>
      </c>
      <c r="L2291" s="1">
        <f t="shared" si="2301"/>
        <v>8.5828635962345094E-8</v>
      </c>
      <c r="M2291" s="1">
        <f t="shared" si="2301"/>
        <v>8.5518690414753892E-3</v>
      </c>
      <c r="N2291" s="1">
        <f t="shared" si="2301"/>
        <v>3.29153176004769E-3</v>
      </c>
      <c r="O2291" s="1">
        <f t="shared" si="2301"/>
        <v>5.9812802833241201E-4</v>
      </c>
      <c r="P2291" s="1">
        <f>P2292</f>
        <v>8.0803790430205406E-3</v>
      </c>
      <c r="Q2291" s="1">
        <f>Q2292</f>
        <v>3.7825202447981298E-3</v>
      </c>
      <c r="S2291" s="3"/>
    </row>
    <row r="2292" spans="2:19" x14ac:dyDescent="0.5">
      <c r="B2292" s="5" t="str">
        <f t="shared" si="2284"/>
        <v>SPS1</v>
      </c>
      <c r="C2292" s="5" t="str">
        <f t="shared" si="2285"/>
        <v>CH</v>
      </c>
      <c r="D2292" t="s">
        <v>2426</v>
      </c>
      <c r="E2292" t="str">
        <f t="shared" si="2286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2.6199316678414799E-3</v>
      </c>
      <c r="H2292" s="1" cm="1">
        <f t="array" ref="H2292">SUMPRODUCT(([1]OUT_FinalEnergyCons!$B$4:$B$10000="var_ncap")*1, (ISNUMBER(SEARCH("ITOT-SWHSOLBR",[1]OUT_FinalEnergyCons!$A$4:$A$10000)))*1,[1]OUT_FinalEnergyCons!F$4:F$10000)</f>
        <v>1.4902222959055299E-8</v>
      </c>
      <c r="I2292" s="1" cm="1">
        <f t="array" ref="I2292">SUMPRODUCT(([1]OUT_FinalEnergyCons!$B$4:$B$10000="var_ncap")*1, (ISNUMBER(SEARCH("ITOT-SWHSOLBR",[1]OUT_FinalEnergyCons!$A$4:$A$10000)))*1,[1]OUT_FinalEnergyCons!G$4:G$10000)</f>
        <v>4.3785492360943598E-8</v>
      </c>
      <c r="J2292" s="1" cm="1">
        <f t="array" ref="J2292">SUMPRODUCT(([1]OUT_FinalEnergyCons!$B$4:$B$10000="var_ncap")*1, (ISNUMBER(SEARCH("ITOT-SWHSOLBR",[1]OUT_FinalEnergyCons!$A$4:$A$10000)))*1,[1]OUT_FinalEnergyCons!H$4:H$10000)</f>
        <v>8.5518301904652701E-3</v>
      </c>
      <c r="K2292" s="1" cm="1">
        <f t="array" ref="K2292">SUMPRODUCT(([1]OUT_FinalEnergyCons!$B$4:$B$10000="var_ncap")*1, (ISNUMBER(SEARCH("ITOT-SWHSOLBR",[1]OUT_FinalEnergyCons!$A$4:$A$10000)))*1,[1]OUT_FinalEnergyCons!I$4:I$10000)</f>
        <v>3.88923191846063E-3</v>
      </c>
      <c r="L2292" s="1" cm="1">
        <f t="array" ref="L2292">SUMPRODUCT(([1]OUT_FinalEnergyCons!$B$4:$B$10000="var_ncap")*1, (ISNUMBER(SEARCH("ITOT-SWHSOLBR",[1]OUT_FinalEnergyCons!$A$4:$A$10000)))*1,[1]OUT_FinalEnergyCons!J$4:J$10000)</f>
        <v>8.5828635962345094E-8</v>
      </c>
      <c r="M2292" s="1" cm="1">
        <f t="array" ref="M2292">SUMPRODUCT(([1]OUT_FinalEnergyCons!$B$4:$B$10000="var_ncap")*1, (ISNUMBER(SEARCH("ITOT-SWHSOLBR",[1]OUT_FinalEnergyCons!$A$4:$A$10000)))*1,[1]OUT_FinalEnergyCons!K$4:K$10000)</f>
        <v>8.5518690414753892E-3</v>
      </c>
      <c r="N2292" s="1" cm="1">
        <f t="array" ref="N2292">SUMPRODUCT(([1]OUT_FinalEnergyCons!$B$4:$B$10000="var_ncap")*1, (ISNUMBER(SEARCH("ITOT-SWHSOLBR",[1]OUT_FinalEnergyCons!$A$4:$A$10000)))*1,[1]OUT_FinalEnergyCons!L$4:L$10000)</f>
        <v>3.29153176004769E-3</v>
      </c>
      <c r="O2292" s="1" cm="1">
        <f t="array" ref="O2292">SUMPRODUCT(([1]OUT_FinalEnergyCons!$B$4:$B$10000="var_ncap")*1, (ISNUMBER(SEARCH("ITOT-SWHSOLBR",[1]OUT_FinalEnergyCons!$A$4:$A$10000)))*1,[1]OUT_FinalEnergyCons!M$4:M$10000)</f>
        <v>5.9812802833241201E-4</v>
      </c>
      <c r="P2292" s="1" cm="1">
        <f t="array" ref="P2292">SUMPRODUCT(([1]OUT_FinalEnergyCons!$B$4:$B$10000="var_ncap")*1, (ISNUMBER(SEARCH("ITOT-SWHSOLBR",[1]OUT_FinalEnergyCons!$A$4:$A$10000)))*1,[1]OUT_FinalEnergyCons!N$4:N$10000)</f>
        <v>8.0803790430205406E-3</v>
      </c>
      <c r="Q2292" s="1" cm="1">
        <f t="array" ref="Q2292">SUMPRODUCT(([1]OUT_FinalEnergyCons!$B$4:$B$10000="var_ncap")*1, (ISNUMBER(SEARCH("ITOT-SWHSOLBR",[1]OUT_FinalEnergyCons!$A$4:$A$10000)))*1,[1]OUT_FinalEnergyCons!O$4:O$10000)</f>
        <v>3.7825202447981298E-3</v>
      </c>
      <c r="S2292" s="3"/>
    </row>
    <row r="2293" spans="2:19" x14ac:dyDescent="0.5">
      <c r="B2293" s="5" t="str">
        <f t="shared" si="2284"/>
        <v>SPS1</v>
      </c>
      <c r="C2293" s="5" t="str">
        <f t="shared" si="2285"/>
        <v>CH</v>
      </c>
      <c r="D2293" t="s">
        <v>2427</v>
      </c>
      <c r="E2293" t="str">
        <f t="shared" si="2286"/>
        <v>GWth/yr.</v>
      </c>
      <c r="F2293" s="1">
        <f t="shared" ref="F2293:O2293" si="2302">F2294</f>
        <v>0</v>
      </c>
      <c r="G2293" s="1">
        <f t="shared" si="2302"/>
        <v>0</v>
      </c>
      <c r="H2293" s="1">
        <f t="shared" si="2302"/>
        <v>0</v>
      </c>
      <c r="I2293" s="1">
        <f t="shared" si="2302"/>
        <v>1.46801037106249E-3</v>
      </c>
      <c r="J2293" s="1">
        <f t="shared" si="2302"/>
        <v>0.85017262689641204</v>
      </c>
      <c r="K2293" s="1">
        <f t="shared" si="2302"/>
        <v>4.5920156150631199E-6</v>
      </c>
      <c r="L2293" s="1">
        <f t="shared" si="2302"/>
        <v>6.6372055216427004E-6</v>
      </c>
      <c r="M2293" s="1">
        <f t="shared" si="2302"/>
        <v>1.15725192172568</v>
      </c>
      <c r="N2293" s="1">
        <f t="shared" si="2302"/>
        <v>7.1121026672467599E-2</v>
      </c>
      <c r="O2293" s="1">
        <f t="shared" si="2302"/>
        <v>6.6124910122173405E-2</v>
      </c>
      <c r="P2293" s="1">
        <f>P2294</f>
        <v>0.97543546318495</v>
      </c>
      <c r="Q2293" s="1">
        <f>Q2294</f>
        <v>0.21706964035318799</v>
      </c>
      <c r="S2293" s="3"/>
    </row>
    <row r="2294" spans="2:19" x14ac:dyDescent="0.5">
      <c r="B2294" s="5" t="str">
        <f t="shared" si="2284"/>
        <v>SPS1</v>
      </c>
      <c r="C2294" s="5" t="str">
        <f t="shared" si="2285"/>
        <v>CH</v>
      </c>
      <c r="D2294" t="s">
        <v>2428</v>
      </c>
      <c r="E2294" t="str">
        <f t="shared" si="2286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1.46801037106249E-3</v>
      </c>
      <c r="J2294" s="1" cm="1">
        <f t="array" ref="J2294">SUMPRODUCT(([1]OUT_FinalEnergyCons!$B$4:$B$10000="var_ncap")*1, (ISNUMBER(SEARCH("ITOT-SWHH2BR",[1]OUT_FinalEnergyCons!$A$4:$A$10000)))*1,[1]OUT_FinalEnergyCons!H$4:H$10000)</f>
        <v>0.85017262689641204</v>
      </c>
      <c r="K2294" s="1" cm="1">
        <f t="array" ref="K2294">SUMPRODUCT(([1]OUT_FinalEnergyCons!$B$4:$B$10000="var_ncap")*1, (ISNUMBER(SEARCH("ITOT-SWHH2BR",[1]OUT_FinalEnergyCons!$A$4:$A$10000)))*1,[1]OUT_FinalEnergyCons!I$4:I$10000)</f>
        <v>4.5920156150631199E-6</v>
      </c>
      <c r="L2294" s="1" cm="1">
        <f t="array" ref="L2294">SUMPRODUCT(([1]OUT_FinalEnergyCons!$B$4:$B$10000="var_ncap")*1, (ISNUMBER(SEARCH("ITOT-SWHH2BR",[1]OUT_FinalEnergyCons!$A$4:$A$10000)))*1,[1]OUT_FinalEnergyCons!J$4:J$10000)</f>
        <v>6.6372055216427004E-6</v>
      </c>
      <c r="M2294" s="1" cm="1">
        <f t="array" ref="M2294">SUMPRODUCT(([1]OUT_FinalEnergyCons!$B$4:$B$10000="var_ncap")*1, (ISNUMBER(SEARCH("ITOT-SWHH2BR",[1]OUT_FinalEnergyCons!$A$4:$A$10000)))*1,[1]OUT_FinalEnergyCons!K$4:K$10000)</f>
        <v>1.15725192172568</v>
      </c>
      <c r="N2294" s="1" cm="1">
        <f t="array" ref="N2294">SUMPRODUCT(([1]OUT_FinalEnergyCons!$B$4:$B$10000="var_ncap")*1, (ISNUMBER(SEARCH("ITOT-SWHH2BR",[1]OUT_FinalEnergyCons!$A$4:$A$10000)))*1,[1]OUT_FinalEnergyCons!L$4:L$10000)</f>
        <v>7.1121026672467599E-2</v>
      </c>
      <c r="O2294" s="1" cm="1">
        <f t="array" ref="O2294">SUMPRODUCT(([1]OUT_FinalEnergyCons!$B$4:$B$10000="var_ncap")*1, (ISNUMBER(SEARCH("ITOT-SWHH2BR",[1]OUT_FinalEnergyCons!$A$4:$A$10000)))*1,[1]OUT_FinalEnergyCons!M$4:M$10000)</f>
        <v>6.6124910122173405E-2</v>
      </c>
      <c r="P2294" s="1" cm="1">
        <f t="array" ref="P2294">SUMPRODUCT(([1]OUT_FinalEnergyCons!$B$4:$B$10000="var_ncap")*1, (ISNUMBER(SEARCH("ITOT-SWHH2BR",[1]OUT_FinalEnergyCons!$A$4:$A$10000)))*1,[1]OUT_FinalEnergyCons!N$4:N$10000)</f>
        <v>0.97543546318495</v>
      </c>
      <c r="Q2294" s="1" cm="1">
        <f t="array" ref="Q2294">SUMPRODUCT(([1]OUT_FinalEnergyCons!$B$4:$B$10000="var_ncap")*1, (ISNUMBER(SEARCH("ITOT-SWHH2BR",[1]OUT_FinalEnergyCons!$A$4:$A$10000)))*1,[1]OUT_FinalEnergyCons!O$4:O$10000)</f>
        <v>0.21706964035318799</v>
      </c>
      <c r="S2294" s="3"/>
    </row>
    <row r="2295" spans="2:19" x14ac:dyDescent="0.5">
      <c r="B2295" s="9" t="str">
        <f>'SPS1'!B1813</f>
        <v>SPS1</v>
      </c>
      <c r="C2295" s="9" t="str">
        <f>'SPS1'!C1813</f>
        <v>CH</v>
      </c>
      <c r="D2295" s="2" t="s">
        <v>2429</v>
      </c>
      <c r="E2295" s="9" t="str">
        <f t="shared" si="2286"/>
        <v>GWth/yr.</v>
      </c>
      <c r="F2295" s="17">
        <f t="shared" ref="F2295:K2295" si="2303">SUM(F2296,F2299,F2301,F2305,F2307,F2309,F2311)</f>
        <v>9.1049646434882923E-6</v>
      </c>
      <c r="G2295" s="17">
        <f t="shared" si="2303"/>
        <v>0.10129975492445692</v>
      </c>
      <c r="H2295" s="17">
        <f t="shared" si="2303"/>
        <v>0.12646215001020494</v>
      </c>
      <c r="I2295" s="17">
        <f t="shared" si="2303"/>
        <v>6.1918297024039304E-3</v>
      </c>
      <c r="J2295" s="17">
        <f t="shared" si="2303"/>
        <v>3.0806957556247925</v>
      </c>
      <c r="K2295" s="17">
        <f t="shared" si="2303"/>
        <v>1.6212670606423869</v>
      </c>
      <c r="L2295" s="17">
        <f t="shared" ref="L2295:O2295" si="2304">SUM(L2296,L2299,L2301,L2305,L2307,L2309,L2311)</f>
        <v>0.29449642371784673</v>
      </c>
      <c r="M2295" s="17">
        <f t="shared" si="2304"/>
        <v>1.9002834843261258</v>
      </c>
      <c r="N2295" s="17">
        <f t="shared" si="2304"/>
        <v>1.3919977003096129</v>
      </c>
      <c r="O2295" s="17">
        <f t="shared" si="2304"/>
        <v>0.70822774194281946</v>
      </c>
      <c r="P2295" s="17">
        <f>SUM(P2296,P2299,P2301,P2305,P2307,P2309,P2311)</f>
        <v>1.9579819182845504</v>
      </c>
      <c r="Q2295" s="17">
        <f>SUM(Q2296,Q2299,Q2301,Q2305,Q2307,Q2309,Q2311)</f>
        <v>1.1690851773482214</v>
      </c>
      <c r="S2295" s="3"/>
    </row>
    <row r="2296" spans="2:19" x14ac:dyDescent="0.5">
      <c r="B2296" s="5" t="str">
        <f t="shared" ref="B2296:B2312" si="2305">B2295</f>
        <v>SPS1</v>
      </c>
      <c r="C2296" s="5" t="str">
        <f t="shared" ref="C2296:C2312" si="2306">C2295</f>
        <v>CH</v>
      </c>
      <c r="D2296" t="s">
        <v>2430</v>
      </c>
      <c r="E2296" t="str">
        <f t="shared" si="2286"/>
        <v>GWth/yr.</v>
      </c>
      <c r="F2296" s="1">
        <f t="shared" ref="F2296:K2296" si="2307">SUM(F2297:F2298)</f>
        <v>3.5071532188176429E-7</v>
      </c>
      <c r="G2296" s="1">
        <f t="shared" si="2307"/>
        <v>3.8922514678185722E-7</v>
      </c>
      <c r="H2296" s="1">
        <f t="shared" si="2307"/>
        <v>0.12642224557431347</v>
      </c>
      <c r="I2296" s="1">
        <f t="shared" si="2307"/>
        <v>2.052130966615079E-6</v>
      </c>
      <c r="J2296" s="1">
        <f t="shared" si="2307"/>
        <v>0.37347637032901249</v>
      </c>
      <c r="K2296" s="1">
        <f t="shared" si="2307"/>
        <v>0.22736469613378579</v>
      </c>
      <c r="L2296" s="1">
        <f t="shared" ref="L2296:O2296" si="2308">SUM(L2297:L2298)</f>
        <v>1.1500364024875721E-4</v>
      </c>
      <c r="M2296" s="1">
        <f t="shared" si="2308"/>
        <v>0.74483332314379491</v>
      </c>
      <c r="N2296" s="1">
        <f t="shared" si="2308"/>
        <v>0.17428085954773609</v>
      </c>
      <c r="O2296" s="1">
        <f t="shared" si="2308"/>
        <v>2.1410364562624101E-2</v>
      </c>
      <c r="P2296" s="1">
        <f>SUM(P2297:P2298)</f>
        <v>0.55405444831015327</v>
      </c>
      <c r="Q2296" s="1">
        <f>SUM(Q2297:Q2298)</f>
        <v>0.36290507488236134</v>
      </c>
      <c r="S2296" s="3"/>
    </row>
    <row r="2297" spans="2:19" x14ac:dyDescent="0.5">
      <c r="B2297" s="5" t="str">
        <f t="shared" si="2305"/>
        <v>SPS1</v>
      </c>
      <c r="C2297" s="5" t="str">
        <f t="shared" si="2306"/>
        <v>CH</v>
      </c>
      <c r="D2297" t="s">
        <v>2431</v>
      </c>
      <c r="E2297" t="str">
        <f t="shared" si="2286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3.3089126511761201E-7</v>
      </c>
      <c r="G2297" s="1" cm="1">
        <f t="array" ref="G2297">SUMPRODUCT(([1]OUT_FinalEnergyCons!$B$4:$B$10000="var_ncap")*1, (ISNUMBER(SEARCH("SCOM-SHELCBR",[1]OUT_FinalEnergyCons!$A$4:$A$10000)))*1,[1]OUT_FinalEnergyCons!E$4:E$10000)</f>
        <v>3.4844251912914001E-7</v>
      </c>
      <c r="H2297" s="1" cm="1">
        <f t="array" ref="H2297">SUMPRODUCT(([1]OUT_FinalEnergyCons!$B$4:$B$10000="var_ncap")*1, (ISNUMBER(SEARCH("SCOM-SHELCBR",[1]OUT_FinalEnergyCons!$A$4:$A$10000)))*1,[1]OUT_FinalEnergyCons!F$4:F$10000)</f>
        <v>0.12642218466612501</v>
      </c>
      <c r="I2297" s="1" cm="1">
        <f t="array" ref="I2297">SUMPRODUCT(([1]OUT_FinalEnergyCons!$B$4:$B$10000="var_ncap")*1, (ISNUMBER(SEARCH("SCOM-SHELCBR",[1]OUT_FinalEnergyCons!$A$4:$A$10000)))*1,[1]OUT_FinalEnergyCons!G$4:G$10000)</f>
        <v>1.8682681528318601E-6</v>
      </c>
      <c r="J2297" s="1" cm="1">
        <f t="array" ref="J2297">SUMPRODUCT(([1]OUT_FinalEnergyCons!$B$4:$B$10000="var_ncap")*1, (ISNUMBER(SEARCH("SCOM-SHELCBR",[1]OUT_FinalEnergyCons!$A$4:$A$10000)))*1,[1]OUT_FinalEnergyCons!H$4:H$10000)</f>
        <v>4.6808875083409501E-2</v>
      </c>
      <c r="K2297" s="1" cm="1">
        <f t="array" ref="K2297">SUMPRODUCT(([1]OUT_FinalEnergyCons!$B$4:$B$10000="var_ncap")*1, (ISNUMBER(SEARCH("SCOM-SHELCBR",[1]OUT_FinalEnergyCons!$A$4:$A$10000)))*1,[1]OUT_FinalEnergyCons!I$4:I$10000)</f>
        <v>8.2133113140358802E-2</v>
      </c>
      <c r="L2297" s="1" cm="1">
        <f t="array" ref="L2297">SUMPRODUCT(([1]OUT_FinalEnergyCons!$B$4:$B$10000="var_ncap")*1, (ISNUMBER(SEARCH("SCOM-SHELCBR",[1]OUT_FinalEnergyCons!$A$4:$A$10000)))*1,[1]OUT_FinalEnergyCons!J$4:J$10000)</f>
        <v>9.5263466843678704E-5</v>
      </c>
      <c r="M2297" s="1" cm="1">
        <f t="array" ref="M2297">SUMPRODUCT(([1]OUT_FinalEnergyCons!$B$4:$B$10000="var_ncap")*1, (ISNUMBER(SEARCH("SCOM-SHELCBR",[1]OUT_FinalEnergyCons!$A$4:$A$10000)))*1,[1]OUT_FinalEnergyCons!K$4:K$10000)</f>
        <v>0.15338982015883301</v>
      </c>
      <c r="N2297" s="1" cm="1">
        <f t="array" ref="N2297">SUMPRODUCT(([1]OUT_FinalEnergyCons!$B$4:$B$10000="var_ncap")*1, (ISNUMBER(SEARCH("SCOM-SHELCBR",[1]OUT_FinalEnergyCons!$A$4:$A$10000)))*1,[1]OUT_FinalEnergyCons!L$4:L$10000)</f>
        <v>5.1354241705759099E-2</v>
      </c>
      <c r="O2297" s="1" cm="1">
        <f t="array" ref="O2297">SUMPRODUCT(([1]OUT_FinalEnergyCons!$B$4:$B$10000="var_ncap")*1, (ISNUMBER(SEARCH("SCOM-SHELCBR",[1]OUT_FinalEnergyCons!$A$4:$A$10000)))*1,[1]OUT_FinalEnergyCons!M$4:M$10000)</f>
        <v>2.7865132018018601E-6</v>
      </c>
      <c r="P2297" s="1" cm="1">
        <f t="array" ref="P2297">SUMPRODUCT(([1]OUT_FinalEnergyCons!$B$4:$B$10000="var_ncap")*1, (ISNUMBER(SEARCH("SCOM-SHELCBR",[1]OUT_FinalEnergyCons!$A$4:$A$10000)))*1,[1]OUT_FinalEnergyCons!N$4:N$10000)</f>
        <v>3.2906836046347303E-2</v>
      </c>
      <c r="Q2297" s="1" cm="1">
        <f t="array" ref="Q2297">SUMPRODUCT(([1]OUT_FinalEnergyCons!$B$4:$B$10000="var_ncap")*1, (ISNUMBER(SEARCH("SCOM-SHELCBR",[1]OUT_FinalEnergyCons!$A$4:$A$10000)))*1,[1]OUT_FinalEnergyCons!O$4:O$10000)</f>
        <v>4.3257893111414397E-2</v>
      </c>
      <c r="S2297" s="3"/>
    </row>
    <row r="2298" spans="2:19" x14ac:dyDescent="0.5">
      <c r="B2298" s="5" t="str">
        <f t="shared" si="2305"/>
        <v>SPS1</v>
      </c>
      <c r="C2298" s="5" t="str">
        <f t="shared" si="2306"/>
        <v>CH</v>
      </c>
      <c r="D2298" t="s">
        <v>2432</v>
      </c>
      <c r="E2298" t="str">
        <f t="shared" si="2286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1.9824056764152299E-8</v>
      </c>
      <c r="G2298" s="1" cm="1">
        <f t="array" ref="G2298">SUMPRODUCT(([1]OUT_FinalEnergyCons!$B$4:$B$10000="var_ncap")*1, (ISNUMBER(SEARCH("SCOM-SHELCHP",[1]OUT_FinalEnergyCons!$A$4:$A$10000)))*1,[1]OUT_FinalEnergyCons!E$4:E$10000)</f>
        <v>4.0782627652717202E-8</v>
      </c>
      <c r="H2298" s="1" cm="1">
        <f t="array" ref="H2298">SUMPRODUCT(([1]OUT_FinalEnergyCons!$B$4:$B$10000="var_ncap")*1, (ISNUMBER(SEARCH("SCOM-SHELCHP",[1]OUT_FinalEnergyCons!$A$4:$A$10000)))*1,[1]OUT_FinalEnergyCons!F$4:F$10000)</f>
        <v>6.0908188452532804E-8</v>
      </c>
      <c r="I2298" s="1" cm="1">
        <f t="array" ref="I2298">SUMPRODUCT(([1]OUT_FinalEnergyCons!$B$4:$B$10000="var_ncap")*1, (ISNUMBER(SEARCH("SCOM-SHELCHP",[1]OUT_FinalEnergyCons!$A$4:$A$10000)))*1,[1]OUT_FinalEnergyCons!G$4:G$10000)</f>
        <v>1.8386281378321899E-7</v>
      </c>
      <c r="J2298" s="1" cm="1">
        <f t="array" ref="J2298">SUMPRODUCT(([1]OUT_FinalEnergyCons!$B$4:$B$10000="var_ncap")*1, (ISNUMBER(SEARCH("SCOM-SHELCHP",[1]OUT_FinalEnergyCons!$A$4:$A$10000)))*1,[1]OUT_FinalEnergyCons!H$4:H$10000)</f>
        <v>0.32666749524560301</v>
      </c>
      <c r="K2298" s="1" cm="1">
        <f t="array" ref="K2298">SUMPRODUCT(([1]OUT_FinalEnergyCons!$B$4:$B$10000="var_ncap")*1, (ISNUMBER(SEARCH("SCOM-SHELCHP",[1]OUT_FinalEnergyCons!$A$4:$A$10000)))*1,[1]OUT_FinalEnergyCons!I$4:I$10000)</f>
        <v>0.14523158299342701</v>
      </c>
      <c r="L2298" s="1" cm="1">
        <f t="array" ref="L2298">SUMPRODUCT(([1]OUT_FinalEnergyCons!$B$4:$B$10000="var_ncap")*1, (ISNUMBER(SEARCH("SCOM-SHELCHP",[1]OUT_FinalEnergyCons!$A$4:$A$10000)))*1,[1]OUT_FinalEnergyCons!J$4:J$10000)</f>
        <v>1.9740173405078502E-5</v>
      </c>
      <c r="M2298" s="1" cm="1">
        <f t="array" ref="M2298">SUMPRODUCT(([1]OUT_FinalEnergyCons!$B$4:$B$10000="var_ncap")*1, (ISNUMBER(SEARCH("SCOM-SHELCHP",[1]OUT_FinalEnergyCons!$A$4:$A$10000)))*1,[1]OUT_FinalEnergyCons!K$4:K$10000)</f>
        <v>0.59144350298496196</v>
      </c>
      <c r="N2298" s="1" cm="1">
        <f t="array" ref="N2298">SUMPRODUCT(([1]OUT_FinalEnergyCons!$B$4:$B$10000="var_ncap")*1, (ISNUMBER(SEARCH("SCOM-SHELCHP",[1]OUT_FinalEnergyCons!$A$4:$A$10000)))*1,[1]OUT_FinalEnergyCons!L$4:L$10000)</f>
        <v>0.122926617841977</v>
      </c>
      <c r="O2298" s="1" cm="1">
        <f t="array" ref="O2298">SUMPRODUCT(([1]OUT_FinalEnergyCons!$B$4:$B$10000="var_ncap")*1, (ISNUMBER(SEARCH("SCOM-SHELCHP",[1]OUT_FinalEnergyCons!$A$4:$A$10000)))*1,[1]OUT_FinalEnergyCons!M$4:M$10000)</f>
        <v>2.14075780494223E-2</v>
      </c>
      <c r="P2298" s="1" cm="1">
        <f t="array" ref="P2298">SUMPRODUCT(([1]OUT_FinalEnergyCons!$B$4:$B$10000="var_ncap")*1, (ISNUMBER(SEARCH("SCOM-SHELCHP",[1]OUT_FinalEnergyCons!$A$4:$A$10000)))*1,[1]OUT_FinalEnergyCons!N$4:N$10000)</f>
        <v>0.52114761226380601</v>
      </c>
      <c r="Q2298" s="1" cm="1">
        <f t="array" ref="Q2298">SUMPRODUCT(([1]OUT_FinalEnergyCons!$B$4:$B$10000="var_ncap")*1, (ISNUMBER(SEARCH("SCOM-SHELCHP",[1]OUT_FinalEnergyCons!$A$4:$A$10000)))*1,[1]OUT_FinalEnergyCons!O$4:O$10000)</f>
        <v>0.31964718177094698</v>
      </c>
      <c r="S2298" s="3"/>
    </row>
    <row r="2299" spans="2:19" x14ac:dyDescent="0.5">
      <c r="B2299" s="5" t="str">
        <f t="shared" si="2305"/>
        <v>SPS1</v>
      </c>
      <c r="C2299" s="5" t="str">
        <f t="shared" si="2306"/>
        <v>CH</v>
      </c>
      <c r="D2299" t="s">
        <v>2433</v>
      </c>
      <c r="E2299" t="str">
        <f t="shared" si="2286"/>
        <v>GWth/yr.</v>
      </c>
      <c r="F2299" s="1">
        <f t="shared" ref="F2299:O2299" si="2309">F2300</f>
        <v>1.6270431884106101E-7</v>
      </c>
      <c r="G2299" s="1">
        <f t="shared" si="2309"/>
        <v>2.3281293346661399E-7</v>
      </c>
      <c r="H2299" s="1">
        <f t="shared" si="2309"/>
        <v>9.7133395809017305E-8</v>
      </c>
      <c r="I2299" s="1">
        <f t="shared" si="2309"/>
        <v>2.5803933592755197E-7</v>
      </c>
      <c r="J2299" s="1">
        <f t="shared" si="2309"/>
        <v>0.43725998341213301</v>
      </c>
      <c r="K2299" s="1">
        <f t="shared" si="2309"/>
        <v>5.6037179409591298E-2</v>
      </c>
      <c r="L2299" s="1">
        <f t="shared" si="2309"/>
        <v>6.0435557777318797E-7</v>
      </c>
      <c r="M2299" s="1">
        <f t="shared" si="2309"/>
        <v>1.91770579260887E-2</v>
      </c>
      <c r="N2299" s="1">
        <f t="shared" si="2309"/>
        <v>4.7431627925698799E-2</v>
      </c>
      <c r="O2299" s="1">
        <f t="shared" si="2309"/>
        <v>8.6033457501341198E-3</v>
      </c>
      <c r="P2299" s="1">
        <f>P2300</f>
        <v>3.08172923916838E-2</v>
      </c>
      <c r="Q2299" s="1">
        <f>Q2300</f>
        <v>4.4390482730153301E-2</v>
      </c>
      <c r="S2299" s="3"/>
    </row>
    <row r="2300" spans="2:19" x14ac:dyDescent="0.5">
      <c r="B2300" s="5" t="str">
        <f t="shared" si="2305"/>
        <v>SPS1</v>
      </c>
      <c r="C2300" s="5" t="str">
        <f t="shared" si="2306"/>
        <v>CH</v>
      </c>
      <c r="D2300" t="s">
        <v>2434</v>
      </c>
      <c r="E2300" t="str">
        <f t="shared" ref="E2300:E2312" si="2310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1.6270431884106101E-7</v>
      </c>
      <c r="G2300" s="1" cm="1">
        <f t="array" ref="G2300">SUMPRODUCT(([1]OUT_FinalEnergyCons!$B$4:$B$10000="var_ncap")*1,(ISNUMBER(SEARCH("SCOM-SHLFOBR",[1]OUT_FinalEnergyCons!$A$4:$A$10000)))*1,[1]OUT_FinalEnergyCons!E$4:E$10000)</f>
        <v>2.3281293346661399E-7</v>
      </c>
      <c r="H2300" s="1" cm="1">
        <f t="array" ref="H2300">SUMPRODUCT(([1]OUT_FinalEnergyCons!$B$4:$B$10000="var_ncap")*1,(ISNUMBER(SEARCH("SCOM-SHLFOBR",[1]OUT_FinalEnergyCons!$A$4:$A$10000)))*1,[1]OUT_FinalEnergyCons!F$4:F$10000)</f>
        <v>9.7133395809017305E-8</v>
      </c>
      <c r="I2300" s="1" cm="1">
        <f t="array" ref="I2300">SUMPRODUCT(([1]OUT_FinalEnergyCons!$B$4:$B$10000="var_ncap")*1,(ISNUMBER(SEARCH("SCOM-SHLFOBR",[1]OUT_FinalEnergyCons!$A$4:$A$10000)))*1,[1]OUT_FinalEnergyCons!G$4:G$10000)</f>
        <v>2.5803933592755197E-7</v>
      </c>
      <c r="J2300" s="1" cm="1">
        <f t="array" ref="J2300">SUMPRODUCT(([1]OUT_FinalEnergyCons!$B$4:$B$10000="var_ncap")*1,(ISNUMBER(SEARCH("SCOM-SHLFOBR",[1]OUT_FinalEnergyCons!$A$4:$A$10000)))*1,[1]OUT_FinalEnergyCons!H$4:H$10000)</f>
        <v>0.43725998341213301</v>
      </c>
      <c r="K2300" s="1" cm="1">
        <f t="array" ref="K2300">SUMPRODUCT(([1]OUT_FinalEnergyCons!$B$4:$B$10000="var_ncap")*1,(ISNUMBER(SEARCH("SCOM-SHLFOBR",[1]OUT_FinalEnergyCons!$A$4:$A$10000)))*1,[1]OUT_FinalEnergyCons!I$4:I$10000)</f>
        <v>5.6037179409591298E-2</v>
      </c>
      <c r="L2300" s="1" cm="1">
        <f t="array" ref="L2300">SUMPRODUCT(([1]OUT_FinalEnergyCons!$B$4:$B$10000="var_ncap")*1,(ISNUMBER(SEARCH("SCOM-SHLFOBR",[1]OUT_FinalEnergyCons!$A$4:$A$10000)))*1,[1]OUT_FinalEnergyCons!J$4:J$10000)</f>
        <v>6.0435557777318797E-7</v>
      </c>
      <c r="M2300" s="1" cm="1">
        <f t="array" ref="M2300">SUMPRODUCT(([1]OUT_FinalEnergyCons!$B$4:$B$10000="var_ncap")*1,(ISNUMBER(SEARCH("SCOM-SHLFOBR",[1]OUT_FinalEnergyCons!$A$4:$A$10000)))*1,[1]OUT_FinalEnergyCons!K$4:K$10000)</f>
        <v>1.91770579260887E-2</v>
      </c>
      <c r="N2300" s="1" cm="1">
        <f t="array" ref="N2300">SUMPRODUCT(([1]OUT_FinalEnergyCons!$B$4:$B$10000="var_ncap")*1,(ISNUMBER(SEARCH("SCOM-SHLFOBR",[1]OUT_FinalEnergyCons!$A$4:$A$10000)))*1,[1]OUT_FinalEnergyCons!L$4:L$10000)</f>
        <v>4.7431627925698799E-2</v>
      </c>
      <c r="O2300" s="1" cm="1">
        <f t="array" ref="O2300">SUMPRODUCT(([1]OUT_FinalEnergyCons!$B$4:$B$10000="var_ncap")*1,(ISNUMBER(SEARCH("SCOM-SHLFOBR",[1]OUT_FinalEnergyCons!$A$4:$A$10000)))*1,[1]OUT_FinalEnergyCons!M$4:M$10000)</f>
        <v>8.6033457501341198E-3</v>
      </c>
      <c r="P2300" s="1" cm="1">
        <f t="array" ref="P2300">SUMPRODUCT(([1]OUT_FinalEnergyCons!$B$4:$B$10000="var_ncap")*1,(ISNUMBER(SEARCH("SCOM-SHLFOBR",[1]OUT_FinalEnergyCons!$A$4:$A$10000)))*1,[1]OUT_FinalEnergyCons!N$4:N$10000)</f>
        <v>3.08172923916838E-2</v>
      </c>
      <c r="Q2300" s="1" cm="1">
        <f t="array" ref="Q2300">SUMPRODUCT(([1]OUT_FinalEnergyCons!$B$4:$B$10000="var_ncap")*1,(ISNUMBER(SEARCH("SCOM-SHLFOBR",[1]OUT_FinalEnergyCons!$A$4:$A$10000)))*1,[1]OUT_FinalEnergyCons!O$4:O$10000)</f>
        <v>4.4390482730153301E-2</v>
      </c>
      <c r="S2300" s="3"/>
    </row>
    <row r="2301" spans="2:19" x14ac:dyDescent="0.5">
      <c r="B2301" s="5" t="str">
        <f t="shared" si="2305"/>
        <v>SPS1</v>
      </c>
      <c r="C2301" s="5" t="str">
        <f t="shared" si="2306"/>
        <v>CH</v>
      </c>
      <c r="D2301" t="s">
        <v>2435</v>
      </c>
      <c r="E2301" t="str">
        <f t="shared" si="2310"/>
        <v>GWth/yr.</v>
      </c>
      <c r="F2301" s="1">
        <f t="shared" ref="F2301:K2301" si="2311">SUM(F2302:F2304)</f>
        <v>7.1587328227641741E-7</v>
      </c>
      <c r="G2301" s="1">
        <f t="shared" si="2311"/>
        <v>1.3452878507736344E-5</v>
      </c>
      <c r="H2301" s="1">
        <f t="shared" si="2311"/>
        <v>3.7833654357649529E-5</v>
      </c>
      <c r="I2301" s="1">
        <f t="shared" si="2311"/>
        <v>1.5636234506466361E-6</v>
      </c>
      <c r="J2301" s="1">
        <f t="shared" si="2311"/>
        <v>1.6090385802422715</v>
      </c>
      <c r="K2301" s="1">
        <f t="shared" si="2311"/>
        <v>0.7501835850009132</v>
      </c>
      <c r="L2301" s="1">
        <f t="shared" ref="L2301:O2301" si="2312">SUM(L2302:L2304)</f>
        <v>0.2706712249889543</v>
      </c>
      <c r="M2301" s="1">
        <f t="shared" si="2312"/>
        <v>0.61121547232583473</v>
      </c>
      <c r="N2301" s="1">
        <f t="shared" si="2312"/>
        <v>0.90046082405857064</v>
      </c>
      <c r="O2301" s="1">
        <f t="shared" si="2312"/>
        <v>0.61703155974284396</v>
      </c>
      <c r="P2301" s="1">
        <f>SUM(P2302:P2304)</f>
        <v>0.96001129086626302</v>
      </c>
      <c r="Q2301" s="1">
        <f>SUM(Q2302:Q2304)</f>
        <v>0.33323239005291405</v>
      </c>
      <c r="S2301" s="3"/>
    </row>
    <row r="2302" spans="2:19" x14ac:dyDescent="0.5">
      <c r="B2302" s="5" t="str">
        <f t="shared" si="2305"/>
        <v>SPS1</v>
      </c>
      <c r="C2302" s="5" t="str">
        <f t="shared" si="2306"/>
        <v>CH</v>
      </c>
      <c r="D2302" t="s">
        <v>2436</v>
      </c>
      <c r="E2302" t="str">
        <f t="shared" si="2310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4.6055687092411501E-8</v>
      </c>
      <c r="G2302" s="1" cm="1">
        <f t="array" ref="G2302">SUMPRODUCT(([1]OUT_FinalEnergyCons!$B$4:$B$10000="var_ncap")*1, (ISNUMBER(SEARCH("SCOM-SHNGABR",[1]OUT_FinalEnergyCons!$A$4:$A$10000)))*1,[1]OUT_FinalEnergyCons!E$4:E$10000)</f>
        <v>2.4251223141211399E-7</v>
      </c>
      <c r="H2302" s="1" cm="1">
        <f t="array" ref="H2302">SUMPRODUCT(([1]OUT_FinalEnergyCons!$B$4:$B$10000="var_ncap")*1, (ISNUMBER(SEARCH("SCOM-SHNGABR",[1]OUT_FinalEnergyCons!$A$4:$A$10000)))*1,[1]OUT_FinalEnergyCons!F$4:F$10000)</f>
        <v>2.61160008640496E-7</v>
      </c>
      <c r="I2302" s="1" cm="1">
        <f t="array" ref="I2302">SUMPRODUCT(([1]OUT_FinalEnergyCons!$B$4:$B$10000="var_ncap")*1, (ISNUMBER(SEARCH("SCOM-SHNGABR",[1]OUT_FinalEnergyCons!$A$4:$A$10000)))*1,[1]OUT_FinalEnergyCons!G$4:G$10000)</f>
        <v>5.3142281244303197E-7</v>
      </c>
      <c r="J2302" s="1" cm="1">
        <f t="array" ref="J2302">SUMPRODUCT(([1]OUT_FinalEnergyCons!$B$4:$B$10000="var_ncap")*1, (ISNUMBER(SEARCH("SCOM-SHNGABR",[1]OUT_FinalEnergyCons!$A$4:$A$10000)))*1,[1]OUT_FinalEnergyCons!H$4:H$10000)</f>
        <v>1.42197120229218</v>
      </c>
      <c r="K2302" s="1" cm="1">
        <f t="array" ref="K2302">SUMPRODUCT(([1]OUT_FinalEnergyCons!$B$4:$B$10000="var_ncap")*1, (ISNUMBER(SEARCH("SCOM-SHNGABR",[1]OUT_FinalEnergyCons!$A$4:$A$10000)))*1,[1]OUT_FinalEnergyCons!I$4:I$10000)</f>
        <v>0.56380432353643295</v>
      </c>
      <c r="L2302" s="1" cm="1">
        <f t="array" ref="L2302">SUMPRODUCT(([1]OUT_FinalEnergyCons!$B$4:$B$10000="var_ncap")*1, (ISNUMBER(SEARCH("SCOM-SHNGABR",[1]OUT_FinalEnergyCons!$A$4:$A$10000)))*1,[1]OUT_FinalEnergyCons!J$4:J$10000)</f>
        <v>5.8547473798570601E-2</v>
      </c>
      <c r="M2302" s="1" cm="1">
        <f t="array" ref="M2302">SUMPRODUCT(([1]OUT_FinalEnergyCons!$B$4:$B$10000="var_ncap")*1, (ISNUMBER(SEARCH("SCOM-SHNGABR",[1]OUT_FinalEnergyCons!$A$4:$A$10000)))*1,[1]OUT_FinalEnergyCons!K$4:K$10000)</f>
        <v>6.1213891334284198E-6</v>
      </c>
      <c r="N2302" s="1" cm="1">
        <f t="array" ref="N2302">SUMPRODUCT(([1]OUT_FinalEnergyCons!$B$4:$B$10000="var_ncap")*1, (ISNUMBER(SEARCH("SCOM-SHNGABR",[1]OUT_FinalEnergyCons!$A$4:$A$10000)))*1,[1]OUT_FinalEnergyCons!L$4:L$10000)</f>
        <v>0.63960616912066703</v>
      </c>
      <c r="O2302" s="1" cm="1">
        <f t="array" ref="O2302">SUMPRODUCT(([1]OUT_FinalEnergyCons!$B$4:$B$10000="var_ncap")*1, (ISNUMBER(SEARCH("SCOM-SHNGABR",[1]OUT_FinalEnergyCons!$A$4:$A$10000)))*1,[1]OUT_FinalEnergyCons!M$4:M$10000)</f>
        <v>0.114491024556499</v>
      </c>
      <c r="P2302" s="1" cm="1">
        <f t="array" ref="P2302">SUMPRODUCT(([1]OUT_FinalEnergyCons!$B$4:$B$10000="var_ncap")*1, (ISNUMBER(SEARCH("SCOM-SHNGABR",[1]OUT_FinalEnergyCons!$A$4:$A$10000)))*1,[1]OUT_FinalEnergyCons!N$4:N$10000)</f>
        <v>0.13003459760594499</v>
      </c>
      <c r="Q2302" s="1" cm="1">
        <f t="array" ref="Q2302">SUMPRODUCT(([1]OUT_FinalEnergyCons!$B$4:$B$10000="var_ncap")*1, (ISNUMBER(SEARCH("SCOM-SHNGABR",[1]OUT_FinalEnergyCons!$A$4:$A$10000)))*1,[1]OUT_FinalEnergyCons!O$4:O$10000)</f>
        <v>8.8259837848982697E-2</v>
      </c>
      <c r="S2302" s="3"/>
    </row>
    <row r="2303" spans="2:19" x14ac:dyDescent="0.5">
      <c r="B2303" s="5" t="str">
        <f t="shared" si="2305"/>
        <v>SPS1</v>
      </c>
      <c r="C2303" s="5" t="str">
        <f t="shared" si="2306"/>
        <v>CH</v>
      </c>
      <c r="D2303" t="s">
        <v>2437</v>
      </c>
      <c r="E2303" t="str">
        <f t="shared" si="2310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1.47370900743578E-7</v>
      </c>
      <c r="G2303" s="1" cm="1">
        <f t="array" ref="G2303">SUMPRODUCT(([1]OUT_FinalEnergyCons!$B$4:$B$10000="var_ncap")*1, (ISNUMBER(SEARCH("SCOM-SHngahp",[1]OUT_FinalEnergyCons!$A$4:$A$10000)))*1,[1]OUT_FinalEnergyCons!E$4:E$10000)</f>
        <v>1.14687582253117E-5</v>
      </c>
      <c r="H2303" s="1" cm="1">
        <f t="array" ref="H2303">SUMPRODUCT(([1]OUT_FinalEnergyCons!$B$4:$B$10000="var_ncap")*1, (ISNUMBER(SEARCH("SCOM-SHngahp",[1]OUT_FinalEnergyCons!$A$4:$A$10000)))*1,[1]OUT_FinalEnergyCons!F$4:F$10000)</f>
        <v>3.6488698377868502E-5</v>
      </c>
      <c r="I2303" s="1" cm="1">
        <f t="array" ref="I2303">SUMPRODUCT(([1]OUT_FinalEnergyCons!$B$4:$B$10000="var_ncap")*1, (ISNUMBER(SEARCH("SCOM-SHngahp",[1]OUT_FinalEnergyCons!$A$4:$A$10000)))*1,[1]OUT_FinalEnergyCons!G$4:G$10000)</f>
        <v>4.4369683689466197E-7</v>
      </c>
      <c r="J2303" s="1" cm="1">
        <f t="array" ref="J2303">SUMPRODUCT(([1]OUT_FinalEnergyCons!$B$4:$B$10000="var_ncap")*1, (ISNUMBER(SEARCH("SCOM-SHngahp",[1]OUT_FinalEnergyCons!$A$4:$A$10000)))*1,[1]OUT_FinalEnergyCons!H$4:H$10000)</f>
        <v>6.2763990031345003E-4</v>
      </c>
      <c r="K2303" s="1" cm="1">
        <f t="array" ref="K2303">SUMPRODUCT(([1]OUT_FinalEnergyCons!$B$4:$B$10000="var_ncap")*1, (ISNUMBER(SEARCH("SCOM-SHngahp",[1]OUT_FinalEnergyCons!$A$4:$A$10000)))*1,[1]OUT_FinalEnergyCons!I$4:I$10000)</f>
        <v>4.21952283265269E-4</v>
      </c>
      <c r="L2303" s="1" cm="1">
        <f t="array" ref="L2303">SUMPRODUCT(([1]OUT_FinalEnergyCons!$B$4:$B$10000="var_ncap")*1, (ISNUMBER(SEARCH("SCOM-SHngahp",[1]OUT_FinalEnergyCons!$A$4:$A$10000)))*1,[1]OUT_FinalEnergyCons!J$4:J$10000)</f>
        <v>3.6066257142984698E-2</v>
      </c>
      <c r="M2303" s="1" cm="1">
        <f t="array" ref="M2303">SUMPRODUCT(([1]OUT_FinalEnergyCons!$B$4:$B$10000="var_ncap")*1, (ISNUMBER(SEARCH("SCOM-SHngahp",[1]OUT_FinalEnergyCons!$A$4:$A$10000)))*1,[1]OUT_FinalEnergyCons!K$4:K$10000)</f>
        <v>5.9779672176458298E-2</v>
      </c>
      <c r="N2303" s="1" cm="1">
        <f t="array" ref="N2303">SUMPRODUCT(([1]OUT_FinalEnergyCons!$B$4:$B$10000="var_ncap")*1, (ISNUMBER(SEARCH("SCOM-SHngahp",[1]OUT_FinalEnergyCons!$A$4:$A$10000)))*1,[1]OUT_FinalEnergyCons!L$4:L$10000)</f>
        <v>6.8984993171221601E-2</v>
      </c>
      <c r="O2303" s="1" cm="1">
        <f t="array" ref="O2303">SUMPRODUCT(([1]OUT_FinalEnergyCons!$B$4:$B$10000="var_ncap")*1, (ISNUMBER(SEARCH("SCOM-SHngahp",[1]OUT_FinalEnergyCons!$A$4:$A$10000)))*1,[1]OUT_FinalEnergyCons!M$4:M$10000)</f>
        <v>0.10013130233145</v>
      </c>
      <c r="P2303" s="1" cm="1">
        <f t="array" ref="P2303">SUMPRODUCT(([1]OUT_FinalEnergyCons!$B$4:$B$10000="var_ncap")*1, (ISNUMBER(SEARCH("SCOM-SHngahp",[1]OUT_FinalEnergyCons!$A$4:$A$10000)))*1,[1]OUT_FinalEnergyCons!N$4:N$10000)</f>
        <v>0.14514718764142301</v>
      </c>
      <c r="Q2303" s="1" cm="1">
        <f t="array" ref="Q2303">SUMPRODUCT(([1]OUT_FinalEnergyCons!$B$4:$B$10000="var_ncap")*1, (ISNUMBER(SEARCH("SCOM-SHngahp",[1]OUT_FinalEnergyCons!$A$4:$A$10000)))*1,[1]OUT_FinalEnergyCons!O$4:O$10000)</f>
        <v>8.3988012502543299E-2</v>
      </c>
      <c r="S2303" s="3"/>
    </row>
    <row r="2304" spans="2:19" x14ac:dyDescent="0.5">
      <c r="B2304" s="5" t="str">
        <f t="shared" si="2305"/>
        <v>SPS1</v>
      </c>
      <c r="C2304" s="5" t="str">
        <f t="shared" si="2306"/>
        <v>CH</v>
      </c>
      <c r="D2304" t="s">
        <v>2438</v>
      </c>
      <c r="E2304" t="str">
        <f t="shared" si="2310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5.2244669444042796E-7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1.74160805101253E-6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1.08379597114053E-6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5.8850380130894201E-7</v>
      </c>
      <c r="J2304" s="1" cm="1">
        <f t="array" ref="J2304">SUMPRODUCT(([1]OUT_FinalEnergyCons!$B$4:$B$10000="var_ncap")*1, (("SCOM-SHBIOBR"=[1]OUT_FinalEnergyCons!$A$4:$A$10000)*1+("SCOM-SHBNGABR"=[1]OUT_FinalEnergyCons!$A$4:$A$10000)*1),[1]OUT_FinalEnergyCons!H$4:H$10000)</f>
        <v>0.18643973804977801</v>
      </c>
      <c r="K2304" s="1" cm="1">
        <f t="array" ref="K2304">SUMPRODUCT(([1]OUT_FinalEnergyCons!$B$4:$B$10000="var_ncap")*1, (("SCOM-SHBIOBR"=[1]OUT_FinalEnergyCons!$A$4:$A$10000)*1+("SCOM-SHBNGABR"=[1]OUT_FinalEnergyCons!$A$4:$A$10000)*1),[1]OUT_FinalEnergyCons!I$4:I$10000)</f>
        <v>0.185957309181215</v>
      </c>
      <c r="L2304" s="1" cm="1">
        <f t="array" ref="L2304">SUMPRODUCT(([1]OUT_FinalEnergyCons!$B$4:$B$10000="var_ncap")*1, (("SCOM-SHBIOBR"=[1]OUT_FinalEnergyCons!$A$4:$A$10000)*1+("SCOM-SHBNGABR"=[1]OUT_FinalEnergyCons!$A$4:$A$10000)*1),[1]OUT_FinalEnergyCons!J$4:J$10000)</f>
        <v>0.17605749404739901</v>
      </c>
      <c r="M2304" s="1" cm="1">
        <f t="array" ref="M2304">SUMPRODUCT(([1]OUT_FinalEnergyCons!$B$4:$B$10000="var_ncap")*1, (("SCOM-SHBIOBR"=[1]OUT_FinalEnergyCons!$A$4:$A$10000)*1+("SCOM-SHBNGABR"=[1]OUT_FinalEnergyCons!$A$4:$A$10000)*1),[1]OUT_FinalEnergyCons!K$4:K$10000)</f>
        <v>0.55142967876024296</v>
      </c>
      <c r="N2304" s="1" cm="1">
        <f t="array" ref="N2304">SUMPRODUCT(([1]OUT_FinalEnergyCons!$B$4:$B$10000="var_ncap")*1, (("SCOM-SHBIOBR"=[1]OUT_FinalEnergyCons!$A$4:$A$10000)*1+("SCOM-SHBNGABR"=[1]OUT_FinalEnergyCons!$A$4:$A$10000)*1),[1]OUT_FinalEnergyCons!L$4:L$10000)</f>
        <v>0.19186966176668199</v>
      </c>
      <c r="O2304" s="1" cm="1">
        <f t="array" ref="O2304">SUMPRODUCT(([1]OUT_FinalEnergyCons!$B$4:$B$10000="var_ncap")*1, (("SCOM-SHBIOBR"=[1]OUT_FinalEnergyCons!$A$4:$A$10000)*1+("SCOM-SHBNGABR"=[1]OUT_FinalEnergyCons!$A$4:$A$10000)*1),[1]OUT_FinalEnergyCons!M$4:M$10000)</f>
        <v>0.40240923285489499</v>
      </c>
      <c r="P2304" s="1" cm="1">
        <f t="array" ref="P2304">SUMPRODUCT(([1]OUT_FinalEnergyCons!$B$4:$B$10000="var_ncap")*1, (("SCOM-SHBIOBR"=[1]OUT_FinalEnergyCons!$A$4:$A$10000)*1+("SCOM-SHBNGABR"=[1]OUT_FinalEnergyCons!$A$4:$A$10000)*1),[1]OUT_FinalEnergyCons!N$4:N$10000)</f>
        <v>0.684829505618895</v>
      </c>
      <c r="Q2304" s="1" cm="1">
        <f t="array" ref="Q2304">SUMPRODUCT(([1]OUT_FinalEnergyCons!$B$4:$B$10000="var_ncap")*1, (("SCOM-SHBIOBR"=[1]OUT_FinalEnergyCons!$A$4:$A$10000)*1+("SCOM-SHBNGABR"=[1]OUT_FinalEnergyCons!$A$4:$A$10000)*1),[1]OUT_FinalEnergyCons!O$4:O$10000)</f>
        <v>0.16098453970138801</v>
      </c>
      <c r="S2304" s="3"/>
    </row>
    <row r="2305" spans="2:19" x14ac:dyDescent="0.5">
      <c r="B2305" s="5" t="str">
        <f t="shared" si="2305"/>
        <v>SPS1</v>
      </c>
      <c r="C2305" s="5" t="str">
        <f t="shared" si="2306"/>
        <v>CH</v>
      </c>
      <c r="D2305" t="s">
        <v>2439</v>
      </c>
      <c r="E2305" t="str">
        <f t="shared" si="2310"/>
        <v>GWth/yr.</v>
      </c>
      <c r="F2305" s="1">
        <f t="shared" ref="F2305:O2305" si="2313">F2306</f>
        <v>1.40651786590119E-6</v>
      </c>
      <c r="G2305" s="1">
        <f t="shared" si="2313"/>
        <v>6.8726788842049802E-2</v>
      </c>
      <c r="H2305" s="1">
        <f t="shared" si="2313"/>
        <v>3.4588476859299798E-7</v>
      </c>
      <c r="I2305" s="1">
        <f t="shared" si="2313"/>
        <v>9.9872025973066503E-6</v>
      </c>
      <c r="J2305" s="1">
        <f t="shared" si="2313"/>
        <v>0.30622807208010699</v>
      </c>
      <c r="K2305" s="1">
        <f t="shared" si="2313"/>
        <v>0.218564099726197</v>
      </c>
      <c r="L2305" s="1">
        <f t="shared" si="2313"/>
        <v>1.0186698034998999E-6</v>
      </c>
      <c r="M2305" s="1">
        <f t="shared" si="2313"/>
        <v>2.98481407073352E-2</v>
      </c>
      <c r="N2305" s="1">
        <f t="shared" si="2313"/>
        <v>1.3609319535909401E-6</v>
      </c>
      <c r="O2305" s="1">
        <f t="shared" si="2313"/>
        <v>9.3385128438085198E-6</v>
      </c>
      <c r="P2305" s="1">
        <f>P2306</f>
        <v>2.4556752417753801E-2</v>
      </c>
      <c r="Q2305" s="1">
        <f>Q2306</f>
        <v>4.0630210736742299E-2</v>
      </c>
      <c r="S2305" s="3"/>
    </row>
    <row r="2306" spans="2:19" x14ac:dyDescent="0.5">
      <c r="B2306" s="5" t="str">
        <f t="shared" si="2305"/>
        <v>SPS1</v>
      </c>
      <c r="C2306" s="5" t="str">
        <f t="shared" si="2306"/>
        <v>CH</v>
      </c>
      <c r="D2306" t="s">
        <v>2440</v>
      </c>
      <c r="E2306" t="str">
        <f t="shared" si="2310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1.40651786590119E-6</v>
      </c>
      <c r="G2306" s="1" cm="1">
        <f t="array" ref="G2306">SUMPRODUCT(([1]OUT_FinalEnergyCons!$B$4:$B$10000="var_ncap")*1, (ISNUMBER(SEARCH("SCOM-SHWODBR",[1]OUT_FinalEnergyCons!$A$4:$A$10000)))*1,[1]OUT_FinalEnergyCons!E$4:E$10000)</f>
        <v>6.8726788842049802E-2</v>
      </c>
      <c r="H2306" s="1" cm="1">
        <f t="array" ref="H2306">SUMPRODUCT(([1]OUT_FinalEnergyCons!$B$4:$B$10000="var_ncap")*1, (ISNUMBER(SEARCH("SCOM-SHWODBR",[1]OUT_FinalEnergyCons!$A$4:$A$10000)))*1,[1]OUT_FinalEnergyCons!F$4:F$10000)</f>
        <v>3.4588476859299798E-7</v>
      </c>
      <c r="I2306" s="1" cm="1">
        <f t="array" ref="I2306">SUMPRODUCT(([1]OUT_FinalEnergyCons!$B$4:$B$10000="var_ncap")*1, (ISNUMBER(SEARCH("SCOM-SHWODBR",[1]OUT_FinalEnergyCons!$A$4:$A$10000)))*1,[1]OUT_FinalEnergyCons!G$4:G$10000)</f>
        <v>9.9872025973066503E-6</v>
      </c>
      <c r="J2306" s="1" cm="1">
        <f t="array" ref="J2306">SUMPRODUCT(([1]OUT_FinalEnergyCons!$B$4:$B$10000="var_ncap")*1, (ISNUMBER(SEARCH("SCOM-SHWODBR",[1]OUT_FinalEnergyCons!$A$4:$A$10000)))*1,[1]OUT_FinalEnergyCons!H$4:H$10000)</f>
        <v>0.30622807208010699</v>
      </c>
      <c r="K2306" s="1" cm="1">
        <f t="array" ref="K2306">SUMPRODUCT(([1]OUT_FinalEnergyCons!$B$4:$B$10000="var_ncap")*1, (ISNUMBER(SEARCH("SCOM-SHWODBR",[1]OUT_FinalEnergyCons!$A$4:$A$10000)))*1,[1]OUT_FinalEnergyCons!I$4:I$10000)</f>
        <v>0.218564099726197</v>
      </c>
      <c r="L2306" s="1" cm="1">
        <f t="array" ref="L2306">SUMPRODUCT(([1]OUT_FinalEnergyCons!$B$4:$B$10000="var_ncap")*1, (ISNUMBER(SEARCH("SCOM-SHWODBR",[1]OUT_FinalEnergyCons!$A$4:$A$10000)))*1,[1]OUT_FinalEnergyCons!J$4:J$10000)</f>
        <v>1.0186698034998999E-6</v>
      </c>
      <c r="M2306" s="1" cm="1">
        <f t="array" ref="M2306">SUMPRODUCT(([1]OUT_FinalEnergyCons!$B$4:$B$10000="var_ncap")*1, (ISNUMBER(SEARCH("SCOM-SHWODBR",[1]OUT_FinalEnergyCons!$A$4:$A$10000)))*1,[1]OUT_FinalEnergyCons!K$4:K$10000)</f>
        <v>2.98481407073352E-2</v>
      </c>
      <c r="N2306" s="1" cm="1">
        <f t="array" ref="N2306">SUMPRODUCT(([1]OUT_FinalEnergyCons!$B$4:$B$10000="var_ncap")*1, (ISNUMBER(SEARCH("SCOM-SHWODBR",[1]OUT_FinalEnergyCons!$A$4:$A$10000)))*1,[1]OUT_FinalEnergyCons!L$4:L$10000)</f>
        <v>1.3609319535909401E-6</v>
      </c>
      <c r="O2306" s="1" cm="1">
        <f t="array" ref="O2306">SUMPRODUCT(([1]OUT_FinalEnergyCons!$B$4:$B$10000="var_ncap")*1, (ISNUMBER(SEARCH("SCOM-SHWODBR",[1]OUT_FinalEnergyCons!$A$4:$A$10000)))*1,[1]OUT_FinalEnergyCons!M$4:M$10000)</f>
        <v>9.3385128438085198E-6</v>
      </c>
      <c r="P2306" s="1" cm="1">
        <f t="array" ref="P2306">SUMPRODUCT(([1]OUT_FinalEnergyCons!$B$4:$B$10000="var_ncap")*1, (ISNUMBER(SEARCH("SCOM-SHWODBR",[1]OUT_FinalEnergyCons!$A$4:$A$10000)))*1,[1]OUT_FinalEnergyCons!N$4:N$10000)</f>
        <v>2.4556752417753801E-2</v>
      </c>
      <c r="Q2306" s="1" cm="1">
        <f t="array" ref="Q2306">SUMPRODUCT(([1]OUT_FinalEnergyCons!$B$4:$B$10000="var_ncap")*1, (ISNUMBER(SEARCH("SCOM-SHWODBR",[1]OUT_FinalEnergyCons!$A$4:$A$10000)))*1,[1]OUT_FinalEnergyCons!O$4:O$10000)</f>
        <v>4.0630210736742299E-2</v>
      </c>
      <c r="S2306" s="3"/>
    </row>
    <row r="2307" spans="2:19" x14ac:dyDescent="0.5">
      <c r="B2307" s="5" t="str">
        <f t="shared" si="2305"/>
        <v>SPS1</v>
      </c>
      <c r="C2307" s="5" t="str">
        <f t="shared" si="2306"/>
        <v>CH</v>
      </c>
      <c r="D2307" t="s">
        <v>2441</v>
      </c>
      <c r="E2307" t="str">
        <f t="shared" si="2310"/>
        <v>GWth/yr.</v>
      </c>
      <c r="F2307" s="1">
        <f t="shared" ref="F2307:O2307" si="2314">F2308</f>
        <v>5.6214444267002005E-7</v>
      </c>
      <c r="G2307" s="1">
        <f t="shared" si="2314"/>
        <v>2.37956372961203E-2</v>
      </c>
      <c r="H2307" s="1">
        <f t="shared" si="2314"/>
        <v>6.9015684590712996E-7</v>
      </c>
      <c r="I2307" s="1">
        <f t="shared" si="2314"/>
        <v>4.9176307152886097E-3</v>
      </c>
      <c r="J2307" s="1">
        <f t="shared" si="2314"/>
        <v>0.134960852277904</v>
      </c>
      <c r="K2307" s="1">
        <f t="shared" si="2314"/>
        <v>7.3666397563324298E-2</v>
      </c>
      <c r="L2307" s="1">
        <f t="shared" si="2314"/>
        <v>3.5667356773715798E-5</v>
      </c>
      <c r="M2307" s="1">
        <f t="shared" si="2314"/>
        <v>0.155802398730334</v>
      </c>
      <c r="N2307" s="1">
        <f t="shared" si="2314"/>
        <v>2.8789157679730702E-2</v>
      </c>
      <c r="O2307" s="1">
        <f t="shared" si="2314"/>
        <v>7.1243600270672001E-6</v>
      </c>
      <c r="P2307" s="1">
        <f>P2308</f>
        <v>0.140491667537292</v>
      </c>
      <c r="Q2307" s="1">
        <f>Q2308</f>
        <v>0.19468349882397601</v>
      </c>
      <c r="S2307" s="3"/>
    </row>
    <row r="2308" spans="2:19" x14ac:dyDescent="0.5">
      <c r="B2308" s="5" t="str">
        <f t="shared" si="2305"/>
        <v>SPS1</v>
      </c>
      <c r="C2308" s="5" t="str">
        <f t="shared" si="2306"/>
        <v>CH</v>
      </c>
      <c r="D2308" t="s">
        <v>2442</v>
      </c>
      <c r="E2308" t="str">
        <f t="shared" si="2310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5.6214444267002005E-7</v>
      </c>
      <c r="G2308" s="1" cm="1">
        <f t="array" ref="G2308">SUMPRODUCT(([1]OUT_FinalEnergyCons!$B$4:$B$10000="var_ncap")*1,(ISNUMBER(SEARCH("SCOM-SHPLTBR",[1]OUT_FinalEnergyCons!$A$4:$A$10000)))*1,[1]OUT_FinalEnergyCons!E$4:E$10000)</f>
        <v>2.37956372961203E-2</v>
      </c>
      <c r="H2308" s="1" cm="1">
        <f t="array" ref="H2308">SUMPRODUCT(([1]OUT_FinalEnergyCons!$B$4:$B$10000="var_ncap")*1,(ISNUMBER(SEARCH("SCOM-SHPLTBR",[1]OUT_FinalEnergyCons!$A$4:$A$10000)))*1,[1]OUT_FinalEnergyCons!F$4:F$10000)</f>
        <v>6.9015684590712996E-7</v>
      </c>
      <c r="I2308" s="1" cm="1">
        <f t="array" ref="I2308">SUMPRODUCT(([1]OUT_FinalEnergyCons!$B$4:$B$10000="var_ncap")*1,(ISNUMBER(SEARCH("SCOM-SHPLTBR",[1]OUT_FinalEnergyCons!$A$4:$A$10000)))*1,[1]OUT_FinalEnergyCons!G$4:G$10000)</f>
        <v>4.9176307152886097E-3</v>
      </c>
      <c r="J2308" s="1" cm="1">
        <f t="array" ref="J2308">SUMPRODUCT(([1]OUT_FinalEnergyCons!$B$4:$B$10000="var_ncap")*1,(ISNUMBER(SEARCH("SCOM-SHPLTBR",[1]OUT_FinalEnergyCons!$A$4:$A$10000)))*1,[1]OUT_FinalEnergyCons!H$4:H$10000)</f>
        <v>0.134960852277904</v>
      </c>
      <c r="K2308" s="1" cm="1">
        <f t="array" ref="K2308">SUMPRODUCT(([1]OUT_FinalEnergyCons!$B$4:$B$10000="var_ncap")*1,(ISNUMBER(SEARCH("SCOM-SHPLTBR",[1]OUT_FinalEnergyCons!$A$4:$A$10000)))*1,[1]OUT_FinalEnergyCons!I$4:I$10000)</f>
        <v>7.3666397563324298E-2</v>
      </c>
      <c r="L2308" s="1" cm="1">
        <f t="array" ref="L2308">SUMPRODUCT(([1]OUT_FinalEnergyCons!$B$4:$B$10000="var_ncap")*1,(ISNUMBER(SEARCH("SCOM-SHPLTBR",[1]OUT_FinalEnergyCons!$A$4:$A$10000)))*1,[1]OUT_FinalEnergyCons!J$4:J$10000)</f>
        <v>3.5667356773715798E-5</v>
      </c>
      <c r="M2308" s="1" cm="1">
        <f t="array" ref="M2308">SUMPRODUCT(([1]OUT_FinalEnergyCons!$B$4:$B$10000="var_ncap")*1,(ISNUMBER(SEARCH("SCOM-SHPLTBR",[1]OUT_FinalEnergyCons!$A$4:$A$10000)))*1,[1]OUT_FinalEnergyCons!K$4:K$10000)</f>
        <v>0.155802398730334</v>
      </c>
      <c r="N2308" s="1" cm="1">
        <f t="array" ref="N2308">SUMPRODUCT(([1]OUT_FinalEnergyCons!$B$4:$B$10000="var_ncap")*1,(ISNUMBER(SEARCH("SCOM-SHPLTBR",[1]OUT_FinalEnergyCons!$A$4:$A$10000)))*1,[1]OUT_FinalEnergyCons!L$4:L$10000)</f>
        <v>2.8789157679730702E-2</v>
      </c>
      <c r="O2308" s="1" cm="1">
        <f t="array" ref="O2308">SUMPRODUCT(([1]OUT_FinalEnergyCons!$B$4:$B$10000="var_ncap")*1,(ISNUMBER(SEARCH("SCOM-SHPLTBR",[1]OUT_FinalEnergyCons!$A$4:$A$10000)))*1,[1]OUT_FinalEnergyCons!M$4:M$10000)</f>
        <v>7.1243600270672001E-6</v>
      </c>
      <c r="P2308" s="1" cm="1">
        <f t="array" ref="P2308">SUMPRODUCT(([1]OUT_FinalEnergyCons!$B$4:$B$10000="var_ncap")*1,(ISNUMBER(SEARCH("SCOM-SHPLTBR",[1]OUT_FinalEnergyCons!$A$4:$A$10000)))*1,[1]OUT_FinalEnergyCons!N$4:N$10000)</f>
        <v>0.140491667537292</v>
      </c>
      <c r="Q2308" s="1" cm="1">
        <f t="array" ref="Q2308">SUMPRODUCT(([1]OUT_FinalEnergyCons!$B$4:$B$10000="var_ncap")*1,(ISNUMBER(SEARCH("SCOM-SHPLTBR",[1]OUT_FinalEnergyCons!$A$4:$A$10000)))*1,[1]OUT_FinalEnergyCons!O$4:O$10000)</f>
        <v>0.19468349882397601</v>
      </c>
      <c r="S2308" s="3"/>
    </row>
    <row r="2309" spans="2:19" x14ac:dyDescent="0.5">
      <c r="B2309" s="5" t="str">
        <f t="shared" si="2305"/>
        <v>SPS1</v>
      </c>
      <c r="C2309" s="5" t="str">
        <f t="shared" si="2306"/>
        <v>CH</v>
      </c>
      <c r="D2309" t="s">
        <v>2443</v>
      </c>
      <c r="E2309" t="str">
        <f t="shared" si="2310"/>
        <v>GWth/yr.</v>
      </c>
      <c r="F2309" s="1">
        <f t="shared" ref="F2309:O2309" si="2315">F2310</f>
        <v>5.9070094119178397E-6</v>
      </c>
      <c r="G2309" s="1">
        <f t="shared" si="2315"/>
        <v>8.7632538696988203E-3</v>
      </c>
      <c r="H2309" s="1">
        <f t="shared" si="2315"/>
        <v>9.3760652352758705E-7</v>
      </c>
      <c r="I2309" s="1">
        <f t="shared" si="2315"/>
        <v>1.23182911039245E-3</v>
      </c>
      <c r="J2309" s="1">
        <f t="shared" si="2315"/>
        <v>0.21401448567996501</v>
      </c>
      <c r="K2309" s="1">
        <f t="shared" si="2315"/>
        <v>0.264430151362473</v>
      </c>
      <c r="L2309" s="1">
        <f t="shared" si="2315"/>
        <v>2.3667655808087999E-2</v>
      </c>
      <c r="M2309" s="1">
        <f t="shared" si="2315"/>
        <v>0.21401422566903799</v>
      </c>
      <c r="N2309" s="1">
        <f t="shared" si="2315"/>
        <v>0.22693499049813901</v>
      </c>
      <c r="O2309" s="1">
        <f t="shared" si="2315"/>
        <v>6.1162535256568999E-2</v>
      </c>
      <c r="P2309" s="1">
        <f>P2310</f>
        <v>0.24804886454470701</v>
      </c>
      <c r="Q2309" s="1">
        <f>Q2310</f>
        <v>0.192899950210664</v>
      </c>
      <c r="S2309" s="3"/>
    </row>
    <row r="2310" spans="2:19" x14ac:dyDescent="0.5">
      <c r="B2310" s="5" t="str">
        <f t="shared" si="2305"/>
        <v>SPS1</v>
      </c>
      <c r="C2310" s="5" t="str">
        <f t="shared" si="2306"/>
        <v>CH</v>
      </c>
      <c r="D2310" t="s">
        <v>2444</v>
      </c>
      <c r="E2310" t="str">
        <f t="shared" si="2310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5.9070094119178397E-6</v>
      </c>
      <c r="G2310" s="1" cm="1">
        <f t="array" ref="G2310">SUMPRODUCT(([1]OUT_FinalEnergyCons!$B$4:$B$10000="var_ncap")*1, (ISNUMBER(SEARCH("SCOM-SHSOLBR",[1]OUT_FinalEnergyCons!$A$4:$A$10000)))*1,[1]OUT_FinalEnergyCons!E$4:E$10000)</f>
        <v>8.7632538696988203E-3</v>
      </c>
      <c r="H2310" s="1" cm="1">
        <f t="array" ref="H2310">SUMPRODUCT(([1]OUT_FinalEnergyCons!$B$4:$B$10000="var_ncap")*1, (ISNUMBER(SEARCH("SCOM-SHSOLBR",[1]OUT_FinalEnergyCons!$A$4:$A$10000)))*1,[1]OUT_FinalEnergyCons!F$4:F$10000)</f>
        <v>9.3760652352758705E-7</v>
      </c>
      <c r="I2310" s="1" cm="1">
        <f t="array" ref="I2310">SUMPRODUCT(([1]OUT_FinalEnergyCons!$B$4:$B$10000="var_ncap")*1, (ISNUMBER(SEARCH("SCOM-SHSOLBR",[1]OUT_FinalEnergyCons!$A$4:$A$10000)))*1,[1]OUT_FinalEnergyCons!G$4:G$10000)</f>
        <v>1.23182911039245E-3</v>
      </c>
      <c r="J2310" s="1" cm="1">
        <f t="array" ref="J2310">SUMPRODUCT(([1]OUT_FinalEnergyCons!$B$4:$B$10000="var_ncap")*1, (ISNUMBER(SEARCH("SCOM-SHSOLBR",[1]OUT_FinalEnergyCons!$A$4:$A$10000)))*1,[1]OUT_FinalEnergyCons!H$4:H$10000)</f>
        <v>0.21401448567996501</v>
      </c>
      <c r="K2310" s="1" cm="1">
        <f t="array" ref="K2310">SUMPRODUCT(([1]OUT_FinalEnergyCons!$B$4:$B$10000="var_ncap")*1, (ISNUMBER(SEARCH("SCOM-SHSOLBR",[1]OUT_FinalEnergyCons!$A$4:$A$10000)))*1,[1]OUT_FinalEnergyCons!I$4:I$10000)</f>
        <v>0.264430151362473</v>
      </c>
      <c r="L2310" s="1" cm="1">
        <f t="array" ref="L2310">SUMPRODUCT(([1]OUT_FinalEnergyCons!$B$4:$B$10000="var_ncap")*1, (ISNUMBER(SEARCH("SCOM-SHSOLBR",[1]OUT_FinalEnergyCons!$A$4:$A$10000)))*1,[1]OUT_FinalEnergyCons!J$4:J$10000)</f>
        <v>2.3667655808087999E-2</v>
      </c>
      <c r="M2310" s="1" cm="1">
        <f t="array" ref="M2310">SUMPRODUCT(([1]OUT_FinalEnergyCons!$B$4:$B$10000="var_ncap")*1, (ISNUMBER(SEARCH("SCOM-SHSOLBR",[1]OUT_FinalEnergyCons!$A$4:$A$10000)))*1,[1]OUT_FinalEnergyCons!K$4:K$10000)</f>
        <v>0.21401422566903799</v>
      </c>
      <c r="N2310" s="1" cm="1">
        <f t="array" ref="N2310">SUMPRODUCT(([1]OUT_FinalEnergyCons!$B$4:$B$10000="var_ncap")*1, (ISNUMBER(SEARCH("SCOM-SHSOLBR",[1]OUT_FinalEnergyCons!$A$4:$A$10000)))*1,[1]OUT_FinalEnergyCons!L$4:L$10000)</f>
        <v>0.22693499049813901</v>
      </c>
      <c r="O2310" s="1" cm="1">
        <f t="array" ref="O2310">SUMPRODUCT(([1]OUT_FinalEnergyCons!$B$4:$B$10000="var_ncap")*1, (ISNUMBER(SEARCH("SCOM-SHSOLBR",[1]OUT_FinalEnergyCons!$A$4:$A$10000)))*1,[1]OUT_FinalEnergyCons!M$4:M$10000)</f>
        <v>6.1162535256568999E-2</v>
      </c>
      <c r="P2310" s="1" cm="1">
        <f t="array" ref="P2310">SUMPRODUCT(([1]OUT_FinalEnergyCons!$B$4:$B$10000="var_ncap")*1, (ISNUMBER(SEARCH("SCOM-SHSOLBR",[1]OUT_FinalEnergyCons!$A$4:$A$10000)))*1,[1]OUT_FinalEnergyCons!N$4:N$10000)</f>
        <v>0.24804886454470701</v>
      </c>
      <c r="Q2310" s="1" cm="1">
        <f t="array" ref="Q2310">SUMPRODUCT(([1]OUT_FinalEnergyCons!$B$4:$B$10000="var_ncap")*1, (ISNUMBER(SEARCH("SCOM-SHSOLBR",[1]OUT_FinalEnergyCons!$A$4:$A$10000)))*1,[1]OUT_FinalEnergyCons!O$4:O$10000)</f>
        <v>0.192899950210664</v>
      </c>
      <c r="S2310" s="3"/>
    </row>
    <row r="2311" spans="2:19" x14ac:dyDescent="0.5">
      <c r="B2311" s="5" t="str">
        <f t="shared" si="2305"/>
        <v>SPS1</v>
      </c>
      <c r="C2311" s="5" t="str">
        <f t="shared" si="2306"/>
        <v>CH</v>
      </c>
      <c r="D2311" t="s">
        <v>2445</v>
      </c>
      <c r="E2311" t="str">
        <f t="shared" si="2310"/>
        <v>GWth/yr.</v>
      </c>
      <c r="F2311" s="1">
        <f t="shared" ref="F2311:O2311" si="2316">F2312</f>
        <v>0</v>
      </c>
      <c r="G2311" s="1">
        <f t="shared" si="2316"/>
        <v>0</v>
      </c>
      <c r="H2311" s="1">
        <f t="shared" si="2316"/>
        <v>0</v>
      </c>
      <c r="I2311" s="1">
        <f t="shared" si="2316"/>
        <v>2.8508880372375199E-5</v>
      </c>
      <c r="J2311" s="1">
        <f t="shared" si="2316"/>
        <v>5.7174116033995399E-3</v>
      </c>
      <c r="K2311" s="1">
        <f t="shared" si="2316"/>
        <v>3.1020951446102299E-2</v>
      </c>
      <c r="L2311" s="1">
        <f t="shared" si="2316"/>
        <v>5.2488984006677101E-6</v>
      </c>
      <c r="M2311" s="1">
        <f t="shared" si="2316"/>
        <v>0.12539286582369999</v>
      </c>
      <c r="N2311" s="1">
        <f t="shared" si="2316"/>
        <v>1.4098879667783899E-2</v>
      </c>
      <c r="O2311" s="1">
        <f t="shared" si="2316"/>
        <v>3.4737577773912599E-6</v>
      </c>
      <c r="P2311" s="1">
        <f>P2312</f>
        <v>1.60221669735562E-6</v>
      </c>
      <c r="Q2311" s="1">
        <f>Q2312</f>
        <v>3.43569911410284E-4</v>
      </c>
      <c r="S2311" s="3"/>
    </row>
    <row r="2312" spans="2:19" x14ac:dyDescent="0.5">
      <c r="B2312" s="5" t="str">
        <f t="shared" si="2305"/>
        <v>SPS1</v>
      </c>
      <c r="C2312" s="5" t="str">
        <f t="shared" si="2306"/>
        <v>CH</v>
      </c>
      <c r="D2312" t="s">
        <v>2446</v>
      </c>
      <c r="E2312" t="str">
        <f t="shared" si="2310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2.8508880372375199E-5</v>
      </c>
      <c r="J2312" s="1" cm="1">
        <f t="array" ref="J2312">SUMPRODUCT(([1]OUT_FinalEnergyCons!$B$4:$B$10000="var_ncap")*1, (ISNUMBER(SEARCH("SCOM-SHH2BR",[1]OUT_FinalEnergyCons!$A$4:$A$10000)))*1,[1]OUT_FinalEnergyCons!H$4:H$10000)</f>
        <v>5.7174116033995399E-3</v>
      </c>
      <c r="K2312" s="1" cm="1">
        <f t="array" ref="K2312">SUMPRODUCT(([1]OUT_FinalEnergyCons!$B$4:$B$10000="var_ncap")*1, (ISNUMBER(SEARCH("SCOM-SHH2BR",[1]OUT_FinalEnergyCons!$A$4:$A$10000)))*1,[1]OUT_FinalEnergyCons!I$4:I$10000)</f>
        <v>3.1020951446102299E-2</v>
      </c>
      <c r="L2312" s="1" cm="1">
        <f t="array" ref="L2312">SUMPRODUCT(([1]OUT_FinalEnergyCons!$B$4:$B$10000="var_ncap")*1, (ISNUMBER(SEARCH("SCOM-SHH2BR",[1]OUT_FinalEnergyCons!$A$4:$A$10000)))*1,[1]OUT_FinalEnergyCons!J$4:J$10000)</f>
        <v>5.2488984006677101E-6</v>
      </c>
      <c r="M2312" s="1" cm="1">
        <f t="array" ref="M2312">SUMPRODUCT(([1]OUT_FinalEnergyCons!$B$4:$B$10000="var_ncap")*1, (ISNUMBER(SEARCH("SCOM-SHH2BR",[1]OUT_FinalEnergyCons!$A$4:$A$10000)))*1,[1]OUT_FinalEnergyCons!K$4:K$10000)</f>
        <v>0.12539286582369999</v>
      </c>
      <c r="N2312" s="1" cm="1">
        <f t="array" ref="N2312">SUMPRODUCT(([1]OUT_FinalEnergyCons!$B$4:$B$10000="var_ncap")*1, (ISNUMBER(SEARCH("SCOM-SHH2BR",[1]OUT_FinalEnergyCons!$A$4:$A$10000)))*1,[1]OUT_FinalEnergyCons!L$4:L$10000)</f>
        <v>1.4098879667783899E-2</v>
      </c>
      <c r="O2312" s="1" cm="1">
        <f t="array" ref="O2312">SUMPRODUCT(([1]OUT_FinalEnergyCons!$B$4:$B$10000="var_ncap")*1, (ISNUMBER(SEARCH("SCOM-SHH2BR",[1]OUT_FinalEnergyCons!$A$4:$A$10000)))*1,[1]OUT_FinalEnergyCons!M$4:M$10000)</f>
        <v>3.4737577773912599E-6</v>
      </c>
      <c r="P2312" s="1" cm="1">
        <f t="array" ref="P2312">SUMPRODUCT(([1]OUT_FinalEnergyCons!$B$4:$B$10000="var_ncap")*1, (ISNUMBER(SEARCH("SCOM-SHH2BR",[1]OUT_FinalEnergyCons!$A$4:$A$10000)))*1,[1]OUT_FinalEnergyCons!N$4:N$10000)</f>
        <v>1.60221669735562E-6</v>
      </c>
      <c r="Q2312" s="1" cm="1">
        <f t="array" ref="Q2312">SUMPRODUCT(([1]OUT_FinalEnergyCons!$B$4:$B$10000="var_ncap")*1, (ISNUMBER(SEARCH("SCOM-SHH2BR",[1]OUT_FinalEnergyCons!$A$4:$A$10000)))*1,[1]OUT_FinalEnergyCons!O$4:O$10000)</f>
        <v>3.43569911410284E-4</v>
      </c>
      <c r="S2312" s="3"/>
    </row>
    <row r="2313" spans="2:19" x14ac:dyDescent="0.5">
      <c r="B2313" s="5" t="str">
        <f>'SPS1'!B2021</f>
        <v>SPS1</v>
      </c>
      <c r="C2313" s="5" t="str">
        <f>'SPS1'!C2021</f>
        <v>CH</v>
      </c>
      <c r="D2313" s="2" t="s">
        <v>2448</v>
      </c>
      <c r="E2313" s="2" t="s">
        <v>2154</v>
      </c>
      <c r="F2313" s="3">
        <f t="shared" ref="F2313:K2313" si="2317">SUM(F2314,F2318,F2321)</f>
        <v>1.9949867843893301E-4</v>
      </c>
      <c r="G2313" s="3">
        <f t="shared" si="2317"/>
        <v>1.04823164690639E-4</v>
      </c>
      <c r="H2313" s="3">
        <f t="shared" si="2317"/>
        <v>1.4747169605679201E-6</v>
      </c>
      <c r="I2313" s="3">
        <f t="shared" si="2317"/>
        <v>2.8385023130957426E-3</v>
      </c>
      <c r="J2313" s="3">
        <f t="shared" si="2317"/>
        <v>0.50340954957287398</v>
      </c>
      <c r="K2313" s="3">
        <f t="shared" si="2317"/>
        <v>8.4941405597109387E-2</v>
      </c>
      <c r="L2313" s="3">
        <f t="shared" ref="L2313:O2313" si="2318">SUM(L2314,L2318,L2321)</f>
        <v>5.0453899967952666E-2</v>
      </c>
      <c r="M2313" s="3">
        <f t="shared" si="2318"/>
        <v>0.33126520371020785</v>
      </c>
      <c r="N2313" s="3">
        <f t="shared" si="2318"/>
        <v>0.53478518122280194</v>
      </c>
      <c r="O2313" s="3">
        <f t="shared" si="2318"/>
        <v>0.77182497308626596</v>
      </c>
      <c r="P2313" s="3">
        <f>SUM(P2314,P2318,P2321)</f>
        <v>0.30780866157676506</v>
      </c>
      <c r="Q2313" s="3">
        <f>SUM(Q2314,Q2318,Q2321)</f>
        <v>0.2754089991219727</v>
      </c>
      <c r="S2313" s="3"/>
    </row>
    <row r="2314" spans="2:19" x14ac:dyDescent="0.5">
      <c r="B2314" s="5" t="str">
        <f t="shared" ref="B2314:B2340" si="2319">B2313</f>
        <v>SPS1</v>
      </c>
      <c r="C2314" s="5" t="str">
        <f t="shared" ref="C2314:C2340" si="2320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1.9949867843893301E-4</v>
      </c>
      <c r="G2314" s="1" cm="1">
        <f t="array" ref="G2314">SUMPRODUCT(ISNUMBER(SEARCH("SUP_ELCH2*",[1]OUT_SyntheticFuels!$C$4:$C$1000))*1,("var_ncap"=[1]OUT_SyntheticFuels!$B$4:$B$1000)*1,[1]OUT_SyntheticFuels!F$4:F$1000)</f>
        <v>1.04823164690639E-4</v>
      </c>
      <c r="H2314" s="1" cm="1">
        <f t="array" ref="H2314">SUMPRODUCT(ISNUMBER(SEARCH("SUP_ELCH2*",[1]OUT_SyntheticFuels!$C$4:$C$1000))*1,("var_ncap"=[1]OUT_SyntheticFuels!$B$4:$B$1000)*1,[1]OUT_SyntheticFuels!G$4:G$1000)</f>
        <v>1.4747169605679201E-6</v>
      </c>
      <c r="I2314" s="1" cm="1">
        <f t="array" ref="I2314">SUMPRODUCT(ISNUMBER(SEARCH("SUP_ELCH2*",[1]OUT_SyntheticFuels!$C$4:$C$1000))*1,("var_ncap"=[1]OUT_SyntheticFuels!$B$4:$B$1000)*1,[1]OUT_SyntheticFuels!H$4:H$1000)</f>
        <v>2.8383797245014248E-3</v>
      </c>
      <c r="J2314" s="1" cm="1">
        <f t="array" ref="J2314">SUMPRODUCT(ISNUMBER(SEARCH("SUP_ELCH2*",[1]OUT_SyntheticFuels!$C$4:$C$1000))*1,("var_ncap"=[1]OUT_SyntheticFuels!$B$4:$B$1000)*1,[1]OUT_SyntheticFuels!I$4:I$1000)</f>
        <v>0.50340926409948683</v>
      </c>
      <c r="K2314" s="1" cm="1">
        <f t="array" ref="K2314">SUMPRODUCT(ISNUMBER(SEARCH("SUP_ELCH2*",[1]OUT_SyntheticFuels!$C$4:$C$1000))*1,("var_ncap"=[1]OUT_SyntheticFuels!$B$4:$B$1000)*1,[1]OUT_SyntheticFuels!J$4:J$1000)</f>
        <v>8.4940882636960147E-2</v>
      </c>
      <c r="L2314" s="1" cm="1">
        <f t="array" ref="L2314">SUMPRODUCT(ISNUMBER(SEARCH("SUP_ELCH2*",[1]OUT_SyntheticFuels!$C$4:$C$1000))*1,("var_ncap"=[1]OUT_SyntheticFuels!$B$4:$B$1000)*1,[1]OUT_SyntheticFuels!K$4:K$1000)</f>
        <v>5.0452916542487625E-2</v>
      </c>
      <c r="M2314" s="1" cm="1">
        <f t="array" ref="M2314">SUMPRODUCT(ISNUMBER(SEARCH("SUP_ELCH2*",[1]OUT_SyntheticFuels!$C$4:$C$1000))*1,("var_ncap"=[1]OUT_SyntheticFuels!$B$4:$B$1000)*1,[1]OUT_SyntheticFuels!L$4:L$1000)</f>
        <v>0.25552279110452025</v>
      </c>
      <c r="N2314" s="1" cm="1">
        <f t="array" ref="N2314">SUMPRODUCT(ISNUMBER(SEARCH("SUP_ELCH2*",[1]OUT_SyntheticFuels!$C$4:$C$1000))*1,("var_ncap"=[1]OUT_SyntheticFuels!$B$4:$B$1000)*1,[1]OUT_SyntheticFuels!M$4:M$1000)</f>
        <v>0.42537058877279976</v>
      </c>
      <c r="O2314" s="1" cm="1">
        <f t="array" ref="O2314">SUMPRODUCT(ISNUMBER(SEARCH("SUP_ELCH2*",[1]OUT_SyntheticFuels!$C$4:$C$1000))*1,("var_ncap"=[1]OUT_SyntheticFuels!$B$4:$B$1000)*1,[1]OUT_SyntheticFuels!N$4:N$1000)</f>
        <v>0.76891952332428148</v>
      </c>
      <c r="P2314" s="1" cm="1">
        <f t="array" ref="P2314">SUMPRODUCT(ISNUMBER(SEARCH("SUP_ELCH2*",[1]OUT_SyntheticFuels!$C$4:$C$1000))*1,("var_ncap"=[1]OUT_SyntheticFuels!$B$4:$B$1000)*1,[1]OUT_SyntheticFuels!O$4:O$1000)</f>
        <v>0.28707704563480996</v>
      </c>
      <c r="Q2314" s="1" cm="1">
        <f t="array" ref="Q2314">SUMPRODUCT(ISNUMBER(SEARCH("SUP_ELCH2*",[1]OUT_SyntheticFuels!$C$4:$C$1000))*1,("var_ncap"=[1]OUT_SyntheticFuels!$B$4:$B$1000)*1,[1]OUT_SyntheticFuels!P$4:P$1000)</f>
        <v>0.26477592048491083</v>
      </c>
      <c r="S2314" s="3"/>
    </row>
    <row r="2315" spans="2:19" x14ac:dyDescent="0.5">
      <c r="B2315" s="5" t="str">
        <f t="shared" si="2319"/>
        <v>SPS1</v>
      </c>
      <c r="C2315" s="5" t="str">
        <f t="shared" si="2320"/>
        <v>CH</v>
      </c>
      <c r="D2315" t="s">
        <v>2450</v>
      </c>
      <c r="E2315" t="s">
        <v>2154</v>
      </c>
      <c r="F2315" s="1">
        <f t="shared" ref="F2315:K2315" si="2321">F2314-F2316-F2317</f>
        <v>1.9949867843893301E-4</v>
      </c>
      <c r="G2315" s="1">
        <f t="shared" si="2321"/>
        <v>1.04823164690639E-4</v>
      </c>
      <c r="H2315" s="1">
        <f t="shared" si="2321"/>
        <v>1.4747169605679201E-6</v>
      </c>
      <c r="I2315" s="1">
        <f t="shared" si="2321"/>
        <v>2.8363857677401998E-3</v>
      </c>
      <c r="J2315" s="1">
        <f t="shared" si="2321"/>
        <v>0.50339534456394897</v>
      </c>
      <c r="K2315" s="1">
        <f t="shared" si="2321"/>
        <v>8.4756844406509005E-2</v>
      </c>
      <c r="L2315" s="1">
        <f t="shared" ref="L2315:O2315" si="2322">L2314-L2316-L2317</f>
        <v>5.0344997639999008E-2</v>
      </c>
      <c r="M2315" s="1">
        <f t="shared" si="2322"/>
        <v>0.25536885415637606</v>
      </c>
      <c r="N2315" s="1">
        <f t="shared" si="2322"/>
        <v>0.42536019215757997</v>
      </c>
      <c r="O2315" s="1">
        <f t="shared" si="2322"/>
        <v>0.76863995469469193</v>
      </c>
      <c r="P2315" s="1">
        <f>P2314-P2316-P2317</f>
        <v>0.287069433576851</v>
      </c>
      <c r="Q2315" s="1">
        <f>Q2314-Q2316-Q2317</f>
        <v>0.26426744869088598</v>
      </c>
      <c r="S2315" s="3"/>
    </row>
    <row r="2316" spans="2:19" x14ac:dyDescent="0.5">
      <c r="B2316" s="5" t="str">
        <f t="shared" si="2319"/>
        <v>SPS1</v>
      </c>
      <c r="C2316" s="5" t="str">
        <f t="shared" si="2320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1.9939567612251901E-6</v>
      </c>
      <c r="J2316" s="1" cm="1">
        <f t="array" ref="J2316">SUMPRODUCT(ISNUMBER(SEARCH("SUP_ELCH2*D",[1]OUT_SyntheticFuels!$C$4:$C$1000))*1,("var_ncap"=[1]OUT_SyntheticFuels!$B$4:$B$1000)*1,[1]OUT_SyntheticFuels!I$4:I$1000)</f>
        <v>1.3919535537906899E-5</v>
      </c>
      <c r="K2316" s="1" cm="1">
        <f t="array" ref="K2316">SUMPRODUCT(ISNUMBER(SEARCH("SUP_ELCH2*D",[1]OUT_SyntheticFuels!$C$4:$C$1000))*1,("var_ncap"=[1]OUT_SyntheticFuels!$B$4:$B$1000)*1,[1]OUT_SyntheticFuels!J$4:J$1000)</f>
        <v>4.1143472800938499E-5</v>
      </c>
      <c r="L2316" s="1" cm="1">
        <f t="array" ref="L2316">SUMPRODUCT(ISNUMBER(SEARCH("SUP_ELCH2*D",[1]OUT_SyntheticFuels!$C$4:$C$1000))*1,("var_ncap"=[1]OUT_SyntheticFuels!$B$4:$B$1000)*1,[1]OUT_SyntheticFuels!K$4:K$1000)</f>
        <v>2.33210502818513E-5</v>
      </c>
      <c r="M2316" s="1" cm="1">
        <f t="array" ref="M2316">SUMPRODUCT(ISNUMBER(SEARCH("SUP_ELCH2*D",[1]OUT_SyntheticFuels!$C$4:$C$1000))*1,("var_ncap"=[1]OUT_SyntheticFuels!$B$4:$B$1000)*1,[1]OUT_SyntheticFuels!L$4:L$1000)</f>
        <v>1.2938012314638799E-5</v>
      </c>
      <c r="N2316" s="1" cm="1">
        <f t="array" ref="N2316">SUMPRODUCT(ISNUMBER(SEARCH("SUP_ELCH2*D",[1]OUT_SyntheticFuels!$C$4:$C$1000))*1,("var_ncap"=[1]OUT_SyntheticFuels!$B$4:$B$1000)*1,[1]OUT_SyntheticFuels!M$4:M$1000)</f>
        <v>8.4042613413418807E-6</v>
      </c>
      <c r="O2316" s="1" cm="1">
        <f t="array" ref="O2316">SUMPRODUCT(ISNUMBER(SEARCH("SUP_ELCH2*D",[1]OUT_SyntheticFuels!$C$4:$C$1000))*1,("var_ncap"=[1]OUT_SyntheticFuels!$B$4:$B$1000)*1,[1]OUT_SyntheticFuels!N$4:N$1000)</f>
        <v>4.9241460441775302E-5</v>
      </c>
      <c r="P2316" s="1" cm="1">
        <f t="array" ref="P2316">SUMPRODUCT(ISNUMBER(SEARCH("SUP_ELCH2*D",[1]OUT_SyntheticFuels!$C$4:$C$1000))*1,("var_ncap"=[1]OUT_SyntheticFuels!$B$4:$B$1000)*1,[1]OUT_SyntheticFuels!O$4:O$1000)</f>
        <v>5.3623692657109896E-6</v>
      </c>
      <c r="Q2316" s="1" cm="1">
        <f t="array" ref="Q2316">SUMPRODUCT(ISNUMBER(SEARCH("SUP_ELCH2*D",[1]OUT_SyntheticFuels!$C$4:$C$1000))*1,("var_ncap"=[1]OUT_SyntheticFuels!$B$4:$B$1000)*1,[1]OUT_SyntheticFuels!P$4:P$1000)</f>
        <v>5.9149228242779798E-5</v>
      </c>
      <c r="S2316" s="3"/>
    </row>
    <row r="2317" spans="2:19" x14ac:dyDescent="0.5">
      <c r="B2317" s="5" t="str">
        <f t="shared" si="2319"/>
        <v>SPS1</v>
      </c>
      <c r="C2317" s="5" t="str">
        <f t="shared" si="2320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SUMPRODUCT(ISNUMBER(SEARCH("SUP_ELCH2*SOEC*",[1]OUT_SyntheticFuels!$C$4:$C$1000))*1,("var_ncap"=[1]OUT_SyntheticFuels!$B$4:$B$1000)*1,[1]OUT_SyntheticFuels!I$4:I$1000)</f>
        <v>0</v>
      </c>
      <c r="K2317" s="1" cm="1">
        <f t="array" ref="K2317">SUMPRODUCT(ISNUMBER(SEARCH("SUP_ELCH2*SOEC*",[1]OUT_SyntheticFuels!$C$4:$C$1000))*1,("var_ncap"=[1]OUT_SyntheticFuels!$B$4:$B$1000)*1,[1]OUT_SyntheticFuels!J$4:J$1000)</f>
        <v>1.428947576502E-4</v>
      </c>
      <c r="L2317" s="1" cm="1">
        <f t="array" ref="L2317">SUMPRODUCT(ISNUMBER(SEARCH("SUP_ELCH2*SOEC*",[1]OUT_SyntheticFuels!$C$4:$C$1000))*1,("var_ncap"=[1]OUT_SyntheticFuels!$B$4:$B$1000)*1,[1]OUT_SyntheticFuels!K$4:K$1000)</f>
        <v>8.4597852206769905E-5</v>
      </c>
      <c r="M2317" s="1" cm="1">
        <f t="array" ref="M2317">SUMPRODUCT(ISNUMBER(SEARCH("SUP_ELCH2*SOEC*",[1]OUT_SyntheticFuels!$C$4:$C$1000))*1,("var_ncap"=[1]OUT_SyntheticFuels!$B$4:$B$1000)*1,[1]OUT_SyntheticFuels!L$4:L$1000)</f>
        <v>1.4099893582959701E-4</v>
      </c>
      <c r="N2317" s="1" cm="1">
        <f t="array" ref="N2317">SUMPRODUCT(ISNUMBER(SEARCH("SUP_ELCH2*SOEC*",[1]OUT_SyntheticFuels!$C$4:$C$1000))*1,("var_ncap"=[1]OUT_SyntheticFuels!$B$4:$B$1000)*1,[1]OUT_SyntheticFuels!M$4:M$1000)</f>
        <v>1.99235387845455E-6</v>
      </c>
      <c r="O2317" s="1" cm="1">
        <f t="array" ref="O2317">SUMPRODUCT(ISNUMBER(SEARCH("SUP_ELCH2*SOEC*",[1]OUT_SyntheticFuels!$C$4:$C$1000))*1,("var_ncap"=[1]OUT_SyntheticFuels!$B$4:$B$1000)*1,[1]OUT_SyntheticFuels!N$4:N$1000)</f>
        <v>2.3032716914769301E-4</v>
      </c>
      <c r="P2317" s="1" cm="1">
        <f t="array" ref="P2317">SUMPRODUCT(ISNUMBER(SEARCH("SUP_ELCH2*SOEC*",[1]OUT_SyntheticFuels!$C$4:$C$1000))*1,("var_ncap"=[1]OUT_SyntheticFuels!$B$4:$B$1000)*1,[1]OUT_SyntheticFuels!O$4:O$1000)</f>
        <v>2.2496886932245499E-6</v>
      </c>
      <c r="Q2317" s="1" cm="1">
        <f t="array" ref="Q2317">SUMPRODUCT(ISNUMBER(SEARCH("SUP_ELCH2*SOEC*",[1]OUT_SyntheticFuels!$C$4:$C$1000))*1,("var_ncap"=[1]OUT_SyntheticFuels!$B$4:$B$1000)*1,[1]OUT_SyntheticFuels!P$4:P$1000)</f>
        <v>4.4932256578205802E-4</v>
      </c>
      <c r="S2317" s="3"/>
    </row>
    <row r="2318" spans="2:19" x14ac:dyDescent="0.5">
      <c r="B2318" s="5" t="str">
        <f t="shared" si="2319"/>
        <v>SPS1</v>
      </c>
      <c r="C2318" s="5" t="str">
        <f t="shared" si="2320"/>
        <v>CH</v>
      </c>
      <c r="D2318" t="s">
        <v>2453</v>
      </c>
      <c r="E2318" t="s">
        <v>2154</v>
      </c>
      <c r="F2318" s="1">
        <f t="shared" ref="F2318:K2318" si="2323">SUM(F2319:F2320)</f>
        <v>0</v>
      </c>
      <c r="G2318" s="1">
        <f t="shared" si="2323"/>
        <v>0</v>
      </c>
      <c r="H2318" s="1">
        <f t="shared" si="2323"/>
        <v>0</v>
      </c>
      <c r="I2318" s="1">
        <f t="shared" si="2323"/>
        <v>1.2258859431762999E-7</v>
      </c>
      <c r="J2318" s="1">
        <f t="shared" si="2323"/>
        <v>2.8547338715979301E-7</v>
      </c>
      <c r="K2318" s="1">
        <f t="shared" si="2323"/>
        <v>5.2296014924371306E-7</v>
      </c>
      <c r="L2318" s="1">
        <f t="shared" ref="L2318:O2318" si="2324">SUM(L2319:L2320)</f>
        <v>9.8342546503983313E-7</v>
      </c>
      <c r="M2318" s="1">
        <f t="shared" si="2324"/>
        <v>5.8069463381218002E-5</v>
      </c>
      <c r="N2318" s="1">
        <f t="shared" si="2324"/>
        <v>1.3539447518827749E-6</v>
      </c>
      <c r="O2318" s="1">
        <f t="shared" si="2324"/>
        <v>2.4857785294303688E-5</v>
      </c>
      <c r="P2318" s="1">
        <f>SUM(P2319:P2320)</f>
        <v>2.3780314256680319E-6</v>
      </c>
      <c r="Q2318" s="1">
        <f>SUM(Q2319:Q2320)</f>
        <v>9.71177171210141E-5</v>
      </c>
      <c r="S2318" s="3"/>
    </row>
    <row r="2319" spans="2:19" x14ac:dyDescent="0.5">
      <c r="B2319" s="5" t="str">
        <f t="shared" si="2319"/>
        <v>SPS1</v>
      </c>
      <c r="C2319" s="5" t="str">
        <f t="shared" si="2320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1.2258859431762999E-7</v>
      </c>
      <c r="J2319" s="1" cm="1">
        <f t="array" ref="J2319">SUMPRODUCT(ISNUMBER(SEARCH("SUP_NGAH2",[1]OUT_SyntheticFuels!$C$4:$C$1000))*1,("var_ncap"=[1]OUT_SyntheticFuels!$B$4:$B$1000)*1,[1]OUT_SyntheticFuels!I$4:I$1000)-J2320</f>
        <v>2.8547338715979301E-7</v>
      </c>
      <c r="K2319" s="1" cm="1">
        <f t="array" ref="K2319">SUMPRODUCT(ISNUMBER(SEARCH("SUP_NGAH2",[1]OUT_SyntheticFuels!$C$4:$C$1000))*1,("var_ncap"=[1]OUT_SyntheticFuels!$B$4:$B$1000)*1,[1]OUT_SyntheticFuels!J$4:J$1000)-K2320</f>
        <v>3.6235284939022006E-7</v>
      </c>
      <c r="L2319" s="1" cm="1">
        <f t="array" ref="L2319">SUMPRODUCT(ISNUMBER(SEARCH("SUP_NGAH2",[1]OUT_SyntheticFuels!$C$4:$C$1000))*1,("var_ncap"=[1]OUT_SyntheticFuels!$B$4:$B$1000)*1,[1]OUT_SyntheticFuels!K$4:K$1000)-L2320</f>
        <v>6.0197704991351316E-7</v>
      </c>
      <c r="M2319" s="1" cm="1">
        <f t="array" ref="M2319">SUMPRODUCT(ISNUMBER(SEARCH("SUP_NGAH2",[1]OUT_SyntheticFuels!$C$4:$C$1000))*1,("var_ncap"=[1]OUT_SyntheticFuels!$B$4:$B$1000)*1,[1]OUT_SyntheticFuels!L$4:L$1000)-M2320</f>
        <v>3.2758303141099205E-5</v>
      </c>
      <c r="N2319" s="1" cm="1">
        <f t="array" ref="N2319">SUMPRODUCT(ISNUMBER(SEARCH("SUP_NGAH2",[1]OUT_SyntheticFuels!$C$4:$C$1000))*1,("var_ncap"=[1]OUT_SyntheticFuels!$B$4:$B$1000)*1,[1]OUT_SyntheticFuels!M$4:M$1000)-N2320</f>
        <v>9.6974535955524694E-7</v>
      </c>
      <c r="O2319" s="1" cm="1">
        <f t="array" ref="O2319">SUMPRODUCT(ISNUMBER(SEARCH("SUP_NGAH2",[1]OUT_SyntheticFuels!$C$4:$C$1000))*1,("var_ncap"=[1]OUT_SyntheticFuels!$B$4:$B$1000)*1,[1]OUT_SyntheticFuels!N$4:N$1000)-O2320</f>
        <v>1.7929465644495399E-5</v>
      </c>
      <c r="P2319" s="1" cm="1">
        <f t="array" ref="P2319">SUMPRODUCT(ISNUMBER(SEARCH("SUP_NGAH2",[1]OUT_SyntheticFuels!$C$4:$C$1000))*1,("var_ncap"=[1]OUT_SyntheticFuels!$B$4:$B$1000)*1,[1]OUT_SyntheticFuels!O$4:O$1000)-P2320</f>
        <v>1.6880416991631698E-6</v>
      </c>
      <c r="Q2319" s="1" cm="1">
        <f t="array" ref="Q2319">SUMPRODUCT(ISNUMBER(SEARCH("SUP_NGAH2",[1]OUT_SyntheticFuels!$C$4:$C$1000))*1,("var_ncap"=[1]OUT_SyntheticFuels!$B$4:$B$1000)*1,[1]OUT_SyntheticFuels!P$4:P$1000)-Q2320</f>
        <v>6.7734500580351502E-5</v>
      </c>
      <c r="S2319" s="3"/>
    </row>
    <row r="2320" spans="2:19" x14ac:dyDescent="0.5">
      <c r="B2320" s="5" t="str">
        <f t="shared" si="2319"/>
        <v>SPS1</v>
      </c>
      <c r="C2320" s="5" t="str">
        <f t="shared" si="2320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SUMPRODUCT(ISNUMBER(SEARCH("SUP_NGAH2CCS",[1]OUT_SyntheticFuels!$C$4:$C$1000))*1,("var_ncap"=[1]OUT_SyntheticFuels!$B$4:$B$1000)*1,[1]OUT_SyntheticFuels!I$4:I$1000)</f>
        <v>0</v>
      </c>
      <c r="K2320" s="1" cm="1">
        <f t="array" ref="K2320">SUMPRODUCT(ISNUMBER(SEARCH("SUP_NGAH2CCS",[1]OUT_SyntheticFuels!$C$4:$C$1000))*1,("var_ncap"=[1]OUT_SyntheticFuels!$B$4:$B$1000)*1,[1]OUT_SyntheticFuels!J$4:J$1000)</f>
        <v>1.6060729985349301E-7</v>
      </c>
      <c r="L2320" s="1" cm="1">
        <f t="array" ref="L2320">SUMPRODUCT(ISNUMBER(SEARCH("SUP_NGAH2CCS",[1]OUT_SyntheticFuels!$C$4:$C$1000))*1,("var_ncap"=[1]OUT_SyntheticFuels!$B$4:$B$1000)*1,[1]OUT_SyntheticFuels!K$4:K$1000)</f>
        <v>3.8144841512632002E-7</v>
      </c>
      <c r="M2320" s="1" cm="1">
        <f t="array" ref="M2320">SUMPRODUCT(ISNUMBER(SEARCH("SUP_NGAH2CCS",[1]OUT_SyntheticFuels!$C$4:$C$1000))*1,("var_ncap"=[1]OUT_SyntheticFuels!$B$4:$B$1000)*1,[1]OUT_SyntheticFuels!L$4:L$1000)</f>
        <v>2.53111602401188E-5</v>
      </c>
      <c r="N2320" s="1" cm="1">
        <f t="array" ref="N2320">SUMPRODUCT(ISNUMBER(SEARCH("SUP_NGAH2CCS",[1]OUT_SyntheticFuels!$C$4:$C$1000))*1,("var_ncap"=[1]OUT_SyntheticFuels!$B$4:$B$1000)*1,[1]OUT_SyntheticFuels!M$4:M$1000)</f>
        <v>3.8419939232752798E-7</v>
      </c>
      <c r="O2320" s="1" cm="1">
        <f t="array" ref="O2320">SUMPRODUCT(ISNUMBER(SEARCH("SUP_NGAH2CCS",[1]OUT_SyntheticFuels!$C$4:$C$1000))*1,("var_ncap"=[1]OUT_SyntheticFuels!$B$4:$B$1000)*1,[1]OUT_SyntheticFuels!N$4:N$1000)</f>
        <v>6.9283196498082903E-6</v>
      </c>
      <c r="P2320" s="1" cm="1">
        <f t="array" ref="P2320">SUMPRODUCT(ISNUMBER(SEARCH("SUP_NGAH2CCS",[1]OUT_SyntheticFuels!$C$4:$C$1000))*1,("var_ncap"=[1]OUT_SyntheticFuels!$B$4:$B$1000)*1,[1]OUT_SyntheticFuels!O$4:O$1000)</f>
        <v>6.8998972650486198E-7</v>
      </c>
      <c r="Q2320" s="1" cm="1">
        <f t="array" ref="Q2320">SUMPRODUCT(ISNUMBER(SEARCH("SUP_NGAH2CCS",[1]OUT_SyntheticFuels!$C$4:$C$1000))*1,("var_ncap"=[1]OUT_SyntheticFuels!$B$4:$B$1000)*1,[1]OUT_SyntheticFuels!P$4:P$1000)</f>
        <v>2.9383216540662601E-5</v>
      </c>
      <c r="S2320" s="3"/>
    </row>
    <row r="2321" spans="2:19" x14ac:dyDescent="0.5">
      <c r="B2321" s="5" t="str">
        <f t="shared" si="2319"/>
        <v>SPS1</v>
      </c>
      <c r="C2321" s="5" t="str">
        <f t="shared" si="2320"/>
        <v>CH</v>
      </c>
      <c r="D2321" t="s">
        <v>2456</v>
      </c>
      <c r="E2321" t="s">
        <v>2154</v>
      </c>
      <c r="F2321" s="1">
        <f t="shared" ref="F2321:K2321" si="2325">SUM(F2322:F2323)</f>
        <v>0</v>
      </c>
      <c r="G2321" s="1">
        <f t="shared" si="2325"/>
        <v>0</v>
      </c>
      <c r="H2321" s="1">
        <f t="shared" si="2325"/>
        <v>0</v>
      </c>
      <c r="I2321" s="1">
        <f t="shared" si="2325"/>
        <v>0</v>
      </c>
      <c r="J2321" s="1">
        <f t="shared" si="2325"/>
        <v>0</v>
      </c>
      <c r="K2321" s="1">
        <f t="shared" si="2325"/>
        <v>0</v>
      </c>
      <c r="L2321" s="1">
        <f t="shared" ref="L2321:O2321" si="2326">SUM(L2322:L2323)</f>
        <v>0</v>
      </c>
      <c r="M2321" s="1">
        <f t="shared" si="2326"/>
        <v>7.568434314230639E-2</v>
      </c>
      <c r="N2321" s="1">
        <f t="shared" si="2326"/>
        <v>0.1094132385052503</v>
      </c>
      <c r="O2321" s="1">
        <f t="shared" si="2326"/>
        <v>2.8805919766902465E-3</v>
      </c>
      <c r="P2321" s="1">
        <f>SUM(P2322:P2323)</f>
        <v>2.0729237910529441E-2</v>
      </c>
      <c r="Q2321" s="1">
        <f>SUM(Q2322:Q2323)</f>
        <v>1.0535960919940869E-2</v>
      </c>
      <c r="S2321" s="3"/>
    </row>
    <row r="2322" spans="2:19" x14ac:dyDescent="0.5">
      <c r="B2322" s="5" t="str">
        <f t="shared" si="2319"/>
        <v>SPS1</v>
      </c>
      <c r="C2322" s="5" t="str">
        <f t="shared" si="2320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0</v>
      </c>
      <c r="J2322" s="1" cm="1">
        <f t="array" ref="J2322">SUMPRODUCT(ISNUMBER(SEARCH("SUP_WODH2",[1]OUT_SyntheticFuels!$C$4:$C$1000))*1,("var_ncap"=[1]OUT_SyntheticFuels!$B$4:$B$1000)*1,[1]OUT_SyntheticFuels!I$4:I$1000)-J2323</f>
        <v>0</v>
      </c>
      <c r="K2322" s="1" cm="1">
        <f t="array" ref="K2322">SUMPRODUCT(ISNUMBER(SEARCH("SUP_WODH2",[1]OUT_SyntheticFuels!$C$4:$C$1000))*1,("var_ncap"=[1]OUT_SyntheticFuels!$B$4:$B$1000)*1,[1]OUT_SyntheticFuels!J$4:J$1000)-K2323</f>
        <v>0</v>
      </c>
      <c r="L2322" s="1" cm="1">
        <f t="array" ref="L2322">SUMPRODUCT(ISNUMBER(SEARCH("SUP_WODH2",[1]OUT_SyntheticFuels!$C$4:$C$1000))*1,("var_ncap"=[1]OUT_SyntheticFuels!$B$4:$B$1000)*1,[1]OUT_SyntheticFuels!K$4:K$1000)-L2323</f>
        <v>0</v>
      </c>
      <c r="M2322" s="1" cm="1">
        <f t="array" ref="M2322">SUMPRODUCT(ISNUMBER(SEARCH("SUP_WODH2",[1]OUT_SyntheticFuels!$C$4:$C$1000))*1,("var_ncap"=[1]OUT_SyntheticFuels!$B$4:$B$1000)*1,[1]OUT_SyntheticFuels!L$4:L$1000)-M2323</f>
        <v>1.3145982816084589E-5</v>
      </c>
      <c r="N2322" s="1" cm="1">
        <f t="array" ref="N2322">SUMPRODUCT(ISNUMBER(SEARCH("SUP_WODH2",[1]OUT_SyntheticFuels!$C$4:$C$1000))*1,("var_ncap"=[1]OUT_SyntheticFuels!$B$4:$B$1000)*1,[1]OUT_SyntheticFuels!M$4:M$1000)-N2323</f>
        <v>3.1444119329149256E-7</v>
      </c>
      <c r="O2322" s="1" cm="1">
        <f t="array" ref="O2322">SUMPRODUCT(ISNUMBER(SEARCH("SUP_WODH2",[1]OUT_SyntheticFuels!$C$4:$C$1000))*1,("var_ncap"=[1]OUT_SyntheticFuels!$B$4:$B$1000)*1,[1]OUT_SyntheticFuels!N$4:N$1000)-O2323</f>
        <v>4.0818874770367011E-6</v>
      </c>
      <c r="P2322" s="1" cm="1">
        <f t="array" ref="P2322">SUMPRODUCT(ISNUMBER(SEARCH("SUP_WODH2",[1]OUT_SyntheticFuels!$C$4:$C$1000))*1,("var_ncap"=[1]OUT_SyntheticFuels!$B$4:$B$1000)*1,[1]OUT_SyntheticFuels!O$4:O$1000)-P2323</f>
        <v>2.9272710504180122E-7</v>
      </c>
      <c r="Q2322" s="1" cm="1">
        <f t="array" ref="Q2322">SUMPRODUCT(ISNUMBER(SEARCH("SUP_WODH2",[1]OUT_SyntheticFuels!$C$4:$C$1000))*1,("var_ncap"=[1]OUT_SyntheticFuels!$B$4:$B$1000)*1,[1]OUT_SyntheticFuels!P$4:P$1000)-Q2323</f>
        <v>1.8511457924868732E-5</v>
      </c>
      <c r="S2322" s="3"/>
    </row>
    <row r="2323" spans="2:19" x14ac:dyDescent="0.5">
      <c r="B2323" s="5" t="str">
        <f t="shared" si="2319"/>
        <v>SPS1</v>
      </c>
      <c r="C2323" s="5" t="str">
        <f t="shared" si="2320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SUMPRODUCT(ISNUMBER(SEARCH("SUP_WODH2CCS",[1]OUT_SyntheticFuels!$C$4:$C$1000))*1,("var_ncap"=[1]OUT_SyntheticFuels!$B$4:$B$1000)*1,[1]OUT_SyntheticFuels!I$4:I$1000)</f>
        <v>0</v>
      </c>
      <c r="K2323" s="1" cm="1">
        <f t="array" ref="K2323">SUMPRODUCT(ISNUMBER(SEARCH("SUP_WODH2CCS",[1]OUT_SyntheticFuels!$C$4:$C$1000))*1,("var_ncap"=[1]OUT_SyntheticFuels!$B$4:$B$1000)*1,[1]OUT_SyntheticFuels!J$4:J$1000)</f>
        <v>0</v>
      </c>
      <c r="L2323" s="1" cm="1">
        <f t="array" ref="L2323">SUMPRODUCT(ISNUMBER(SEARCH("SUP_WODH2CCS",[1]OUT_SyntheticFuels!$C$4:$C$1000))*1,("var_ncap"=[1]OUT_SyntheticFuels!$B$4:$B$1000)*1,[1]OUT_SyntheticFuels!K$4:K$1000)</f>
        <v>0</v>
      </c>
      <c r="M2323" s="1" cm="1">
        <f t="array" ref="M2323">SUMPRODUCT(ISNUMBER(SEARCH("SUP_WODH2CCS",[1]OUT_SyntheticFuels!$C$4:$C$1000))*1,("var_ncap"=[1]OUT_SyntheticFuels!$B$4:$B$1000)*1,[1]OUT_SyntheticFuels!L$4:L$1000)</f>
        <v>7.5671197159490305E-2</v>
      </c>
      <c r="N2323" s="1" cm="1">
        <f t="array" ref="N2323">SUMPRODUCT(ISNUMBER(SEARCH("SUP_WODH2CCS",[1]OUT_SyntheticFuels!$C$4:$C$1000))*1,("var_ncap"=[1]OUT_SyntheticFuels!$B$4:$B$1000)*1,[1]OUT_SyntheticFuels!M$4:M$1000)</f>
        <v>0.109412924064057</v>
      </c>
      <c r="O2323" s="1" cm="1">
        <f t="array" ref="O2323">SUMPRODUCT(ISNUMBER(SEARCH("SUP_WODH2CCS",[1]OUT_SyntheticFuels!$C$4:$C$1000))*1,("var_ncap"=[1]OUT_SyntheticFuels!$B$4:$B$1000)*1,[1]OUT_SyntheticFuels!N$4:N$1000)</f>
        <v>2.8765100892132098E-3</v>
      </c>
      <c r="P2323" s="1" cm="1">
        <f t="array" ref="P2323">SUMPRODUCT(ISNUMBER(SEARCH("SUP_WODH2CCS",[1]OUT_SyntheticFuels!$C$4:$C$1000))*1,("var_ncap"=[1]OUT_SyntheticFuels!$B$4:$B$1000)*1,[1]OUT_SyntheticFuels!O$4:O$1000)</f>
        <v>2.0728945183424399E-2</v>
      </c>
      <c r="Q2323" s="1" cm="1">
        <f t="array" ref="Q2323">SUMPRODUCT(ISNUMBER(SEARCH("SUP_WODH2CCS",[1]OUT_SyntheticFuels!$C$4:$C$1000))*1,("var_ncap"=[1]OUT_SyntheticFuels!$B$4:$B$1000)*1,[1]OUT_SyntheticFuels!P$4:P$1000)</f>
        <v>1.0517449462016E-2</v>
      </c>
      <c r="S2323" s="3"/>
    </row>
    <row r="2324" spans="2:19" x14ac:dyDescent="0.5">
      <c r="B2324" s="5" t="str">
        <f t="shared" si="2319"/>
        <v>SPS1</v>
      </c>
      <c r="C2324" s="5" t="str">
        <f t="shared" si="2320"/>
        <v>CH</v>
      </c>
      <c r="D2324" s="2" t="s">
        <v>2459</v>
      </c>
      <c r="E2324" s="2" t="s">
        <v>2156</v>
      </c>
      <c r="F2324" s="24"/>
      <c r="G2324" s="24"/>
      <c r="H2324" s="24"/>
      <c r="I2324" s="24"/>
      <c r="J2324" s="24"/>
      <c r="K2324" s="24"/>
      <c r="L2324" s="24"/>
      <c r="M2324" s="24"/>
      <c r="N2324" s="24"/>
      <c r="O2324" s="24"/>
      <c r="P2324" s="24"/>
      <c r="Q2324" s="24"/>
      <c r="S2324" s="3"/>
    </row>
    <row r="2325" spans="2:19" x14ac:dyDescent="0.5">
      <c r="B2325" s="5" t="str">
        <f t="shared" si="2319"/>
        <v>SPS1</v>
      </c>
      <c r="C2325" s="5" t="str">
        <f t="shared" si="2320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4.9857605224170597E-8</v>
      </c>
      <c r="G2325" s="7" cm="1">
        <f t="array" ref="G2325">SUMPRODUCT(("CT_CWODBDS"=[1]OUT_SyntheticFuels!$C$4:$C$1000)*1,("var_ncap"=[1]OUT_SyntheticFuels!$B$4:$B$1000)*1,[1]OUT_SyntheticFuels!F$4:F$1000)</f>
        <v>2.6827817812898299E-8</v>
      </c>
      <c r="H2325" s="7" cm="1">
        <f t="array" ref="H2325">SUMPRODUCT(("CT_CWODBDS"=[1]OUT_SyntheticFuels!$C$4:$C$1000)*1,("var_ncap"=[1]OUT_SyntheticFuels!$B$4:$B$1000)*1,[1]OUT_SyntheticFuels!G$4:G$1000)</f>
        <v>1.9459134945108998E-8</v>
      </c>
      <c r="I2325" s="7" cm="1">
        <f t="array" ref="I2325">SUMPRODUCT(("CT_CWODBDS"=[1]OUT_SyntheticFuels!$C$4:$C$1000)*1,("var_ncap"=[1]OUT_SyntheticFuels!$B$4:$B$1000)*1,[1]OUT_SyntheticFuels!H$4:H$1000)</f>
        <v>4.34037790393916E-8</v>
      </c>
      <c r="J2325" s="7" cm="1">
        <f t="array" ref="J2325">SUMPRODUCT(("CT_CWODBDS"=[1]OUT_SyntheticFuels!$C$4:$C$1000)*1,("var_ncap"=[1]OUT_SyntheticFuels!$B$4:$B$1000)*1,[1]OUT_SyntheticFuels!I$4:I$1000)</f>
        <v>8.7230933000335902E-6</v>
      </c>
      <c r="K2325" s="7" cm="1">
        <f t="array" ref="K2325">SUMPRODUCT(("CT_CWODBDS"=[1]OUT_SyntheticFuels!$C$4:$C$1000)*1,("var_ncap"=[1]OUT_SyntheticFuels!$B$4:$B$1000)*1,[1]OUT_SyntheticFuels!J$4:J$1000)</f>
        <v>4.8775268599993405E-7</v>
      </c>
      <c r="L2325" s="7" cm="1">
        <f t="array" ref="L2325">SUMPRODUCT(("CT_CWODBDS"=[1]OUT_SyntheticFuels!$C$4:$C$1000)*1,("var_ncap"=[1]OUT_SyntheticFuels!$B$4:$B$1000)*1,[1]OUT_SyntheticFuels!K$4:K$1000)</f>
        <v>4.0881308704602798E-7</v>
      </c>
      <c r="M2325" s="7" cm="1">
        <f t="array" ref="M2325">SUMPRODUCT(("CT_CWODBDS"=[1]OUT_SyntheticFuels!$C$4:$C$1000)*1,("var_ncap"=[1]OUT_SyntheticFuels!$B$4:$B$1000)*1,[1]OUT_SyntheticFuels!L$4:L$1000)</f>
        <v>6.3617494415752697E-6</v>
      </c>
      <c r="N2325" s="7" cm="1">
        <f t="array" ref="N2325">SUMPRODUCT(("CT_CWODBDS"=[1]OUT_SyntheticFuels!$C$4:$C$1000)*1,("var_ncap"=[1]OUT_SyntheticFuels!$B$4:$B$1000)*1,[1]OUT_SyntheticFuels!M$4:M$1000)</f>
        <v>7.5337793574343601E-7</v>
      </c>
      <c r="O2325" s="7" cm="1">
        <f t="array" ref="O2325">SUMPRODUCT(("CT_CWODBDS"=[1]OUT_SyntheticFuels!$C$4:$C$1000)*1,("var_ncap"=[1]OUT_SyntheticFuels!$B$4:$B$1000)*1,[1]OUT_SyntheticFuels!N$4:N$1000)</f>
        <v>9.60719724652938E-6</v>
      </c>
      <c r="P2325" s="7" cm="1">
        <f t="array" ref="P2325">SUMPRODUCT(("CT_CWODBDS"=[1]OUT_SyntheticFuels!$C$4:$C$1000)*1,("var_ncap"=[1]OUT_SyntheticFuels!$B$4:$B$1000)*1,[1]OUT_SyntheticFuels!O$4:O$1000)</f>
        <v>2.7977645836677897E-7</v>
      </c>
      <c r="Q2325" s="7" cm="1">
        <f t="array" ref="Q2325">SUMPRODUCT(("CT_CWODBDS"=[1]OUT_SyntheticFuels!$C$4:$C$1000)*1,("var_ncap"=[1]OUT_SyntheticFuels!$B$4:$B$1000)*1,[1]OUT_SyntheticFuels!P$4:P$1000)</f>
        <v>2.3915123484424201E-5</v>
      </c>
      <c r="S2325" s="3"/>
    </row>
    <row r="2326" spans="2:19" x14ac:dyDescent="0.5">
      <c r="B2326" s="5" t="str">
        <f t="shared" si="2319"/>
        <v>SPS1</v>
      </c>
      <c r="C2326" s="5" t="str">
        <f t="shared" si="2320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SUMPRODUCT(("CT_CWODBDSCCS"=[1]OUT_SyntheticFuels!$C$4:$C$1000)*1,("var_ncap"=[1]OUT_SyntheticFuels!$B$4:$B$1000)*1,[1]OUT_SyntheticFuels!I$4:I$1000)</f>
        <v>0</v>
      </c>
      <c r="K2326" s="7" cm="1">
        <f t="array" ref="K2326">SUMPRODUCT(("CT_CWODBDSCCS"=[1]OUT_SyntheticFuels!$C$4:$C$1000)*1,("var_ncap"=[1]OUT_SyntheticFuels!$B$4:$B$1000)*1,[1]OUT_SyntheticFuels!J$4:J$1000)</f>
        <v>7.0529744497762303E-6</v>
      </c>
      <c r="L2326" s="7" cm="1">
        <f t="array" ref="L2326">SUMPRODUCT(("CT_CWODBDSCCS"=[1]OUT_SyntheticFuels!$C$4:$C$1000)*1,("var_ncap"=[1]OUT_SyntheticFuels!$B$4:$B$1000)*1,[1]OUT_SyntheticFuels!K$4:K$1000)</f>
        <v>1.0121137302842601E-6</v>
      </c>
      <c r="M2326" s="7" cm="1">
        <f t="array" ref="M2326">SUMPRODUCT(("CT_CWODBDSCCS"=[1]OUT_SyntheticFuels!$C$4:$C$1000)*1,("var_ncap"=[1]OUT_SyntheticFuels!$B$4:$B$1000)*1,[1]OUT_SyntheticFuels!L$4:L$1000)</f>
        <v>0.18930619671472099</v>
      </c>
      <c r="N2326" s="7" cm="1">
        <f t="array" ref="N2326">SUMPRODUCT(("CT_CWODBDSCCS"=[1]OUT_SyntheticFuels!$C$4:$C$1000)*1,("var_ncap"=[1]OUT_SyntheticFuels!$B$4:$B$1000)*1,[1]OUT_SyntheticFuels!M$4:M$1000)</f>
        <v>1.0820835562966201E-2</v>
      </c>
      <c r="O2326" s="7" cm="1">
        <f t="array" ref="O2326">SUMPRODUCT(("CT_CWODBDSCCS"=[1]OUT_SyntheticFuels!$C$4:$C$1000)*1,("var_ncap"=[1]OUT_SyntheticFuels!$B$4:$B$1000)*1,[1]OUT_SyntheticFuels!N$4:N$1000)</f>
        <v>2.9231464309033099E-7</v>
      </c>
      <c r="P2326" s="7" cm="1">
        <f t="array" ref="P2326">SUMPRODUCT(("CT_CWODBDSCCS"=[1]OUT_SyntheticFuels!$C$4:$C$1000)*1,("var_ncap"=[1]OUT_SyntheticFuels!$B$4:$B$1000)*1,[1]OUT_SyntheticFuels!O$4:O$1000)</f>
        <v>1.7730608064972E-6</v>
      </c>
      <c r="Q2326" s="7" cm="1">
        <f t="array" ref="Q2326">SUMPRODUCT(("CT_CWODBDSCCS"=[1]OUT_SyntheticFuels!$C$4:$C$1000)*1,("var_ncap"=[1]OUT_SyntheticFuels!$B$4:$B$1000)*1,[1]OUT_SyntheticFuels!P$4:P$1000)</f>
        <v>0.21009924568979901</v>
      </c>
      <c r="S2326" s="3"/>
    </row>
    <row r="2327" spans="2:19" x14ac:dyDescent="0.5">
      <c r="B2327" s="5" t="str">
        <f t="shared" si="2319"/>
        <v>SPS1</v>
      </c>
      <c r="C2327" s="5" t="str">
        <f t="shared" si="2320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4.8282934333477396E-3</v>
      </c>
      <c r="G2327" s="7" cm="1">
        <f t="array" ref="G2327">SUMPRODUCT(("CT_CWODETH"=[1]OUT_SyntheticFuels!$C$4:$C$1000)*1,("var_ncap"=[1]OUT_SyntheticFuels!$B$4:$B$1000)*1,[1]OUT_SyntheticFuels!F$4:F$1000)</f>
        <v>5.0956084271729602E-8</v>
      </c>
      <c r="H2327" s="7" cm="1">
        <f t="array" ref="H2327">SUMPRODUCT(("CT_CWODETH"=[1]OUT_SyntheticFuels!$C$4:$C$1000)*1,("var_ncap"=[1]OUT_SyntheticFuels!$B$4:$B$1000)*1,[1]OUT_SyntheticFuels!G$4:G$1000)</f>
        <v>7.3638043941143202E-8</v>
      </c>
      <c r="I2327" s="7" cm="1">
        <f t="array" ref="I2327">SUMPRODUCT(("CT_CWODETH"=[1]OUT_SyntheticFuels!$C$4:$C$1000)*1,("var_ncap"=[1]OUT_SyntheticFuels!$B$4:$B$1000)*1,[1]OUT_SyntheticFuels!H$4:H$1000)</f>
        <v>5.1765292626889198E-8</v>
      </c>
      <c r="J2327" s="7" cm="1">
        <f t="array" ref="J2327">SUMPRODUCT(("CT_CWODETH"=[1]OUT_SyntheticFuels!$C$4:$C$1000)*1,("var_ncap"=[1]OUT_SyntheticFuels!$B$4:$B$1000)*1,[1]OUT_SyntheticFuels!I$4:I$1000)</f>
        <v>4.7781241722830296E-7</v>
      </c>
      <c r="K2327" s="7" cm="1">
        <f t="array" ref="K2327">SUMPRODUCT(("CT_CWODETH"=[1]OUT_SyntheticFuels!$C$4:$C$1000)*1,("var_ncap"=[1]OUT_SyntheticFuels!$B$4:$B$1000)*1,[1]OUT_SyntheticFuels!J$4:J$1000)</f>
        <v>2.52266805417601E-6</v>
      </c>
      <c r="L2327" s="7" cm="1">
        <f t="array" ref="L2327">SUMPRODUCT(("CT_CWODETH"=[1]OUT_SyntheticFuels!$C$4:$C$1000)*1,("var_ncap"=[1]OUT_SyntheticFuels!$B$4:$B$1000)*1,[1]OUT_SyntheticFuels!K$4:K$1000)</f>
        <v>3.0951558049304701E-6</v>
      </c>
      <c r="M2327" s="7" cm="1">
        <f t="array" ref="M2327">SUMPRODUCT(("CT_CWODETH"=[1]OUT_SyntheticFuels!$C$4:$C$1000)*1,("var_ncap"=[1]OUT_SyntheticFuels!$B$4:$B$1000)*1,[1]OUT_SyntheticFuels!L$4:L$1000)</f>
        <v>4.4831005351403401E-6</v>
      </c>
      <c r="N2327" s="7" cm="1">
        <f t="array" ref="N2327">SUMPRODUCT(("CT_CWODETH"=[1]OUT_SyntheticFuels!$C$4:$C$1000)*1,("var_ncap"=[1]OUT_SyntheticFuels!$B$4:$B$1000)*1,[1]OUT_SyntheticFuels!M$4:M$1000)</f>
        <v>3.24386907633341E-7</v>
      </c>
      <c r="O2327" s="7" cm="1">
        <f t="array" ref="O2327">SUMPRODUCT(("CT_CWODETH"=[1]OUT_SyntheticFuels!$C$4:$C$1000)*1,("var_ncap"=[1]OUT_SyntheticFuels!$B$4:$B$1000)*1,[1]OUT_SyntheticFuels!N$4:N$1000)</f>
        <v>7.0224658770646598E-6</v>
      </c>
      <c r="P2327" s="7" cm="1">
        <f t="array" ref="P2327">SUMPRODUCT(("CT_CWODETH"=[1]OUT_SyntheticFuels!$C$4:$C$1000)*1,("var_ncap"=[1]OUT_SyntheticFuels!$B$4:$B$1000)*1,[1]OUT_SyntheticFuels!O$4:O$1000)</f>
        <v>6.0630253180662502E-7</v>
      </c>
      <c r="Q2327" s="7" cm="1">
        <f t="array" ref="Q2327">SUMPRODUCT(("CT_CWODETH"=[1]OUT_SyntheticFuels!$C$4:$C$1000)*1,("var_ncap"=[1]OUT_SyntheticFuels!$B$4:$B$1000)*1,[1]OUT_SyntheticFuels!P$4:P$1000)</f>
        <v>1.89475437049296E-5</v>
      </c>
      <c r="S2327" s="3"/>
    </row>
    <row r="2328" spans="2:19" x14ac:dyDescent="0.5">
      <c r="B2328" s="5" t="str">
        <f t="shared" si="2319"/>
        <v>SPS1</v>
      </c>
      <c r="C2328" s="5" t="str">
        <f t="shared" si="2320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SUMPRODUCT(("CT_CWODETHCCS"=[1]OUT_SyntheticFuels!$C$4:$C$1000)*1,("var_ncap"=[1]OUT_SyntheticFuels!$B$4:$B$1000)*1,[1]OUT_SyntheticFuels!I$4:I$1000)</f>
        <v>0</v>
      </c>
      <c r="K2328" s="7" cm="1">
        <f t="array" ref="K2328">SUMPRODUCT(("CT_CWODETHCCS"=[1]OUT_SyntheticFuels!$C$4:$C$1000)*1,("var_ncap"=[1]OUT_SyntheticFuels!$B$4:$B$1000)*1,[1]OUT_SyntheticFuels!J$4:J$1000)</f>
        <v>5.0699519279946297E-6</v>
      </c>
      <c r="L2328" s="7" cm="1">
        <f t="array" ref="L2328">SUMPRODUCT(("CT_CWODETHCCS"=[1]OUT_SyntheticFuels!$C$4:$C$1000)*1,("var_ncap"=[1]OUT_SyntheticFuels!$B$4:$B$1000)*1,[1]OUT_SyntheticFuels!K$4:K$1000)</f>
        <v>3.73384905227788E-7</v>
      </c>
      <c r="M2328" s="7" cm="1">
        <f t="array" ref="M2328">SUMPRODUCT(("CT_CWODETHCCS"=[1]OUT_SyntheticFuels!$C$4:$C$1000)*1,("var_ncap"=[1]OUT_SyntheticFuels!$B$4:$B$1000)*1,[1]OUT_SyntheticFuels!L$4:L$1000)</f>
        <v>3.5746361058329202E-6</v>
      </c>
      <c r="N2328" s="7" cm="1">
        <f t="array" ref="N2328">SUMPRODUCT(("CT_CWODETHCCS"=[1]OUT_SyntheticFuels!$C$4:$C$1000)*1,("var_ncap"=[1]OUT_SyntheticFuels!$B$4:$B$1000)*1,[1]OUT_SyntheticFuels!M$4:M$1000)</f>
        <v>7.5217894128690197E-8</v>
      </c>
      <c r="O2328" s="7" cm="1">
        <f t="array" ref="O2328">SUMPRODUCT(("CT_CWODETHCCS"=[1]OUT_SyntheticFuels!$C$4:$C$1000)*1,("var_ncap"=[1]OUT_SyntheticFuels!$B$4:$B$1000)*1,[1]OUT_SyntheticFuels!N$4:N$1000)</f>
        <v>7.4024562538690104E-6</v>
      </c>
      <c r="P2328" s="7" cm="1">
        <f t="array" ref="P2328">SUMPRODUCT(("CT_CWODETHCCS"=[1]OUT_SyntheticFuels!$C$4:$C$1000)*1,("var_ncap"=[1]OUT_SyntheticFuels!$B$4:$B$1000)*1,[1]OUT_SyntheticFuels!O$4:O$1000)</f>
        <v>2.0833808391309599E-7</v>
      </c>
      <c r="Q2328" s="7" cm="1">
        <f t="array" ref="Q2328">SUMPRODUCT(("CT_CWODETHCCS"=[1]OUT_SyntheticFuels!$C$4:$C$1000)*1,("var_ncap"=[1]OUT_SyntheticFuels!$B$4:$B$1000)*1,[1]OUT_SyntheticFuels!P$4:P$1000)</f>
        <v>1.5900220419081499E-5</v>
      </c>
      <c r="S2328" s="3"/>
    </row>
    <row r="2329" spans="2:19" x14ac:dyDescent="0.5">
      <c r="B2329" s="5" t="str">
        <f t="shared" si="2319"/>
        <v>SPS1</v>
      </c>
      <c r="C2329" s="5" t="str">
        <f t="shared" si="2320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4.9244394543744303E-2</v>
      </c>
      <c r="G2329" s="7" cm="1">
        <f t="array" ref="G2329">SUMPRODUCT(("SUP_MNRBIO"=[1]OUT_SyntheticFuels!$C$4:$C$1000)*1,("var_ncap"=[1]OUT_SyntheticFuels!$B$4:$B$1000)*1,[1]OUT_SyntheticFuels!F$4:F$1000)</f>
        <v>8.1611662000699497E-2</v>
      </c>
      <c r="H2329" s="7" cm="1">
        <f t="array" ref="H2329">SUMPRODUCT(("SUP_MNRBIO"=[1]OUT_SyntheticFuels!$C$4:$C$1000)*1,("var_ncap"=[1]OUT_SyntheticFuels!$B$4:$B$1000)*1,[1]OUT_SyntheticFuels!G$4:G$1000)</f>
        <v>3.1542152578435699E-2</v>
      </c>
      <c r="I2329" s="7" cm="1">
        <f t="array" ref="I2329">SUMPRODUCT(("SUP_MNRBIO"=[1]OUT_SyntheticFuels!$C$4:$C$1000)*1,("var_ncap"=[1]OUT_SyntheticFuels!$B$4:$B$1000)*1,[1]OUT_SyntheticFuels!H$4:H$1000)</f>
        <v>1.1847957251105699E-6</v>
      </c>
      <c r="J2329" s="7" cm="1">
        <f t="array" ref="J2329">SUMPRODUCT(("SUP_MNRBIO"=[1]OUT_SyntheticFuels!$C$4:$C$1000)*1,("var_ncap"=[1]OUT_SyntheticFuels!$B$4:$B$1000)*1,[1]OUT_SyntheticFuels!I$4:I$1000)</f>
        <v>2.2134942965232801E-6</v>
      </c>
      <c r="K2329" s="7" cm="1">
        <f t="array" ref="K2329">SUMPRODUCT(("SUP_MNRBIO"=[1]OUT_SyntheticFuels!$C$4:$C$1000)*1,("var_ncap"=[1]OUT_SyntheticFuels!$B$4:$B$1000)*1,[1]OUT_SyntheticFuels!J$4:J$1000)</f>
        <v>6.0266495725675898E-2</v>
      </c>
      <c r="L2329" s="7" cm="1">
        <f t="array" ref="L2329">SUMPRODUCT(("SUP_MNRBIO"=[1]OUT_SyntheticFuels!$C$4:$C$1000)*1,("var_ncap"=[1]OUT_SyntheticFuels!$B$4:$B$1000)*1,[1]OUT_SyntheticFuels!K$4:K$1000)</f>
        <v>9.6590531553013795E-2</v>
      </c>
      <c r="M2329" s="7" cm="1">
        <f t="array" ref="M2329">SUMPRODUCT(("SUP_MNRBIO"=[1]OUT_SyntheticFuels!$C$4:$C$1000)*1,("var_ncap"=[1]OUT_SyntheticFuels!$B$4:$B$1000)*1,[1]OUT_SyntheticFuels!L$4:L$1000)</f>
        <v>8.6756769434596398E-2</v>
      </c>
      <c r="N2329" s="7" cm="1">
        <f t="array" ref="N2329">SUMPRODUCT(("SUP_MNRBIO"=[1]OUT_SyntheticFuels!$C$4:$C$1000)*1,("var_ncap"=[1]OUT_SyntheticFuels!$B$4:$B$1000)*1,[1]OUT_SyntheticFuels!M$4:M$1000)</f>
        <v>7.9864852043987807E-3</v>
      </c>
      <c r="O2329" s="7" cm="1">
        <f t="array" ref="O2329">SUMPRODUCT(("SUP_MNRBIO"=[1]OUT_SyntheticFuels!$C$4:$C$1000)*1,("var_ncap"=[1]OUT_SyntheticFuels!$B$4:$B$1000)*1,[1]OUT_SyntheticFuels!N$4:N$1000)</f>
        <v>5.22840349599588E-2</v>
      </c>
      <c r="P2329" s="7" cm="1">
        <f t="array" ref="P2329">SUMPRODUCT(("SUP_MNRBIO"=[1]OUT_SyntheticFuels!$C$4:$C$1000)*1,("var_ncap"=[1]OUT_SyntheticFuels!$B$4:$B$1000)*1,[1]OUT_SyntheticFuels!O$4:O$1000)</f>
        <v>9.6590723263807896E-2</v>
      </c>
      <c r="Q2329" s="7" cm="1">
        <f t="array" ref="Q2329">SUMPRODUCT(("SUP_MNRBIO"=[1]OUT_SyntheticFuels!$C$4:$C$1000)*1,("var_ncap"=[1]OUT_SyntheticFuels!$B$4:$B$1000)*1,[1]OUT_SyntheticFuels!P$4:P$1000)</f>
        <v>8.6764517978042396E-2</v>
      </c>
      <c r="S2329" s="3"/>
    </row>
    <row r="2330" spans="2:19" x14ac:dyDescent="0.5">
      <c r="B2330" s="5" t="str">
        <f t="shared" si="2319"/>
        <v>SPS1</v>
      </c>
      <c r="C2330" s="5" t="str">
        <f t="shared" si="2320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4.0965832012083104E-3</v>
      </c>
      <c r="G2330" s="7" cm="1">
        <f t="array" ref="G2330">SUMPRODUCT(("SUP_WSTBIO"=[1]OUT_SyntheticFuels!$C$4:$C$1000)*1,("var_ncap"=[1]OUT_SyntheticFuels!$B$4:$B$1000)*1,[1]OUT_SyntheticFuels!F$4:F$1000)</f>
        <v>1.2575578926263899E-2</v>
      </c>
      <c r="H2330" s="7" cm="1">
        <f t="array" ref="H2330">SUMPRODUCT(("SUP_WSTBIO"=[1]OUT_SyntheticFuels!$C$4:$C$1000)*1,("var_ncap"=[1]OUT_SyntheticFuels!$B$4:$B$1000)*1,[1]OUT_SyntheticFuels!G$4:G$1000)</f>
        <v>1.2869272269533599E-7</v>
      </c>
      <c r="I2330" s="7" cm="1">
        <f t="array" ref="I2330">SUMPRODUCT(("SUP_WSTBIO"=[1]OUT_SyntheticFuels!$C$4:$C$1000)*1,("var_ncap"=[1]OUT_SyntheticFuels!$B$4:$B$1000)*1,[1]OUT_SyntheticFuels!H$4:H$1000)</f>
        <v>7.2849170467295499E-2</v>
      </c>
      <c r="J2330" s="7" cm="1">
        <f t="array" ref="J2330">SUMPRODUCT(("SUP_WSTBIO"=[1]OUT_SyntheticFuels!$C$4:$C$1000)*1,("var_ncap"=[1]OUT_SyntheticFuels!$B$4:$B$1000)*1,[1]OUT_SyntheticFuels!I$4:I$1000)</f>
        <v>0.116853989827453</v>
      </c>
      <c r="K2330" s="7" cm="1">
        <f t="array" ref="K2330">SUMPRODUCT(("SUP_WSTBIO"=[1]OUT_SyntheticFuels!$C$4:$C$1000)*1,("var_ncap"=[1]OUT_SyntheticFuels!$B$4:$B$1000)*1,[1]OUT_SyntheticFuels!J$4:J$1000)</f>
        <v>1.8836091582414501E-2</v>
      </c>
      <c r="L2330" s="7" cm="1">
        <f t="array" ref="L2330">SUMPRODUCT(("SUP_WSTBIO"=[1]OUT_SyntheticFuels!$C$4:$C$1000)*1,("var_ncap"=[1]OUT_SyntheticFuels!$B$4:$B$1000)*1,[1]OUT_SyntheticFuels!K$4:K$1000)</f>
        <v>0.16276779690608301</v>
      </c>
      <c r="M2330" s="7" cm="1">
        <f t="array" ref="M2330">SUMPRODUCT(("SUP_WSTBIO"=[1]OUT_SyntheticFuels!$C$4:$C$1000)*1,("var_ncap"=[1]OUT_SyntheticFuels!$B$4:$B$1000)*1,[1]OUT_SyntheticFuels!L$4:L$1000)</f>
        <v>7.3453159012990696E-2</v>
      </c>
      <c r="N2330" s="7" cm="1">
        <f t="array" ref="N2330">SUMPRODUCT(("SUP_WSTBIO"=[1]OUT_SyntheticFuels!$C$4:$C$1000)*1,("var_ncap"=[1]OUT_SyntheticFuels!$B$4:$B$1000)*1,[1]OUT_SyntheticFuels!M$4:M$1000)</f>
        <v>0.101349038487626</v>
      </c>
      <c r="O2330" s="7" cm="1">
        <f t="array" ref="O2330">SUMPRODUCT(("SUP_WSTBIO"=[1]OUT_SyntheticFuels!$C$4:$C$1000)*1,("var_ncap"=[1]OUT_SyntheticFuels!$B$4:$B$1000)*1,[1]OUT_SyntheticFuels!N$4:N$1000)</f>
        <v>5.8129268302564902E-2</v>
      </c>
      <c r="P2330" s="7" cm="1">
        <f t="array" ref="P2330">SUMPRODUCT(("SUP_WSTBIO"=[1]OUT_SyntheticFuels!$C$4:$C$1000)*1,("var_ncap"=[1]OUT_SyntheticFuels!$B$4:$B$1000)*1,[1]OUT_SyntheticFuels!O$4:O$1000)</f>
        <v>0.16907481443436601</v>
      </c>
      <c r="Q2330" s="7" cm="1">
        <f t="array" ref="Q2330">SUMPRODUCT(("SUP_WSTBIO"=[1]OUT_SyntheticFuels!$C$4:$C$1000)*1,("var_ncap"=[1]OUT_SyntheticFuels!$B$4:$B$1000)*1,[1]OUT_SyntheticFuels!P$4:P$1000)</f>
        <v>7.9749071994600101E-2</v>
      </c>
      <c r="S2330" s="3"/>
    </row>
    <row r="2331" spans="2:19" x14ac:dyDescent="0.5">
      <c r="B2331" s="5" t="str">
        <f t="shared" si="2319"/>
        <v>SPS1</v>
      </c>
      <c r="C2331" s="5" t="str">
        <f t="shared" si="2320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SUMPRODUCT(("SUP_WSTBIOCCS"=[1]OUT_SyntheticFuels!$C$4:$C$1000)*1,("var_ncap"=[1]OUT_SyntheticFuels!$B$4:$B$1000)*1,[1]OUT_SyntheticFuels!I$4:I$1000)</f>
        <v>0</v>
      </c>
      <c r="K2331" s="7" cm="1">
        <f t="array" ref="K2331">SUMPRODUCT(("SUP_WSTBIOCCS"=[1]OUT_SyntheticFuels!$C$4:$C$1000)*1,("var_ncap"=[1]OUT_SyntheticFuels!$B$4:$B$1000)*1,[1]OUT_SyntheticFuels!J$4:J$1000)</f>
        <v>0</v>
      </c>
      <c r="L2331" s="7" cm="1">
        <f t="array" ref="L2331">SUMPRODUCT(("SUP_WSTBIOCCS"=[1]OUT_SyntheticFuels!$C$4:$C$1000)*1,("var_ncap"=[1]OUT_SyntheticFuels!$B$4:$B$1000)*1,[1]OUT_SyntheticFuels!K$4:K$1000)</f>
        <v>0</v>
      </c>
      <c r="M2331" s="7" cm="1">
        <f t="array" ref="M2331">SUMPRODUCT(("SUP_WSTBIOCCS"=[1]OUT_SyntheticFuels!$C$4:$C$1000)*1,("var_ncap"=[1]OUT_SyntheticFuels!$B$4:$B$1000)*1,[1]OUT_SyntheticFuels!L$4:L$1000)</f>
        <v>0</v>
      </c>
      <c r="N2331" s="7" cm="1">
        <f t="array" ref="N2331">SUMPRODUCT(("SUP_WSTBIOCCS"=[1]OUT_SyntheticFuels!$C$4:$C$1000)*1,("var_ncap"=[1]OUT_SyntheticFuels!$B$4:$B$1000)*1,[1]OUT_SyntheticFuels!M$4:M$1000)</f>
        <v>0</v>
      </c>
      <c r="O2331" s="7" cm="1">
        <f t="array" ref="O2331">SUMPRODUCT(("SUP_WSTBIOCCS"=[1]OUT_SyntheticFuels!$C$4:$C$1000)*1,("var_ncap"=[1]OUT_SyntheticFuels!$B$4:$B$1000)*1,[1]OUT_SyntheticFuels!N$4:N$1000)</f>
        <v>0</v>
      </c>
      <c r="P2331" s="7" cm="1">
        <f t="array" ref="P2331">SUMPRODUCT(("SUP_WSTBIOCCS"=[1]OUT_SyntheticFuels!$C$4:$C$1000)*1,("var_ncap"=[1]OUT_SyntheticFuels!$B$4:$B$1000)*1,[1]OUT_SyntheticFuels!O$4:O$1000)</f>
        <v>0</v>
      </c>
      <c r="Q2331" s="7" cm="1">
        <f t="array" ref="Q2331">SUMPRODUCT(("SUP_WSTBIOCCS"=[1]OUT_SyntheticFuels!$C$4:$C$1000)*1,("var_ncap"=[1]OUT_SyntheticFuels!$B$4:$B$1000)*1,[1]OUT_SyntheticFuels!P$4:P$1000)</f>
        <v>0</v>
      </c>
      <c r="S2331" s="3"/>
    </row>
    <row r="2332" spans="2:19" x14ac:dyDescent="0.5">
      <c r="B2332" s="5" t="str">
        <f t="shared" si="2319"/>
        <v>SPS1</v>
      </c>
      <c r="C2332" s="5" t="str">
        <f t="shared" si="2320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SUMPRODUCT(("SUP_WSTHTGBIO"=[1]OUT_SyntheticFuels!$C$4:$C$1000)*1,("var_ncap"=[1]OUT_SyntheticFuels!$B$4:$B$1000)*1,[1]OUT_SyntheticFuels!I$4:I$1000)</f>
        <v>0</v>
      </c>
      <c r="K2332" s="7" cm="1">
        <f t="array" ref="K2332">SUMPRODUCT(("SUP_WSTHTGBIO"=[1]OUT_SyntheticFuels!$C$4:$C$1000)*1,("var_ncap"=[1]OUT_SyntheticFuels!$B$4:$B$1000)*1,[1]OUT_SyntheticFuels!J$4:J$1000)</f>
        <v>7.5061976914239904E-6</v>
      </c>
      <c r="L2332" s="7" cm="1">
        <f t="array" ref="L2332">SUMPRODUCT(("SUP_WSTHTGBIO"=[1]OUT_SyntheticFuels!$C$4:$C$1000)*1,("var_ncap"=[1]OUT_SyntheticFuels!$B$4:$B$1000)*1,[1]OUT_SyntheticFuels!K$4:K$1000)</f>
        <v>1.33232112277336E-6</v>
      </c>
      <c r="M2332" s="7" cm="1">
        <f t="array" ref="M2332">SUMPRODUCT(("SUP_WSTHTGBIO"=[1]OUT_SyntheticFuels!$C$4:$C$1000)*1,("var_ncap"=[1]OUT_SyntheticFuels!$B$4:$B$1000)*1,[1]OUT_SyntheticFuels!L$4:L$1000)</f>
        <v>1.6674671432598299E-5</v>
      </c>
      <c r="N2332" s="7" cm="1">
        <f t="array" ref="N2332">SUMPRODUCT(("SUP_WSTHTGBIO"=[1]OUT_SyntheticFuels!$C$4:$C$1000)*1,("var_ncap"=[1]OUT_SyntheticFuels!$B$4:$B$1000)*1,[1]OUT_SyntheticFuels!M$4:M$1000)</f>
        <v>1.29928565865081E-7</v>
      </c>
      <c r="O2332" s="7" cm="1">
        <f t="array" ref="O2332">SUMPRODUCT(("SUP_WSTHTGBIO"=[1]OUT_SyntheticFuels!$C$4:$C$1000)*1,("var_ncap"=[1]OUT_SyntheticFuels!$B$4:$B$1000)*1,[1]OUT_SyntheticFuels!N$4:N$1000)</f>
        <v>9.49618272112692E-7</v>
      </c>
      <c r="P2332" s="7" cm="1">
        <f t="array" ref="P2332">SUMPRODUCT(("SUP_WSTHTGBIO"=[1]OUT_SyntheticFuels!$C$4:$C$1000)*1,("var_ncap"=[1]OUT_SyntheticFuels!$B$4:$B$1000)*1,[1]OUT_SyntheticFuels!O$4:O$1000)</f>
        <v>1.2884746533280799E-7</v>
      </c>
      <c r="Q2332" s="7" cm="1">
        <f t="array" ref="Q2332">SUMPRODUCT(("SUP_WSTHTGBIO"=[1]OUT_SyntheticFuels!$C$4:$C$1000)*1,("var_ncap"=[1]OUT_SyntheticFuels!$B$4:$B$1000)*1,[1]OUT_SyntheticFuels!P$4:P$1000)</f>
        <v>3.0447536927598501E-5</v>
      </c>
      <c r="S2332" s="3"/>
    </row>
    <row r="2333" spans="2:19" x14ac:dyDescent="0.5">
      <c r="B2333" s="5" t="str">
        <f t="shared" si="2319"/>
        <v>SPS1</v>
      </c>
      <c r="C2333" s="5" t="str">
        <f t="shared" si="2320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SUMPRODUCT(("SUP_WSTHTGBIOCCS"=[1]OUT_SyntheticFuels!$C$4:$C$1000)*1,("var_ncap"=[1]OUT_SyntheticFuels!$B$4:$B$1000)*1,[1]OUT_SyntheticFuels!I$4:I$1000)</f>
        <v>0</v>
      </c>
      <c r="K2333" s="7" cm="1">
        <f t="array" ref="K2333">SUMPRODUCT(("SUP_WSTHTGBIOCCS"=[1]OUT_SyntheticFuels!$C$4:$C$1000)*1,("var_ncap"=[1]OUT_SyntheticFuels!$B$4:$B$1000)*1,[1]OUT_SyntheticFuels!J$4:J$1000)</f>
        <v>2.70830506052876E-6</v>
      </c>
      <c r="L2333" s="7" cm="1">
        <f t="array" ref="L2333">SUMPRODUCT(("SUP_WSTHTGBIOCCS"=[1]OUT_SyntheticFuels!$C$4:$C$1000)*1,("var_ncap"=[1]OUT_SyntheticFuels!$B$4:$B$1000)*1,[1]OUT_SyntheticFuels!K$4:K$1000)</f>
        <v>3.2226329837099601E-7</v>
      </c>
      <c r="M2333" s="7" cm="1">
        <f t="array" ref="M2333">SUMPRODUCT(("SUP_WSTHTGBIOCCS"=[1]OUT_SyntheticFuels!$C$4:$C$1000)*1,("var_ncap"=[1]OUT_SyntheticFuels!$B$4:$B$1000)*1,[1]OUT_SyntheticFuels!L$4:L$1000)</f>
        <v>1.04319813918036E-5</v>
      </c>
      <c r="N2333" s="7" cm="1">
        <f t="array" ref="N2333">SUMPRODUCT(("SUP_WSTHTGBIOCCS"=[1]OUT_SyntheticFuels!$C$4:$C$1000)*1,("var_ncap"=[1]OUT_SyntheticFuels!$B$4:$B$1000)*1,[1]OUT_SyntheticFuels!M$4:M$1000)</f>
        <v>4.2832635947073901E-8</v>
      </c>
      <c r="O2333" s="7" cm="1">
        <f t="array" ref="O2333">SUMPRODUCT(("SUP_WSTHTGBIOCCS"=[1]OUT_SyntheticFuels!$C$4:$C$1000)*1,("var_ncap"=[1]OUT_SyntheticFuels!$B$4:$B$1000)*1,[1]OUT_SyntheticFuels!N$4:N$1000)</f>
        <v>3.72031186546113E-7</v>
      </c>
      <c r="P2333" s="7" cm="1">
        <f t="array" ref="P2333">SUMPRODUCT(("SUP_WSTHTGBIOCCS"=[1]OUT_SyntheticFuels!$C$4:$C$1000)*1,("var_ncap"=[1]OUT_SyntheticFuels!$B$4:$B$1000)*1,[1]OUT_SyntheticFuels!O$4:O$1000)</f>
        <v>1.5051888022768001E-7</v>
      </c>
      <c r="Q2333" s="7" cm="1">
        <f t="array" ref="Q2333">SUMPRODUCT(("SUP_WSTHTGBIOCCS"=[1]OUT_SyntheticFuels!$C$4:$C$1000)*1,("var_ncap"=[1]OUT_SyntheticFuels!$B$4:$B$1000)*1,[1]OUT_SyntheticFuels!P$4:P$1000)</f>
        <v>1.4100919705429001E-5</v>
      </c>
      <c r="S2333" s="3"/>
    </row>
    <row r="2334" spans="2:19" x14ac:dyDescent="0.5">
      <c r="B2334" s="5" t="str">
        <f t="shared" si="2319"/>
        <v>SPS1</v>
      </c>
      <c r="C2334" s="5" t="str">
        <f t="shared" si="2320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2.2396420781390699E-7</v>
      </c>
      <c r="G2334" s="7" cm="1">
        <f t="array" ref="G2334">SUMPRODUCT(("SUP_WODBIO"=[1]OUT_SyntheticFuels!$C$4:$C$1000)*1,("var_ncap"=[1]OUT_SyntheticFuels!$B$4:$B$1000)*1,[1]OUT_SyntheticFuels!F$4:F$1000)</f>
        <v>7.4830862243166899E-6</v>
      </c>
      <c r="H2334" s="7" cm="1">
        <f t="array" ref="H2334">SUMPRODUCT(("SUP_WODBIO"=[1]OUT_SyntheticFuels!$C$4:$C$1000)*1,("var_ncap"=[1]OUT_SyntheticFuels!$B$4:$B$1000)*1,[1]OUT_SyntheticFuels!G$4:G$1000)</f>
        <v>1.1150960530101601E-6</v>
      </c>
      <c r="I2334" s="7" cm="1">
        <f t="array" ref="I2334">SUMPRODUCT(("SUP_WODBIO"=[1]OUT_SyntheticFuels!$C$4:$C$1000)*1,("var_ncap"=[1]OUT_SyntheticFuels!$B$4:$B$1000)*1,[1]OUT_SyntheticFuels!H$4:H$1000)</f>
        <v>1.07478690977719E-5</v>
      </c>
      <c r="J2334" s="7" cm="1">
        <f t="array" ref="J2334">SUMPRODUCT(("SUP_WODBIO"=[1]OUT_SyntheticFuels!$C$4:$C$1000)*1,("var_ncap"=[1]OUT_SyntheticFuels!$B$4:$B$1000)*1,[1]OUT_SyntheticFuels!I$4:I$1000)</f>
        <v>2.7619478508780199E-6</v>
      </c>
      <c r="K2334" s="7" cm="1">
        <f t="array" ref="K2334">SUMPRODUCT(("SUP_WODBIO"=[1]OUT_SyntheticFuels!$C$4:$C$1000)*1,("var_ncap"=[1]OUT_SyntheticFuels!$B$4:$B$1000)*1,[1]OUT_SyntheticFuels!J$4:J$1000)</f>
        <v>2.7835279479384799E-7</v>
      </c>
      <c r="L2334" s="7" cm="1">
        <f t="array" ref="L2334">SUMPRODUCT(("SUP_WODBIO"=[1]OUT_SyntheticFuels!$C$4:$C$1000)*1,("var_ncap"=[1]OUT_SyntheticFuels!$B$4:$B$1000)*1,[1]OUT_SyntheticFuels!K$4:K$1000)</f>
        <v>4.8371302234608798E-6</v>
      </c>
      <c r="M2334" s="7" cm="1">
        <f t="array" ref="M2334">SUMPRODUCT(("SUP_WODBIO"=[1]OUT_SyntheticFuels!$C$4:$C$1000)*1,("var_ncap"=[1]OUT_SyntheticFuels!$B$4:$B$1000)*1,[1]OUT_SyntheticFuels!L$4:L$1000)</f>
        <v>5.2772985954518501E-6</v>
      </c>
      <c r="N2334" s="7" cm="1">
        <f t="array" ref="N2334">SUMPRODUCT(("SUP_WODBIO"=[1]OUT_SyntheticFuels!$C$4:$C$1000)*1,("var_ncap"=[1]OUT_SyntheticFuels!$B$4:$B$1000)*1,[1]OUT_SyntheticFuels!M$4:M$1000)</f>
        <v>3.0847625410058202E-7</v>
      </c>
      <c r="O2334" s="7" cm="1">
        <f t="array" ref="O2334">SUMPRODUCT(("SUP_WODBIO"=[1]OUT_SyntheticFuels!$C$4:$C$1000)*1,("var_ncap"=[1]OUT_SyntheticFuels!$B$4:$B$1000)*1,[1]OUT_SyntheticFuels!N$4:N$1000)</f>
        <v>7.0509998970019497E-6</v>
      </c>
      <c r="P2334" s="7" cm="1">
        <f t="array" ref="P2334">SUMPRODUCT(("SUP_WODBIO"=[1]OUT_SyntheticFuels!$C$4:$C$1000)*1,("var_ncap"=[1]OUT_SyntheticFuels!$B$4:$B$1000)*1,[1]OUT_SyntheticFuels!O$4:O$1000)</f>
        <v>1.8454531259555699E-6</v>
      </c>
      <c r="Q2334" s="7" cm="1">
        <f t="array" ref="Q2334">SUMPRODUCT(("SUP_WODBIO"=[1]OUT_SyntheticFuels!$C$4:$C$1000)*1,("var_ncap"=[1]OUT_SyntheticFuels!$B$4:$B$1000)*1,[1]OUT_SyntheticFuels!P$4:P$1000)</f>
        <v>2.4455610483473099E-5</v>
      </c>
      <c r="S2334" s="3"/>
    </row>
    <row r="2335" spans="2:19" x14ac:dyDescent="0.5">
      <c r="B2335" s="5" t="str">
        <f t="shared" si="2319"/>
        <v>SPS1</v>
      </c>
      <c r="C2335" s="5" t="str">
        <f t="shared" si="2320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SUMPRODUCT(("SUP_WODBIOCCS"=[1]OUT_SyntheticFuels!$C$4:$C$1000)*1,("var_ncap"=[1]OUT_SyntheticFuels!$B$4:$B$1000)*1,[1]OUT_SyntheticFuels!I$4:I$1000)</f>
        <v>0</v>
      </c>
      <c r="K2335" s="7" cm="1">
        <f t="array" ref="K2335">SUMPRODUCT(("SUP_WODBIOCCS"=[1]OUT_SyntheticFuels!$C$4:$C$1000)*1,("var_ncap"=[1]OUT_SyntheticFuels!$B$4:$B$1000)*1,[1]OUT_SyntheticFuels!J$4:J$1000)</f>
        <v>7.7468359144707298E-6</v>
      </c>
      <c r="L2335" s="7" cm="1">
        <f t="array" ref="L2335">SUMPRODUCT(("SUP_WODBIOCCS"=[1]OUT_SyntheticFuels!$C$4:$C$1000)*1,("var_ncap"=[1]OUT_SyntheticFuels!$B$4:$B$1000)*1,[1]OUT_SyntheticFuels!K$4:K$1000)</f>
        <v>1.7941361695463201E-6</v>
      </c>
      <c r="M2335" s="7" cm="1">
        <f t="array" ref="M2335">SUMPRODUCT(("SUP_WODBIOCCS"=[1]OUT_SyntheticFuels!$C$4:$C$1000)*1,("var_ncap"=[1]OUT_SyntheticFuels!$B$4:$B$1000)*1,[1]OUT_SyntheticFuels!L$4:L$1000)</f>
        <v>8.6195647867677705E-6</v>
      </c>
      <c r="N2335" s="7" cm="1">
        <f t="array" ref="N2335">SUMPRODUCT(("SUP_WODBIOCCS"=[1]OUT_SyntheticFuels!$C$4:$C$1000)*1,("var_ncap"=[1]OUT_SyntheticFuels!$B$4:$B$1000)*1,[1]OUT_SyntheticFuels!M$4:M$1000)</f>
        <v>8.58149624041711E-8</v>
      </c>
      <c r="O2335" s="7" cm="1">
        <f t="array" ref="O2335">SUMPRODUCT(("SUP_WODBIOCCS"=[1]OUT_SyntheticFuels!$C$4:$C$1000)*1,("var_ncap"=[1]OUT_SyntheticFuels!$B$4:$B$1000)*1,[1]OUT_SyntheticFuels!N$4:N$1000)</f>
        <v>8.2726615849361603E-6</v>
      </c>
      <c r="P2335" s="7" cm="1">
        <f t="array" ref="P2335">SUMPRODUCT(("SUP_WODBIOCCS"=[1]OUT_SyntheticFuels!$C$4:$C$1000)*1,("var_ncap"=[1]OUT_SyntheticFuels!$B$4:$B$1000)*1,[1]OUT_SyntheticFuels!O$4:O$1000)</f>
        <v>3.10549639447645E-7</v>
      </c>
      <c r="Q2335" s="7" cm="1">
        <f t="array" ref="Q2335">SUMPRODUCT(("SUP_WODBIOCCS"=[1]OUT_SyntheticFuels!$C$4:$C$1000)*1,("var_ncap"=[1]OUT_SyntheticFuels!$B$4:$B$1000)*1,[1]OUT_SyntheticFuels!P$4:P$1000)</f>
        <v>2.2109629724867E-5</v>
      </c>
      <c r="S2335" s="3"/>
    </row>
    <row r="2336" spans="2:19" x14ac:dyDescent="0.5">
      <c r="B2336" s="5" t="str">
        <f t="shared" si="2319"/>
        <v>SPS1</v>
      </c>
      <c r="C2336" s="5" t="str">
        <f t="shared" si="2320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1.43191407650766E-2</v>
      </c>
      <c r="G2336" s="7" cm="1">
        <f t="array" ref="G2336">SUMPRODUCT(("SUP_BIONGA"=[1]OUT_SyntheticFuels!$C$4:$C$1000)*1,("var_ncap"=[1]OUT_SyntheticFuels!$B$4:$B$1000)*1,[1]OUT_SyntheticFuels!F$4:F$1000)</f>
        <v>7.7887291226811095E-2</v>
      </c>
      <c r="H2336" s="7" cm="1">
        <f t="array" ref="H2336">SUMPRODUCT(("SUP_BIONGA"=[1]OUT_SyntheticFuels!$C$4:$C$1000)*1,("var_ncap"=[1]OUT_SyntheticFuels!$B$4:$B$1000)*1,[1]OUT_SyntheticFuels!G$4:G$1000)</f>
        <v>7.0138610922798805E-8</v>
      </c>
      <c r="I2336" s="7" cm="1">
        <f t="array" ref="I2336">SUMPRODUCT(("SUP_BIONGA"=[1]OUT_SyntheticFuels!$C$4:$C$1000)*1,("var_ncap"=[1]OUT_SyntheticFuels!$B$4:$B$1000)*1,[1]OUT_SyntheticFuels!H$4:H$1000)</f>
        <v>7.6117913518057602E-8</v>
      </c>
      <c r="J2336" s="7" cm="1">
        <f t="array" ref="J2336">SUMPRODUCT(("SUP_BIONGA"=[1]OUT_SyntheticFuels!$C$4:$C$1000)*1,("var_ncap"=[1]OUT_SyntheticFuels!$B$4:$B$1000)*1,[1]OUT_SyntheticFuels!I$4:I$1000)</f>
        <v>4.43512495178953E-7</v>
      </c>
      <c r="K2336" s="7" cm="1">
        <f t="array" ref="K2336">SUMPRODUCT(("SUP_BIONGA"=[1]OUT_SyntheticFuels!$C$4:$C$1000)*1,("var_ncap"=[1]OUT_SyntheticFuels!$B$4:$B$1000)*1,[1]OUT_SyntheticFuels!J$4:J$1000)</f>
        <v>3.8190431628578402E-2</v>
      </c>
      <c r="L2336" s="7" cm="1">
        <f t="array" ref="L2336">SUMPRODUCT(("SUP_BIONGA"=[1]OUT_SyntheticFuels!$C$4:$C$1000)*1,("var_ncap"=[1]OUT_SyntheticFuels!$B$4:$B$1000)*1,[1]OUT_SyntheticFuels!K$4:K$1000)</f>
        <v>5.37974404578523E-2</v>
      </c>
      <c r="M2336" s="7" cm="1">
        <f t="array" ref="M2336">SUMPRODUCT(("SUP_BIONGA"=[1]OUT_SyntheticFuels!$C$4:$C$1000)*1,("var_ncap"=[1]OUT_SyntheticFuels!$B$4:$B$1000)*1,[1]OUT_SyntheticFuels!L$4:L$1000)</f>
        <v>1.39140097649242E-2</v>
      </c>
      <c r="N2336" s="7" cm="1">
        <f t="array" ref="N2336">SUMPRODUCT(("SUP_BIONGA"=[1]OUT_SyntheticFuels!$C$4:$C$1000)*1,("var_ncap"=[1]OUT_SyntheticFuels!$B$4:$B$1000)*1,[1]OUT_SyntheticFuels!M$4:M$1000)</f>
        <v>0.163101976964698</v>
      </c>
      <c r="O2336" s="7" cm="1">
        <f t="array" ref="O2336">SUMPRODUCT(("SUP_BIONGA"=[1]OUT_SyntheticFuels!$C$4:$C$1000)*1,("var_ncap"=[1]OUT_SyntheticFuels!$B$4:$B$1000)*1,[1]OUT_SyntheticFuels!N$4:N$1000)</f>
        <v>5.4319006126678802E-2</v>
      </c>
      <c r="P2336" s="7" cm="1">
        <f t="array" ref="P2336">SUMPRODUCT(("SUP_BIONGA"=[1]OUT_SyntheticFuels!$C$4:$C$1000)*1,("var_ncap"=[1]OUT_SyntheticFuels!$B$4:$B$1000)*1,[1]OUT_SyntheticFuels!O$4:O$1000)</f>
        <v>5.6588521867884801E-2</v>
      </c>
      <c r="Q2336" s="7" cm="1">
        <f t="array" ref="Q2336">SUMPRODUCT(("SUP_BIONGA"=[1]OUT_SyntheticFuels!$C$4:$C$1000)*1,("var_ncap"=[1]OUT_SyntheticFuels!$B$4:$B$1000)*1,[1]OUT_SyntheticFuels!P$4:P$1000)</f>
        <v>1.67158386269519E-2</v>
      </c>
      <c r="S2336" s="3"/>
    </row>
    <row r="2337" spans="2:19" x14ac:dyDescent="0.5">
      <c r="B2337" s="5" t="str">
        <f t="shared" si="2319"/>
        <v>SPS1</v>
      </c>
      <c r="C2337" s="5" t="str">
        <f t="shared" si="2320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0.161126616237979</v>
      </c>
      <c r="G2337" s="7" cm="1">
        <f t="array" ref="G2337">SUMPRODUCT(("CT_CWODPLT"=[1]OUT_SyntheticFuels!$C$4:$C$1000)*1,("var_ncap"=[1]OUT_SyntheticFuels!$B$4:$B$1000)*1,[1]OUT_SyntheticFuels!F$4:F$1000)</f>
        <v>4.72836998757011E-2</v>
      </c>
      <c r="H2337" s="7" cm="1">
        <f t="array" ref="H2337">SUMPRODUCT(("CT_CWODPLT"=[1]OUT_SyntheticFuels!$C$4:$C$1000)*1,("var_ncap"=[1]OUT_SyntheticFuels!$B$4:$B$1000)*1,[1]OUT_SyntheticFuels!G$4:G$1000)</f>
        <v>8.4464538308197904E-7</v>
      </c>
      <c r="I2337" s="7" cm="1">
        <f t="array" ref="I2337">SUMPRODUCT(("CT_CWODPLT"=[1]OUT_SyntheticFuels!$C$4:$C$1000)*1,("var_ncap"=[1]OUT_SyntheticFuels!$B$4:$B$1000)*1,[1]OUT_SyntheticFuels!H$4:H$1000)</f>
        <v>3.3296332612587801E-6</v>
      </c>
      <c r="J2337" s="7" cm="1">
        <f t="array" ref="J2337">SUMPRODUCT(("CT_CWODPLT"=[1]OUT_SyntheticFuels!$C$4:$C$1000)*1,("var_ncap"=[1]OUT_SyntheticFuels!$B$4:$B$1000)*1,[1]OUT_SyntheticFuels!I$4:I$1000)</f>
        <v>0.17106055964429301</v>
      </c>
      <c r="K2337" s="7" cm="1">
        <f t="array" ref="K2337">SUMPRODUCT(("CT_CWODPLT"=[1]OUT_SyntheticFuels!$C$4:$C$1000)*1,("var_ncap"=[1]OUT_SyntheticFuels!$B$4:$B$1000)*1,[1]OUT_SyntheticFuels!J$4:J$1000)</f>
        <v>0.18829152255308201</v>
      </c>
      <c r="L2337" s="7" cm="1">
        <f t="array" ref="L2337">SUMPRODUCT(("CT_CWODPLT"=[1]OUT_SyntheticFuels!$C$4:$C$1000)*1,("var_ncap"=[1]OUT_SyntheticFuels!$B$4:$B$1000)*1,[1]OUT_SyntheticFuels!K$4:K$1000)</f>
        <v>0.10932484500242599</v>
      </c>
      <c r="M2337" s="7" cm="1">
        <f t="array" ref="M2337">SUMPRODUCT(("CT_CWODPLT"=[1]OUT_SyntheticFuels!$C$4:$C$1000)*1,("var_ncap"=[1]OUT_SyntheticFuels!$B$4:$B$1000)*1,[1]OUT_SyntheticFuels!L$4:L$1000)</f>
        <v>1.7344382771661799E-2</v>
      </c>
      <c r="N2337" s="7" cm="1">
        <f t="array" ref="N2337">SUMPRODUCT(("CT_CWODPLT"=[1]OUT_SyntheticFuels!$C$4:$C$1000)*1,("var_ncap"=[1]OUT_SyntheticFuels!$B$4:$B$1000)*1,[1]OUT_SyntheticFuels!M$4:M$1000)</f>
        <v>9.7947996966803702E-2</v>
      </c>
      <c r="O2337" s="7" cm="1">
        <f t="array" ref="O2337">SUMPRODUCT(("CT_CWODPLT"=[1]OUT_SyntheticFuels!$C$4:$C$1000)*1,("var_ncap"=[1]OUT_SyntheticFuels!$B$4:$B$1000)*1,[1]OUT_SyntheticFuels!N$4:N$1000)</f>
        <v>0.227200191544288</v>
      </c>
      <c r="P2337" s="7" cm="1">
        <f t="array" ref="P2337">SUMPRODUCT(("CT_CWODPLT"=[1]OUT_SyntheticFuels!$C$4:$C$1000)*1,("var_ncap"=[1]OUT_SyntheticFuels!$B$4:$B$1000)*1,[1]OUT_SyntheticFuels!O$4:O$1000)</f>
        <v>0.10993766317195899</v>
      </c>
      <c r="Q2337" s="7" cm="1">
        <f t="array" ref="Q2337">SUMPRODUCT(("CT_CWODPLT"=[1]OUT_SyntheticFuels!$C$4:$C$1000)*1,("var_ncap"=[1]OUT_SyntheticFuels!$B$4:$B$1000)*1,[1]OUT_SyntheticFuels!P$4:P$1000)</f>
        <v>8.1683312572867692E-3</v>
      </c>
      <c r="S2337" s="3"/>
    </row>
    <row r="2338" spans="2:19" x14ac:dyDescent="0.5">
      <c r="B2338" s="5" t="str">
        <f t="shared" si="2319"/>
        <v>SPS1</v>
      </c>
      <c r="C2338" s="5" t="str">
        <f t="shared" si="2320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1.8031744784585901E-7</v>
      </c>
      <c r="J2338" s="7" cm="1">
        <f t="array" ref="J2338">SUMPRODUCT(("SUP_H2NGA"=[1]OUT_SyntheticFuels!$C$4:$C$1000)*1,("var_ncap"=[1]OUT_SyntheticFuels!$B$4:$B$1000)*1,[1]OUT_SyntheticFuels!I$4:I$1000)</f>
        <v>7.5486871829696498E-7</v>
      </c>
      <c r="K2338" s="7" cm="1">
        <f t="array" ref="K2338">SUMPRODUCT(("SUP_H2NGA"=[1]OUT_SyntheticFuels!$C$4:$C$1000)*1,("var_ncap"=[1]OUT_SyntheticFuels!$B$4:$B$1000)*1,[1]OUT_SyntheticFuels!J$4:J$1000)</f>
        <v>4.3814421562704E-5</v>
      </c>
      <c r="L2338" s="7" cm="1">
        <f t="array" ref="L2338">SUMPRODUCT(("SUP_H2NGA"=[1]OUT_SyntheticFuels!$C$4:$C$1000)*1,("var_ncap"=[1]OUT_SyntheticFuels!$B$4:$B$1000)*1,[1]OUT_SyntheticFuels!K$4:K$1000)</f>
        <v>2.1818780112962301E-6</v>
      </c>
      <c r="M2338" s="7" cm="1">
        <f t="array" ref="M2338">SUMPRODUCT(("SUP_H2NGA"=[1]OUT_SyntheticFuels!$C$4:$C$1000)*1,("var_ncap"=[1]OUT_SyntheticFuels!$B$4:$B$1000)*1,[1]OUT_SyntheticFuels!L$4:L$1000)</f>
        <v>2.36744559865712E-4</v>
      </c>
      <c r="N2338" s="7" cm="1">
        <f t="array" ref="N2338">SUMPRODUCT(("SUP_H2NGA"=[1]OUT_SyntheticFuels!$C$4:$C$1000)*1,("var_ncap"=[1]OUT_SyntheticFuels!$B$4:$B$1000)*1,[1]OUT_SyntheticFuels!M$4:M$1000)</f>
        <v>0.18121205376201299</v>
      </c>
      <c r="O2338" s="7" cm="1">
        <f t="array" ref="O2338">SUMPRODUCT(("SUP_H2NGA"=[1]OUT_SyntheticFuels!$C$4:$C$1000)*1,("var_ncap"=[1]OUT_SyntheticFuels!$B$4:$B$1000)*1,[1]OUT_SyntheticFuels!N$4:N$1000)</f>
        <v>0.47821905315209301</v>
      </c>
      <c r="P2338" s="7" cm="1">
        <f t="array" ref="P2338">SUMPRODUCT(("SUP_H2NGA"=[1]OUT_SyntheticFuels!$C$4:$C$1000)*1,("var_ncap"=[1]OUT_SyntheticFuels!$B$4:$B$1000)*1,[1]OUT_SyntheticFuels!O$4:O$1000)</f>
        <v>0.22713955300234401</v>
      </c>
      <c r="Q2338" s="7" cm="1">
        <f t="array" ref="Q2338">SUMPRODUCT(("SUP_H2NGA"=[1]OUT_SyntheticFuels!$C$4:$C$1000)*1,("var_ncap"=[1]OUT_SyntheticFuels!$B$4:$B$1000)*1,[1]OUT_SyntheticFuels!P$4:P$1000)</f>
        <v>2.7323324891577301E-2</v>
      </c>
      <c r="S2338" s="3"/>
    </row>
    <row r="2339" spans="2:19" x14ac:dyDescent="0.5">
      <c r="B2339" s="5" t="str">
        <f t="shared" si="2319"/>
        <v>SPS1</v>
      </c>
      <c r="C2339" s="5" t="str">
        <f t="shared" si="2320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3.76609197117125E-7</v>
      </c>
      <c r="J2339" s="7" cm="1">
        <f t="array" ref="J2339">SUMPRODUCT(("SUP_H2DSL"=[1]OUT_SyntheticFuels!$C$4:$C$1000)*1,("var_ncap"=[1]OUT_SyntheticFuels!$B$4:$B$1000)*1,[1]OUT_SyntheticFuels!I$4:I$1000)</f>
        <v>2.1127201165449698E-6</v>
      </c>
      <c r="K2339" s="7" cm="1">
        <f t="array" ref="K2339">SUMPRODUCT(("SUP_H2DSL"=[1]OUT_SyntheticFuels!$C$4:$C$1000)*1,("var_ncap"=[1]OUT_SyntheticFuels!$B$4:$B$1000)*1,[1]OUT_SyntheticFuels!J$4:J$1000)</f>
        <v>2.35674268651048E-4</v>
      </c>
      <c r="L2339" s="7" cm="1">
        <f t="array" ref="L2339">SUMPRODUCT(("SUP_H2DSL"=[1]OUT_SyntheticFuels!$C$4:$C$1000)*1,("var_ncap"=[1]OUT_SyntheticFuels!$B$4:$B$1000)*1,[1]OUT_SyntheticFuels!K$4:K$1000)</f>
        <v>1.06607645058605E-6</v>
      </c>
      <c r="M2339" s="7" cm="1">
        <f t="array" ref="M2339">SUMPRODUCT(("SUP_H2DSL"=[1]OUT_SyntheticFuels!$C$4:$C$1000)*1,("var_ncap"=[1]OUT_SyntheticFuels!$B$4:$B$1000)*1,[1]OUT_SyntheticFuels!L$4:L$1000)</f>
        <v>1.90015590352334E-6</v>
      </c>
      <c r="N2339" s="7" cm="1">
        <f t="array" ref="N2339">SUMPRODUCT(("SUP_H2DSL"=[1]OUT_SyntheticFuels!$C$4:$C$1000)*1,("var_ncap"=[1]OUT_SyntheticFuels!$B$4:$B$1000)*1,[1]OUT_SyntheticFuels!M$4:M$1000)</f>
        <v>1.5477804340585899E-6</v>
      </c>
      <c r="O2339" s="7" cm="1">
        <f t="array" ref="O2339">SUMPRODUCT(("SUP_H2DSL"=[1]OUT_SyntheticFuels!$C$4:$C$1000)*1,("var_ncap"=[1]OUT_SyntheticFuels!$B$4:$B$1000)*1,[1]OUT_SyntheticFuels!N$4:N$1000)</f>
        <v>1.25415392985887E-4</v>
      </c>
      <c r="P2339" s="7" cm="1">
        <f t="array" ref="P2339">SUMPRODUCT(("SUP_H2DSL"=[1]OUT_SyntheticFuels!$C$4:$C$1000)*1,("var_ncap"=[1]OUT_SyntheticFuels!$B$4:$B$1000)*1,[1]OUT_SyntheticFuels!O$4:O$1000)</f>
        <v>2.7171701402194901E-6</v>
      </c>
      <c r="Q2339" s="7" cm="1">
        <f t="array" ref="Q2339">SUMPRODUCT(("SUP_H2DSL"=[1]OUT_SyntheticFuels!$C$4:$C$1000)*1,("var_ncap"=[1]OUT_SyntheticFuels!$B$4:$B$1000)*1,[1]OUT_SyntheticFuels!P$4:P$1000)</f>
        <v>1.1782963168946101E-4</v>
      </c>
      <c r="S2339" s="3"/>
    </row>
    <row r="2340" spans="2:19" x14ac:dyDescent="0.5">
      <c r="B2340" s="5" t="str">
        <f t="shared" si="2319"/>
        <v>SPS1</v>
      </c>
      <c r="C2340" s="5" t="str">
        <f t="shared" si="2320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1.9025985072854701E-7</v>
      </c>
      <c r="J2340" s="7" cm="1">
        <f t="array" ref="J2340">SUMPRODUCT(("SUP_H2GSL"=[1]OUT_SyntheticFuels!$C$4:$C$1000)*1,("var_ncap"=[1]OUT_SyntheticFuels!$B$4:$B$1000)*1,[1]OUT_SyntheticFuels!I$4:I$1000)</f>
        <v>1.89387007460332E-6</v>
      </c>
      <c r="K2340" s="7" cm="1">
        <f t="array" ref="K2340">SUMPRODUCT(("SUP_H2GSL"=[1]OUT_SyntheticFuels!$C$4:$C$1000)*1,("var_ncap"=[1]OUT_SyntheticFuels!$B$4:$B$1000)*1,[1]OUT_SyntheticFuels!J$4:J$1000)</f>
        <v>2.1721611129197401E-2</v>
      </c>
      <c r="L2340" s="7" cm="1">
        <f t="array" ref="L2340">SUMPRODUCT(("SUP_H2GSL"=[1]OUT_SyntheticFuels!$C$4:$C$1000)*1,("var_ncap"=[1]OUT_SyntheticFuels!$B$4:$B$1000)*1,[1]OUT_SyntheticFuels!K$4:K$1000)</f>
        <v>9.0238795764531001E-7</v>
      </c>
      <c r="M2340" s="7" cm="1">
        <f t="array" ref="M2340">SUMPRODUCT(("SUP_H2GSL"=[1]OUT_SyntheticFuels!$C$4:$C$1000)*1,("var_ncap"=[1]OUT_SyntheticFuels!$B$4:$B$1000)*1,[1]OUT_SyntheticFuels!L$4:L$1000)</f>
        <v>2.79852466076562E-6</v>
      </c>
      <c r="N2340" s="7" cm="1">
        <f t="array" ref="N2340">SUMPRODUCT(("SUP_H2GSL"=[1]OUT_SyntheticFuels!$C$4:$C$1000)*1,("var_ncap"=[1]OUT_SyntheticFuels!$B$4:$B$1000)*1,[1]OUT_SyntheticFuels!M$4:M$1000)</f>
        <v>1.26106379340478E-6</v>
      </c>
      <c r="O2340" s="7" cm="1">
        <f t="array" ref="O2340">SUMPRODUCT(("SUP_H2GSL"=[1]OUT_SyntheticFuels!$C$4:$C$1000)*1,("var_ncap"=[1]OUT_SyntheticFuels!$B$4:$B$1000)*1,[1]OUT_SyntheticFuels!N$4:N$1000)</f>
        <v>1.0136422617769101E-2</v>
      </c>
      <c r="P2340" s="7" cm="1">
        <f t="array" ref="P2340">SUMPRODUCT(("SUP_H2GSL"=[1]OUT_SyntheticFuels!$C$4:$C$1000)*1,("var_ncap"=[1]OUT_SyntheticFuels!$B$4:$B$1000)*1,[1]OUT_SyntheticFuels!O$4:O$1000)</f>
        <v>1.9174273333963699E-6</v>
      </c>
      <c r="Q2340" s="7" cm="1">
        <f t="array" ref="Q2340">SUMPRODUCT(("SUP_H2GSL"=[1]OUT_SyntheticFuels!$C$4:$C$1000)*1,("var_ncap"=[1]OUT_SyntheticFuels!$B$4:$B$1000)*1,[1]OUT_SyntheticFuels!P$4:P$1000)</f>
        <v>1.40717217293266E-5</v>
      </c>
      <c r="S2340" s="3"/>
    </row>
  </sheetData>
  <sortState xmlns:xlrd2="http://schemas.microsoft.com/office/spreadsheetml/2017/richdata2" ref="D1574:D1576">
    <sortCondition ref="D1574:D1576"/>
  </sortState>
  <phoneticPr fontId="3" type="noConversion"/>
  <conditionalFormatting sqref="F736:G736">
    <cfRule type="cellIs" dxfId="3" priority="1" operator="lessThan">
      <formula>0</formula>
    </cfRule>
  </conditionalFormatting>
  <conditionalFormatting sqref="F908:G908">
    <cfRule type="cellIs" dxfId="2" priority="5" operator="lessThan">
      <formula>0</formula>
    </cfRule>
  </conditionalFormatting>
  <conditionalFormatting sqref="F1158:Q1158">
    <cfRule type="cellIs" dxfId="1" priority="7" operator="lessThan">
      <formula>0</formula>
    </cfRule>
  </conditionalFormatting>
  <conditionalFormatting sqref="H1:Q113 S2:S2340 H131:Q1205 R224 T224 H1208:Q1343 H1346:Q1427 H1430:Q1569 H1572:Q1616 H1619:Q2340 H2341:L1048576">
    <cfRule type="cellIs" dxfId="0" priority="3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75" x14ac:dyDescent="0.5"/>
  <cols>
    <col min="2" max="2" width="36.5625" bestFit="1" customWidth="1"/>
    <col min="3" max="3" width="9.4375" bestFit="1" customWidth="1"/>
  </cols>
  <sheetData>
    <row r="2" spans="2:8" x14ac:dyDescent="0.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5">
      <c r="B3" s="2" t="s">
        <v>1719</v>
      </c>
      <c r="C3" s="3">
        <f>SUM(C4:C7)</f>
        <v>695.74708455855432</v>
      </c>
      <c r="D3" s="3">
        <f t="shared" ref="D3:H3" si="0">SUM(D4:D7)</f>
        <v>686.39208085048529</v>
      </c>
      <c r="E3" s="3">
        <f t="shared" si="0"/>
        <v>685.25404483800162</v>
      </c>
      <c r="F3" s="3">
        <f t="shared" si="0"/>
        <v>629.320170098934</v>
      </c>
      <c r="G3" s="3">
        <f t="shared" si="0"/>
        <v>585.91565899257478</v>
      </c>
      <c r="H3" s="3">
        <f t="shared" si="0"/>
        <v>564.6849408534174</v>
      </c>
    </row>
    <row r="4" spans="2:8" x14ac:dyDescent="0.5">
      <c r="B4" s="23" t="s">
        <v>1727</v>
      </c>
      <c r="C4" s="1">
        <f>'SPS1'!F763</f>
        <v>142.21737182712599</v>
      </c>
      <c r="D4" s="1">
        <f>'SPS1'!G763</f>
        <v>141.17229316779188</v>
      </c>
      <c r="E4" s="1">
        <f>'SPS1'!H763</f>
        <v>142.66341140815311</v>
      </c>
      <c r="F4" s="1">
        <f>'SPS1'!I763</f>
        <v>144.09137962518494</v>
      </c>
      <c r="G4" s="1">
        <f>'SPS1'!J763</f>
        <v>142.65913418973221</v>
      </c>
      <c r="H4" s="1">
        <f>'SPS1'!K763</f>
        <v>142.5606426768077</v>
      </c>
    </row>
    <row r="5" spans="2:8" x14ac:dyDescent="0.5">
      <c r="B5" s="23" t="s">
        <v>1728</v>
      </c>
      <c r="C5" s="1">
        <f>'SPS1'!F882</f>
        <v>140.10106361685126</v>
      </c>
      <c r="D5" s="1">
        <f>'SPS1'!G882</f>
        <v>139.80836891529506</v>
      </c>
      <c r="E5" s="1">
        <f>'SPS1'!H882</f>
        <v>142.90866856602767</v>
      </c>
      <c r="F5" s="1">
        <f>'SPS1'!I882</f>
        <v>136.33433304291981</v>
      </c>
      <c r="G5" s="1">
        <f>'SPS1'!J882</f>
        <v>133.83076831342945</v>
      </c>
      <c r="H5" s="1">
        <f>'SPS1'!K882</f>
        <v>132.69949180269825</v>
      </c>
    </row>
    <row r="6" spans="2:8" x14ac:dyDescent="0.5">
      <c r="B6" s="23" t="s">
        <v>1729</v>
      </c>
      <c r="C6" s="1">
        <f>'SPS1'!F972</f>
        <v>217.23804139978435</v>
      </c>
      <c r="D6" s="1">
        <f>'SPS1'!G972</f>
        <v>218.05686258539234</v>
      </c>
      <c r="E6" s="1">
        <f>'SPS1'!H972</f>
        <v>218.51192769661401</v>
      </c>
      <c r="F6" s="1">
        <f>'SPS1'!I972</f>
        <v>214.0261009791416</v>
      </c>
      <c r="G6" s="1">
        <f>'SPS1'!J972</f>
        <v>207.70328331334844</v>
      </c>
      <c r="H6" s="1">
        <f>'SPS1'!K972</f>
        <v>197.8470878374761</v>
      </c>
    </row>
    <row r="7" spans="2:8" x14ac:dyDescent="0.5">
      <c r="B7" s="23" t="s">
        <v>1730</v>
      </c>
      <c r="C7" s="1">
        <f>'SPS1'!F1136+'SPS1'!F1315+'SPS1'!F1399+'SPS1'!F1483+'SPS1'!F1490+'SPS1'!F1497+'SPS1'!F1546+'SPS1'!F1593+'SPS1'!F1640</f>
        <v>196.19060771479266</v>
      </c>
      <c r="D7" s="1">
        <f>'SPS1'!G1136+'SPS1'!G1315+'SPS1'!G1399+'SPS1'!G1483+'SPS1'!G1490+'SPS1'!G1497+'SPS1'!G1546+'SPS1'!G1593+'SPS1'!G1640</f>
        <v>187.35455618200601</v>
      </c>
      <c r="E7" s="1">
        <f>'SPS1'!H1136+'SPS1'!H1315+'SPS1'!H1399+'SPS1'!H1483+'SPS1'!H1490+'SPS1'!H1497+'SPS1'!H1546+'SPS1'!H1593+'SPS1'!H1640</f>
        <v>181.17003716720677</v>
      </c>
      <c r="F7" s="1">
        <f>'SPS1'!I1136+'SPS1'!I1315+'SPS1'!I1399+'SPS1'!I1483+'SPS1'!I1490+'SPS1'!I1497+'SPS1'!I1546+'SPS1'!I1593+'SPS1'!I1640</f>
        <v>134.86835645168762</v>
      </c>
      <c r="G7" s="1">
        <f>'SPS1'!J1136+'SPS1'!J1315+'SPS1'!J1399+'SPS1'!J1483+'SPS1'!J1490+'SPS1'!J1497+'SPS1'!J1546+'SPS1'!J1593+'SPS1'!J1640</f>
        <v>101.72247317606464</v>
      </c>
      <c r="H7" s="1">
        <f>'SPS1'!K1136+'SPS1'!K1315+'SPS1'!K1399+'SPS1'!K1483+'SPS1'!K1490+'SPS1'!K1497+'SPS1'!K1546+'SPS1'!K1593+'SPS1'!K1640</f>
        <v>91.577718536435356</v>
      </c>
    </row>
    <row r="8" spans="2:8" x14ac:dyDescent="0.5">
      <c r="B8" s="2" t="s">
        <v>1735</v>
      </c>
      <c r="C8" s="3">
        <f>SUM(C9:C12)</f>
        <v>509.54620253527185</v>
      </c>
      <c r="D8" s="3">
        <f t="shared" ref="D8:H8" si="1">SUM(D9:D12)</f>
        <v>497.69870924186296</v>
      </c>
      <c r="E8" s="3">
        <f t="shared" si="1"/>
        <v>505.75788890302601</v>
      </c>
      <c r="F8" s="3">
        <f t="shared" si="1"/>
        <v>539.9206935831935</v>
      </c>
      <c r="G8" s="3">
        <f t="shared" si="1"/>
        <v>552.04833538058676</v>
      </c>
      <c r="H8" s="3">
        <f t="shared" si="1"/>
        <v>477.22250003584622</v>
      </c>
    </row>
    <row r="9" spans="2:8" x14ac:dyDescent="0.5">
      <c r="B9" s="23" t="s">
        <v>1732</v>
      </c>
      <c r="C9" s="1">
        <f>'SPS1'!F291+'SPS1'!F409</f>
        <v>493.2377355134584</v>
      </c>
      <c r="D9" s="1">
        <f>'SPS1'!G291+'SPS1'!G409</f>
        <v>475.47530400085986</v>
      </c>
      <c r="E9" s="1">
        <f>'SPS1'!H291+'SPS1'!H409</f>
        <v>481.23372264089465</v>
      </c>
      <c r="F9" s="1">
        <f>'SPS1'!I291+'SPS1'!I409</f>
        <v>517.1194232611889</v>
      </c>
      <c r="G9" s="1">
        <f>'SPS1'!J291+'SPS1'!J409</f>
        <v>514.0772214400489</v>
      </c>
      <c r="H9" s="1">
        <f>'SPS1'!K291+'SPS1'!K409</f>
        <v>439.96935986986199</v>
      </c>
    </row>
    <row r="10" spans="2:8" x14ac:dyDescent="0.5">
      <c r="B10" s="23" t="s">
        <v>1733</v>
      </c>
      <c r="C10" s="1">
        <f>'SPS1'!F590+'SPS1'!F604+'SPS1'!F644</f>
        <v>16.303535130608601</v>
      </c>
      <c r="D10" s="1">
        <f>'SPS1'!G590+'SPS1'!G604+'SPS1'!G644</f>
        <v>22.216573768347462</v>
      </c>
      <c r="E10" s="1">
        <f>'SPS1'!H590+'SPS1'!H604+'SPS1'!H644</f>
        <v>24.517458534415422</v>
      </c>
      <c r="F10" s="1">
        <f>'SPS1'!I590+'SPS1'!I604+'SPS1'!I644</f>
        <v>22.759608666583865</v>
      </c>
      <c r="G10" s="1">
        <f>'SPS1'!J590+'SPS1'!J604+'SPS1'!J644</f>
        <v>22.739008107267878</v>
      </c>
      <c r="H10" s="1">
        <f>'SPS1'!K590+'SPS1'!K604+'SPS1'!K644</f>
        <v>22.463618591390265</v>
      </c>
    </row>
    <row r="11" spans="2:8" x14ac:dyDescent="0.5">
      <c r="B11" s="23" t="s">
        <v>1731</v>
      </c>
      <c r="C11" s="1">
        <f>'SPS1'!F679</f>
        <v>4.931891204802588E-3</v>
      </c>
      <c r="D11" s="1">
        <f>'SPS1'!G679</f>
        <v>6.831472655617672E-3</v>
      </c>
      <c r="E11" s="1">
        <f>'SPS1'!H679</f>
        <v>6.7077277159142178E-3</v>
      </c>
      <c r="F11" s="1">
        <f>'SPS1'!I679</f>
        <v>4.1661655420703325E-2</v>
      </c>
      <c r="G11" s="1">
        <f>'SPS1'!J679</f>
        <v>15.232105833270049</v>
      </c>
      <c r="H11" s="1">
        <f>'SPS1'!K679</f>
        <v>14.789505960397625</v>
      </c>
    </row>
    <row r="12" spans="2:8" x14ac:dyDescent="0.5">
      <c r="B12" s="23" t="s">
        <v>1734</v>
      </c>
      <c r="C12" s="1">
        <f>'SPS1'!F1707</f>
        <v>0</v>
      </c>
      <c r="D12" s="1">
        <f>'SPS1'!G1707</f>
        <v>0</v>
      </c>
      <c r="E12" s="1">
        <f>'SPS1'!H1707</f>
        <v>0</v>
      </c>
      <c r="F12" s="1">
        <f>'SPS1'!I1707</f>
        <v>0</v>
      </c>
      <c r="G12" s="1">
        <f>'SPS1'!J1707</f>
        <v>0</v>
      </c>
      <c r="H12" s="1">
        <f>'SPS1'!K1707</f>
        <v>1.5614196333055184E-5</v>
      </c>
    </row>
    <row r="13" spans="2:8" x14ac:dyDescent="0.5">
      <c r="B13" s="2" t="s">
        <v>1736</v>
      </c>
      <c r="C13" s="3">
        <f>'SPS1'!F2+'SPS1'!F20-'SPS1'!F57</f>
        <v>962.3991586788344</v>
      </c>
      <c r="D13" s="3">
        <f>'SPS1'!G2+'SPS1'!G20-'SPS1'!G57</f>
        <v>960.2306011364517</v>
      </c>
      <c r="E13" s="3">
        <f>'SPS1'!H2+'SPS1'!H20-'SPS1'!H57</f>
        <v>924.41083069627496</v>
      </c>
      <c r="F13" s="3">
        <f>'SPS1'!I2+'SPS1'!I20-'SPS1'!I57</f>
        <v>880.43009598078163</v>
      </c>
      <c r="G13" s="3">
        <f>'SPS1'!J2+'SPS1'!J20-'SPS1'!J57</f>
        <v>827.47799047321973</v>
      </c>
      <c r="H13" s="3">
        <f>'SPS1'!K2+'SPS1'!K20-'SPS1'!K57</f>
        <v>763.57240437407597</v>
      </c>
    </row>
    <row r="14" spans="2:8" x14ac:dyDescent="0.5">
      <c r="B14" s="23" t="s">
        <v>1737</v>
      </c>
      <c r="C14" s="1">
        <f>'SPS1'!F2</f>
        <v>300.18596437119794</v>
      </c>
      <c r="D14" s="1">
        <f>'SPS1'!G2</f>
        <v>293.40424798019797</v>
      </c>
      <c r="E14" s="1">
        <f>'SPS1'!H2</f>
        <v>330.82767695287816</v>
      </c>
      <c r="F14" s="1">
        <f>'SPS1'!I2</f>
        <v>377.36447115686872</v>
      </c>
      <c r="G14" s="1">
        <f>'SPS1'!J2</f>
        <v>423.72200694199057</v>
      </c>
      <c r="H14" s="1">
        <f>'SPS1'!K2</f>
        <v>437.02999698928903</v>
      </c>
    </row>
    <row r="15" spans="2:8" x14ac:dyDescent="0.5">
      <c r="B15" s="23" t="s">
        <v>19</v>
      </c>
      <c r="C15" s="1">
        <f>'SPS1'!F20</f>
        <v>779.38319725921122</v>
      </c>
      <c r="D15" s="1">
        <f>'SPS1'!G20</f>
        <v>702.42661907401418</v>
      </c>
      <c r="E15" s="1">
        <f>'SPS1'!H20</f>
        <v>658.01371431468738</v>
      </c>
      <c r="F15" s="1">
        <f>'SPS1'!I20</f>
        <v>573.54039058305466</v>
      </c>
      <c r="G15" s="1">
        <f>'SPS1'!J20</f>
        <v>455.08223785645851</v>
      </c>
      <c r="H15" s="1">
        <f>'SPS1'!K20</f>
        <v>363.5832320290595</v>
      </c>
    </row>
    <row r="16" spans="2:8" x14ac:dyDescent="0.5">
      <c r="B16" s="23" t="s">
        <v>24</v>
      </c>
      <c r="C16" s="1">
        <f>'SPS1'!F57</f>
        <v>117.17000295157466</v>
      </c>
      <c r="D16" s="1">
        <f>'SPS1'!G57</f>
        <v>35.600265917760488</v>
      </c>
      <c r="E16" s="1">
        <f>'SPS1'!H57</f>
        <v>64.430560571290584</v>
      </c>
      <c r="F16" s="1">
        <f>'SPS1'!I57</f>
        <v>70.474765759141746</v>
      </c>
      <c r="G16" s="1">
        <f>'SPS1'!J57</f>
        <v>51.326254325229336</v>
      </c>
      <c r="H16" s="1">
        <f>'SPS1'!K57</f>
        <v>37.040824644272611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SPS1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Fernandez de Losada, Lucas Javier</cp:lastModifiedBy>
  <dcterms:created xsi:type="dcterms:W3CDTF">2023-01-16T15:31:56Z</dcterms:created>
  <dcterms:modified xsi:type="dcterms:W3CDTF">2026-03-24T10:28:26Z</dcterms:modified>
</cp:coreProperties>
</file>